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retoria Financeira\Superintendencia Financeira\Gerencia Contabil\Publico\RELAÇÕES COM INVESTIDORES\3T2025\DF´s\"/>
    </mc:Choice>
  </mc:AlternateContent>
  <xr:revisionPtr revIDLastSave="0" documentId="13_ncr:1_{92BB4F0A-1055-412C-8D3D-32AA471710EE}" xr6:coauthVersionLast="47" xr6:coauthVersionMax="47" xr10:uidLastSave="{00000000-0000-0000-0000-000000000000}"/>
  <bookViews>
    <workbookView showHorizontalScroll="0" showVerticalScroll="0" xWindow="-120" yWindow="-120" windowWidth="29040" windowHeight="15840" tabRatio="883" xr2:uid="{00000000-000D-0000-FFFF-FFFF00000000}"/>
  </bookViews>
  <sheets>
    <sheet name="Painel" sheetId="40" r:id="rId1"/>
    <sheet name="Indicadores financeiros" sheetId="14" r:id="rId2"/>
    <sheet name="Ebitda ajustado" sheetId="36" r:id="rId3"/>
    <sheet name="Balanço patrimonial" sheetId="32" r:id="rId4"/>
    <sheet name="DRE" sheetId="29" r:id="rId5"/>
    <sheet name="Fluxo de caixa" sheetId="33" r:id="rId6"/>
    <sheet name="Receita líquida" sheetId="25" r:id="rId7"/>
    <sheet name="Receita líquida por produto" sheetId="27" r:id="rId8"/>
    <sheet name="IRPJ e CSLL" sheetId="38" r:id="rId9"/>
    <sheet name="Vendas (ton)" sheetId="35" r:id="rId10"/>
    <sheet name="Produção (ton)" sheetId="34" r:id="rId11"/>
    <sheet name="Informações" sheetId="4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0" localSheetId="3">[1]Ativo!#REF!</definedName>
    <definedName name="\0" localSheetId="2">[1]Ativo!#REF!</definedName>
    <definedName name="\0" localSheetId="5">[1]Ativo!#REF!</definedName>
    <definedName name="\0" localSheetId="8">[1]Ativo!#REF!</definedName>
    <definedName name="\0" localSheetId="10">[1]Ativo!#REF!</definedName>
    <definedName name="\0" localSheetId="9">[1]Ativo!#REF!</definedName>
    <definedName name="\0">[1]Ativo!#REF!</definedName>
    <definedName name="\a" localSheetId="3">[1]Ativo!#REF!</definedName>
    <definedName name="\a" localSheetId="2">[1]Ativo!#REF!</definedName>
    <definedName name="\a" localSheetId="5">[1]Ativo!#REF!</definedName>
    <definedName name="\a" localSheetId="8">[1]Ativo!#REF!</definedName>
    <definedName name="\a" localSheetId="10">[1]Ativo!#REF!</definedName>
    <definedName name="\a" localSheetId="9">[1]Ativo!#REF!</definedName>
    <definedName name="\a">[1]Ativo!#REF!</definedName>
    <definedName name="\D" localSheetId="3">#REF!</definedName>
    <definedName name="\D" localSheetId="2">#REF!</definedName>
    <definedName name="\D" localSheetId="5">#REF!</definedName>
    <definedName name="\D" localSheetId="8">#REF!</definedName>
    <definedName name="\D" localSheetId="10">#REF!</definedName>
    <definedName name="\D" localSheetId="9">#REF!</definedName>
    <definedName name="\D">#REF!</definedName>
    <definedName name="\m" localSheetId="3">#REF!</definedName>
    <definedName name="\m" localSheetId="2">#REF!</definedName>
    <definedName name="\m" localSheetId="5">#REF!</definedName>
    <definedName name="\m" localSheetId="8">#REF!</definedName>
    <definedName name="\m" localSheetId="10">#REF!</definedName>
    <definedName name="\m" localSheetId="9">#REF!</definedName>
    <definedName name="\m">#REF!</definedName>
    <definedName name="\N" localSheetId="3">#REF!</definedName>
    <definedName name="\N" localSheetId="2">#REF!</definedName>
    <definedName name="\N" localSheetId="5">#REF!</definedName>
    <definedName name="\N" localSheetId="8">#REF!</definedName>
    <definedName name="\N" localSheetId="10">#REF!</definedName>
    <definedName name="\N" localSheetId="9">#REF!</definedName>
    <definedName name="\N">#REF!</definedName>
    <definedName name="\p" localSheetId="3">[1]Ativo!#REF!</definedName>
    <definedName name="\p" localSheetId="2">[1]Ativo!#REF!</definedName>
    <definedName name="\p" localSheetId="5">[1]Ativo!#REF!</definedName>
    <definedName name="\p" localSheetId="8">[1]Ativo!#REF!</definedName>
    <definedName name="\p" localSheetId="10">[1]Ativo!#REF!</definedName>
    <definedName name="\p" localSheetId="9">[1]Ativo!#REF!</definedName>
    <definedName name="\p">[1]Ativo!#REF!</definedName>
    <definedName name="\s" localSheetId="3">[1]Ativo!#REF!</definedName>
    <definedName name="\s" localSheetId="2">[1]Ativo!#REF!</definedName>
    <definedName name="\s" localSheetId="5">[1]Ativo!#REF!</definedName>
    <definedName name="\s" localSheetId="8">[1]Ativo!#REF!</definedName>
    <definedName name="\s" localSheetId="10">[1]Ativo!#REF!</definedName>
    <definedName name="\s" localSheetId="9">[1]Ativo!#REF!</definedName>
    <definedName name="\s">[1]Ativo!#REF!</definedName>
    <definedName name="____________________CS01" hidden="1">{#N/A,#N/A,FALSE,"Aging Summary";#N/A,#N/A,FALSE,"Ratio Analysis";#N/A,#N/A,FALSE,"Test 120 Day Accts";#N/A,#N/A,FALSE,"Tickmarks"}</definedName>
    <definedName name="____________________CSL01" hidden="1">{#N/A,#N/A,FALSE,"Aging Summary";#N/A,#N/A,FALSE,"Ratio Analysis";#N/A,#N/A,FALSE,"Test 120 Day Accts";#N/A,#N/A,FALSE,"Tickmarks"}</definedName>
    <definedName name="____________________IR98" hidden="1">{#N/A,#N/A,FALSE,"Aging Summary";#N/A,#N/A,FALSE,"Ratio Analysis";#N/A,#N/A,FALSE,"Test 120 Day Accts";#N/A,#N/A,FALSE,"Tickmarks"}</definedName>
    <definedName name="___________________CS01" hidden="1">{#N/A,#N/A,FALSE,"Aging Summary";#N/A,#N/A,FALSE,"Ratio Analysis";#N/A,#N/A,FALSE,"Test 120 Day Accts";#N/A,#N/A,FALSE,"Tickmarks"}</definedName>
    <definedName name="___________________CSL01" hidden="1">{#N/A,#N/A,FALSE,"Aging Summary";#N/A,#N/A,FALSE,"Ratio Analysis";#N/A,#N/A,FALSE,"Test 120 Day Accts";#N/A,#N/A,FALSE,"Tickmarks"}</definedName>
    <definedName name="___________________IR98" hidden="1">{#N/A,#N/A,FALSE,"Aging Summary";#N/A,#N/A,FALSE,"Ratio Analysis";#N/A,#N/A,FALSE,"Test 120 Day Accts";#N/A,#N/A,FALSE,"Tickmarks"}</definedName>
    <definedName name="__________________CS01" hidden="1">{#N/A,#N/A,FALSE,"Aging Summary";#N/A,#N/A,FALSE,"Ratio Analysis";#N/A,#N/A,FALSE,"Test 120 Day Accts";#N/A,#N/A,FALSE,"Tickmarks"}</definedName>
    <definedName name="__________________CSL01" hidden="1">{#N/A,#N/A,FALSE,"Aging Summary";#N/A,#N/A,FALSE,"Ratio Analysis";#N/A,#N/A,FALSE,"Test 120 Day Accts";#N/A,#N/A,FALSE,"Tickmarks"}</definedName>
    <definedName name="__________________IR98" hidden="1">{#N/A,#N/A,FALSE,"Aging Summary";#N/A,#N/A,FALSE,"Ratio Analysis";#N/A,#N/A,FALSE,"Test 120 Day Accts";#N/A,#N/A,FALSE,"Tickmarks"}</definedName>
    <definedName name="__________________PAG19" localSheetId="3">#REF!</definedName>
    <definedName name="__________________PAG19" localSheetId="2">#REF!</definedName>
    <definedName name="__________________PAG19" localSheetId="5">#REF!</definedName>
    <definedName name="__________________PAG19" localSheetId="8">#REF!</definedName>
    <definedName name="__________________PAG19" localSheetId="10">#REF!</definedName>
    <definedName name="__________________PAG19" localSheetId="9">#REF!</definedName>
    <definedName name="__________________PAG19">#REF!</definedName>
    <definedName name="__________________PAG20" localSheetId="3">#REF!</definedName>
    <definedName name="__________________PAG20" localSheetId="2">#REF!</definedName>
    <definedName name="__________________PAG20" localSheetId="5">#REF!</definedName>
    <definedName name="__________________PAG20" localSheetId="8">#REF!</definedName>
    <definedName name="__________________PAG20" localSheetId="10">#REF!</definedName>
    <definedName name="__________________PAG20" localSheetId="9">#REF!</definedName>
    <definedName name="__________________PAG20">#REF!</definedName>
    <definedName name="__________________pg1" localSheetId="3">#REF!</definedName>
    <definedName name="__________________pg1" localSheetId="2">#REF!</definedName>
    <definedName name="__________________pg1" localSheetId="5">#REF!</definedName>
    <definedName name="__________________pg1" localSheetId="8">#REF!</definedName>
    <definedName name="__________________pg1" localSheetId="10">#REF!</definedName>
    <definedName name="__________________pg1" localSheetId="9">#REF!</definedName>
    <definedName name="__________________pg1">#REF!</definedName>
    <definedName name="__________________pg2" localSheetId="3">#REF!,#REF!</definedName>
    <definedName name="__________________pg2" localSheetId="2">#REF!,#REF!</definedName>
    <definedName name="__________________pg2" localSheetId="5">#REF!,#REF!</definedName>
    <definedName name="__________________pg2" localSheetId="8">#REF!,#REF!</definedName>
    <definedName name="__________________pg2" localSheetId="10">#REF!,#REF!</definedName>
    <definedName name="__________________pg2" localSheetId="9">#REF!,#REF!</definedName>
    <definedName name="__________________pg2">#REF!,#REF!</definedName>
    <definedName name="_________________CS01" hidden="1">{#N/A,#N/A,FALSE,"Aging Summary";#N/A,#N/A,FALSE,"Ratio Analysis";#N/A,#N/A,FALSE,"Test 120 Day Accts";#N/A,#N/A,FALSE,"Tickmarks"}</definedName>
    <definedName name="_________________CSL01" hidden="1">{#N/A,#N/A,FALSE,"Aging Summary";#N/A,#N/A,FALSE,"Ratio Analysis";#N/A,#N/A,FALSE,"Test 120 Day Accts";#N/A,#N/A,FALSE,"Tickmarks"}</definedName>
    <definedName name="_________________fu1" localSheetId="3">'[2]Detailed Adjustments'!#REF!</definedName>
    <definedName name="_________________fu1" localSheetId="2">'[2]Detailed Adjustments'!#REF!</definedName>
    <definedName name="_________________fu1" localSheetId="5">'[2]Detailed Adjustments'!#REF!</definedName>
    <definedName name="_________________fu1" localSheetId="8">'[2]Detailed Adjustments'!#REF!</definedName>
    <definedName name="_________________fu1" localSheetId="10">'[2]Detailed Adjustments'!#REF!</definedName>
    <definedName name="_________________fu1" localSheetId="9">'[2]Detailed Adjustments'!#REF!</definedName>
    <definedName name="_________________fu1">'[2]Detailed Adjustments'!#REF!</definedName>
    <definedName name="_________________hsd1" localSheetId="3">'[3]Summary Information'!#REF!</definedName>
    <definedName name="_________________hsd1" localSheetId="2">'[3]Summary Information'!#REF!</definedName>
    <definedName name="_________________hsd1" localSheetId="5">'[3]Summary Information'!#REF!</definedName>
    <definedName name="_________________hsd1" localSheetId="8">'[3]Summary Information'!#REF!</definedName>
    <definedName name="_________________hsd1" localSheetId="10">'[3]Summary Information'!#REF!</definedName>
    <definedName name="_________________hsd1" localSheetId="9">'[3]Summary Information'!#REF!</definedName>
    <definedName name="_________________hsd1">'[3]Summary Information'!#REF!</definedName>
    <definedName name="_________________IR98" hidden="1">{#N/A,#N/A,FALSE,"Aging Summary";#N/A,#N/A,FALSE,"Ratio Analysis";#N/A,#N/A,FALSE,"Test 120 Day Accts";#N/A,#N/A,FALSE,"Tickmarks"}</definedName>
    <definedName name="_________________PAG19" localSheetId="3">#REF!</definedName>
    <definedName name="_________________PAG19" localSheetId="2">#REF!</definedName>
    <definedName name="_________________PAG19" localSheetId="5">#REF!</definedName>
    <definedName name="_________________PAG19" localSheetId="8">#REF!</definedName>
    <definedName name="_________________PAG19" localSheetId="10">#REF!</definedName>
    <definedName name="_________________PAG19" localSheetId="9">#REF!</definedName>
    <definedName name="_________________PAG19">#REF!</definedName>
    <definedName name="_________________PAG20" localSheetId="3">#REF!</definedName>
    <definedName name="_________________PAG20" localSheetId="2">#REF!</definedName>
    <definedName name="_________________PAG20" localSheetId="5">#REF!</definedName>
    <definedName name="_________________PAG20" localSheetId="8">#REF!</definedName>
    <definedName name="_________________PAG20" localSheetId="10">#REF!</definedName>
    <definedName name="_________________PAG20" localSheetId="9">#REF!</definedName>
    <definedName name="_________________PAG20">#REF!</definedName>
    <definedName name="_________________pg1" localSheetId="3">#REF!</definedName>
    <definedName name="_________________pg1" localSheetId="2">#REF!</definedName>
    <definedName name="_________________pg1" localSheetId="5">#REF!</definedName>
    <definedName name="_________________pg1" localSheetId="8">#REF!</definedName>
    <definedName name="_________________pg1" localSheetId="10">#REF!</definedName>
    <definedName name="_________________pg1" localSheetId="9">#REF!</definedName>
    <definedName name="_________________pg1">#REF!</definedName>
    <definedName name="_________________pg2" localSheetId="3">#REF!,#REF!</definedName>
    <definedName name="_________________pg2" localSheetId="2">#REF!,#REF!</definedName>
    <definedName name="_________________pg2" localSheetId="5">#REF!,#REF!</definedName>
    <definedName name="_________________pg2" localSheetId="8">#REF!,#REF!</definedName>
    <definedName name="_________________pg2" localSheetId="10">#REF!,#REF!</definedName>
    <definedName name="_________________pg2" localSheetId="9">#REF!,#REF!</definedName>
    <definedName name="_________________pg2">#REF!,#REF!</definedName>
    <definedName name="________________CS01" hidden="1">{#N/A,#N/A,FALSE,"Aging Summary";#N/A,#N/A,FALSE,"Ratio Analysis";#N/A,#N/A,FALSE,"Test 120 Day Accts";#N/A,#N/A,FALSE,"Tickmarks"}</definedName>
    <definedName name="________________CSL01" hidden="1">{#N/A,#N/A,FALSE,"Aging Summary";#N/A,#N/A,FALSE,"Ratio Analysis";#N/A,#N/A,FALSE,"Test 120 Day Accts";#N/A,#N/A,FALSE,"Tickmarks"}</definedName>
    <definedName name="________________fu1" localSheetId="3">'[2]Detailed Adjustments'!#REF!</definedName>
    <definedName name="________________fu1" localSheetId="2">'[2]Detailed Adjustments'!#REF!</definedName>
    <definedName name="________________fu1" localSheetId="5">'[2]Detailed Adjustments'!#REF!</definedName>
    <definedName name="________________fu1" localSheetId="8">'[2]Detailed Adjustments'!#REF!</definedName>
    <definedName name="________________fu1" localSheetId="10">'[2]Detailed Adjustments'!#REF!</definedName>
    <definedName name="________________fu1" localSheetId="9">'[2]Detailed Adjustments'!#REF!</definedName>
    <definedName name="________________fu1">'[2]Detailed Adjustments'!#REF!</definedName>
    <definedName name="________________hsd1" localSheetId="3">'[3]Summary Information'!#REF!</definedName>
    <definedName name="________________hsd1" localSheetId="2">'[3]Summary Information'!#REF!</definedName>
    <definedName name="________________hsd1" localSheetId="5">'[3]Summary Information'!#REF!</definedName>
    <definedName name="________________hsd1" localSheetId="8">'[3]Summary Information'!#REF!</definedName>
    <definedName name="________________hsd1" localSheetId="10">'[3]Summary Information'!#REF!</definedName>
    <definedName name="________________hsd1" localSheetId="9">'[3]Summary Information'!#REF!</definedName>
    <definedName name="________________hsd1">'[3]Summary Information'!#REF!</definedName>
    <definedName name="________________IR98" hidden="1">{#N/A,#N/A,FALSE,"Aging Summary";#N/A,#N/A,FALSE,"Ratio Analysis";#N/A,#N/A,FALSE,"Test 120 Day Accts";#N/A,#N/A,FALSE,"Tickmarks"}</definedName>
    <definedName name="________________l">[4]Links!$G:$G</definedName>
    <definedName name="________________PAG19" localSheetId="3">#REF!</definedName>
    <definedName name="________________PAG19" localSheetId="2">#REF!</definedName>
    <definedName name="________________PAG19" localSheetId="5">#REF!</definedName>
    <definedName name="________________PAG19" localSheetId="8">#REF!</definedName>
    <definedName name="________________PAG19" localSheetId="10">#REF!</definedName>
    <definedName name="________________PAG19" localSheetId="9">#REF!</definedName>
    <definedName name="________________PAG19">#REF!</definedName>
    <definedName name="________________PAG20" localSheetId="3">#REF!</definedName>
    <definedName name="________________PAG20" localSheetId="2">#REF!</definedName>
    <definedName name="________________PAG20" localSheetId="5">#REF!</definedName>
    <definedName name="________________PAG20" localSheetId="8">#REF!</definedName>
    <definedName name="________________PAG20" localSheetId="10">#REF!</definedName>
    <definedName name="________________PAG20" localSheetId="9">#REF!</definedName>
    <definedName name="________________PAG20">#REF!</definedName>
    <definedName name="________________pg1" localSheetId="3">#REF!</definedName>
    <definedName name="________________pg1" localSheetId="2">#REF!</definedName>
    <definedName name="________________pg1" localSheetId="5">#REF!</definedName>
    <definedName name="________________pg1" localSheetId="8">#REF!</definedName>
    <definedName name="________________pg1" localSheetId="10">#REF!</definedName>
    <definedName name="________________pg1" localSheetId="9">#REF!</definedName>
    <definedName name="________________pg1">#REF!</definedName>
    <definedName name="________________pg2" localSheetId="3">#REF!,#REF!</definedName>
    <definedName name="________________pg2" localSheetId="2">#REF!,#REF!</definedName>
    <definedName name="________________pg2" localSheetId="5">#REF!,#REF!</definedName>
    <definedName name="________________pg2" localSheetId="8">#REF!,#REF!</definedName>
    <definedName name="________________pg2" localSheetId="10">#REF!,#REF!</definedName>
    <definedName name="________________pg2" localSheetId="9">#REF!,#REF!</definedName>
    <definedName name="________________pg2">#REF!,#REF!</definedName>
    <definedName name="_______________bal0196">[5]Plan1!$A$1:$F$238</definedName>
    <definedName name="_______________bal0296">[5]Plan1!$A$1:$F$238</definedName>
    <definedName name="_______________Bal0497">[5]Plan1!$A$1:$F$517</definedName>
    <definedName name="_______________bal1196">[5]Plan1!$A$1:$F$596</definedName>
    <definedName name="_______________bdg2000">[5]Plan1!$A$1:$AH$101</definedName>
    <definedName name="_______________CS01" hidden="1">{#N/A,#N/A,FALSE,"Aging Summary";#N/A,#N/A,FALSE,"Ratio Analysis";#N/A,#N/A,FALSE,"Test 120 Day Accts";#N/A,#N/A,FALSE,"Tickmarks"}</definedName>
    <definedName name="_______________CSL01" hidden="1">{#N/A,#N/A,FALSE,"Aging Summary";#N/A,#N/A,FALSE,"Ratio Analysis";#N/A,#N/A,FALSE,"Test 120 Day Accts";#N/A,#N/A,FALSE,"Tickmarks"}</definedName>
    <definedName name="_______________fu1" localSheetId="3">'[2]Detailed Adjustments'!#REF!</definedName>
    <definedName name="_______________fu1" localSheetId="2">'[2]Detailed Adjustments'!#REF!</definedName>
    <definedName name="_______________fu1" localSheetId="5">'[2]Detailed Adjustments'!#REF!</definedName>
    <definedName name="_______________fu1" localSheetId="8">'[2]Detailed Adjustments'!#REF!</definedName>
    <definedName name="_______________fu1" localSheetId="10">'[2]Detailed Adjustments'!#REF!</definedName>
    <definedName name="_______________fu1" localSheetId="9">'[2]Detailed Adjustments'!#REF!</definedName>
    <definedName name="_______________fu1">'[2]Detailed Adjustments'!#REF!</definedName>
    <definedName name="_______________hsd1" localSheetId="3">'[3]Summary Information'!#REF!</definedName>
    <definedName name="_______________hsd1" localSheetId="2">'[3]Summary Information'!#REF!</definedName>
    <definedName name="_______________hsd1" localSheetId="5">'[3]Summary Information'!#REF!</definedName>
    <definedName name="_______________hsd1" localSheetId="8">'[3]Summary Information'!#REF!</definedName>
    <definedName name="_______________hsd1" localSheetId="10">'[3]Summary Information'!#REF!</definedName>
    <definedName name="_______________hsd1" localSheetId="9">'[3]Summary Information'!#REF!</definedName>
    <definedName name="_______________hsd1">'[3]Summary Information'!#REF!</definedName>
    <definedName name="_______________IR98" hidden="1">{#N/A,#N/A,FALSE,"Aging Summary";#N/A,#N/A,FALSE,"Ratio Analysis";#N/A,#N/A,FALSE,"Test 120 Day Accts";#N/A,#N/A,FALSE,"Tickmarks"}</definedName>
    <definedName name="_______________l">[4]Links!$G:$G</definedName>
    <definedName name="_______________PAG19" localSheetId="3">#REF!</definedName>
    <definedName name="_______________PAG19" localSheetId="2">#REF!</definedName>
    <definedName name="_______________PAG19" localSheetId="5">#REF!</definedName>
    <definedName name="_______________PAG19" localSheetId="8">#REF!</definedName>
    <definedName name="_______________PAG19" localSheetId="10">#REF!</definedName>
    <definedName name="_______________PAG19" localSheetId="9">#REF!</definedName>
    <definedName name="_______________PAG19">#REF!</definedName>
    <definedName name="_______________PAG20" localSheetId="3">#REF!</definedName>
    <definedName name="_______________PAG20" localSheetId="2">#REF!</definedName>
    <definedName name="_______________PAG20" localSheetId="5">#REF!</definedName>
    <definedName name="_______________PAG20" localSheetId="8">#REF!</definedName>
    <definedName name="_______________PAG20" localSheetId="10">#REF!</definedName>
    <definedName name="_______________PAG20" localSheetId="9">#REF!</definedName>
    <definedName name="_______________PAG20">#REF!</definedName>
    <definedName name="_______________pg1" localSheetId="3">#REF!</definedName>
    <definedName name="_______________pg1" localSheetId="2">#REF!</definedName>
    <definedName name="_______________pg1" localSheetId="5">#REF!</definedName>
    <definedName name="_______________pg1" localSheetId="8">#REF!</definedName>
    <definedName name="_______________pg1" localSheetId="10">#REF!</definedName>
    <definedName name="_______________pg1" localSheetId="9">#REF!</definedName>
    <definedName name="_______________pg1">#REF!</definedName>
    <definedName name="_______________pg2" localSheetId="3">#REF!,#REF!</definedName>
    <definedName name="_______________pg2" localSheetId="2">#REF!,#REF!</definedName>
    <definedName name="_______________pg2" localSheetId="5">#REF!,#REF!</definedName>
    <definedName name="_______________pg2" localSheetId="8">#REF!,#REF!</definedName>
    <definedName name="_______________pg2" localSheetId="10">#REF!,#REF!</definedName>
    <definedName name="_______________pg2" localSheetId="9">#REF!,#REF!</definedName>
    <definedName name="_______________pg2">#REF!,#REF!</definedName>
    <definedName name="______________bal0196">[5]Plan1!$A$1:$F$238</definedName>
    <definedName name="______________bal0296">[5]Plan1!$A$1:$F$238</definedName>
    <definedName name="______________Bal0497">[5]Plan1!$A$1:$F$517</definedName>
    <definedName name="______________bal1196">[5]Plan1!$A$1:$F$596</definedName>
    <definedName name="______________bdg2000">[5]Plan1!$A$1:$AH$101</definedName>
    <definedName name="______________CS01" hidden="1">{#N/A,#N/A,FALSE,"Aging Summary";#N/A,#N/A,FALSE,"Ratio Analysis";#N/A,#N/A,FALSE,"Test 120 Day Accts";#N/A,#N/A,FALSE,"Tickmarks"}</definedName>
    <definedName name="______________CSL01" hidden="1">{#N/A,#N/A,FALSE,"Aging Summary";#N/A,#N/A,FALSE,"Ratio Analysis";#N/A,#N/A,FALSE,"Test 120 Day Accts";#N/A,#N/A,FALSE,"Tickmarks"}</definedName>
    <definedName name="______________fu1" localSheetId="3">'[2]Detailed Adjustments'!#REF!</definedName>
    <definedName name="______________fu1" localSheetId="2">'[2]Detailed Adjustments'!#REF!</definedName>
    <definedName name="______________fu1" localSheetId="5">'[2]Detailed Adjustments'!#REF!</definedName>
    <definedName name="______________fu1" localSheetId="8">'[2]Detailed Adjustments'!#REF!</definedName>
    <definedName name="______________fu1" localSheetId="10">'[2]Detailed Adjustments'!#REF!</definedName>
    <definedName name="______________fu1" localSheetId="9">'[2]Detailed Adjustments'!#REF!</definedName>
    <definedName name="______________fu1">'[2]Detailed Adjustments'!#REF!</definedName>
    <definedName name="______________hsd1" localSheetId="3">'[3]Summary Information'!#REF!</definedName>
    <definedName name="______________hsd1" localSheetId="2">'[3]Summary Information'!#REF!</definedName>
    <definedName name="______________hsd1" localSheetId="5">'[3]Summary Information'!#REF!</definedName>
    <definedName name="______________hsd1" localSheetId="8">'[3]Summary Information'!#REF!</definedName>
    <definedName name="______________hsd1" localSheetId="10">'[3]Summary Information'!#REF!</definedName>
    <definedName name="______________hsd1" localSheetId="9">'[3]Summary Information'!#REF!</definedName>
    <definedName name="______________hsd1">'[3]Summary Information'!#REF!</definedName>
    <definedName name="______________IR98" hidden="1">{#N/A,#N/A,FALSE,"Aging Summary";#N/A,#N/A,FALSE,"Ratio Analysis";#N/A,#N/A,FALSE,"Test 120 Day Accts";#N/A,#N/A,FALSE,"Tickmarks"}</definedName>
    <definedName name="______________l">[4]Links!$G$1:$G$65536</definedName>
    <definedName name="______________PAG19" localSheetId="3">#REF!</definedName>
    <definedName name="______________PAG19" localSheetId="2">#REF!</definedName>
    <definedName name="______________PAG19" localSheetId="5">#REF!</definedName>
    <definedName name="______________PAG19" localSheetId="8">#REF!</definedName>
    <definedName name="______________PAG19" localSheetId="10">#REF!</definedName>
    <definedName name="______________PAG19" localSheetId="9">#REF!</definedName>
    <definedName name="______________PAG19">#REF!</definedName>
    <definedName name="______________PAG20" localSheetId="3">#REF!</definedName>
    <definedName name="______________PAG20" localSheetId="2">#REF!</definedName>
    <definedName name="______________PAG20" localSheetId="5">#REF!</definedName>
    <definedName name="______________PAG20" localSheetId="8">#REF!</definedName>
    <definedName name="______________PAG20" localSheetId="10">#REF!</definedName>
    <definedName name="______________PAG20" localSheetId="9">#REF!</definedName>
    <definedName name="______________PAG20">#REF!</definedName>
    <definedName name="______________pg1" localSheetId="3">#REF!</definedName>
    <definedName name="______________pg1" localSheetId="2">#REF!</definedName>
    <definedName name="______________pg1" localSheetId="5">#REF!</definedName>
    <definedName name="______________pg1" localSheetId="8">#REF!</definedName>
    <definedName name="______________pg1" localSheetId="10">#REF!</definedName>
    <definedName name="______________pg1" localSheetId="9">#REF!</definedName>
    <definedName name="______________pg1">#REF!</definedName>
    <definedName name="______________pg2" localSheetId="3">#REF!,#REF!</definedName>
    <definedName name="______________pg2" localSheetId="2">#REF!,#REF!</definedName>
    <definedName name="______________pg2" localSheetId="5">#REF!,#REF!</definedName>
    <definedName name="______________pg2" localSheetId="8">#REF!,#REF!</definedName>
    <definedName name="______________pg2" localSheetId="10">#REF!,#REF!</definedName>
    <definedName name="______________pg2" localSheetId="9">#REF!,#REF!</definedName>
    <definedName name="______________pg2">#REF!,#REF!</definedName>
    <definedName name="_____________bal0196">[5]Plan1!$A$1:$F$238</definedName>
    <definedName name="_____________bal0296">[5]Plan1!$A$1:$F$238</definedName>
    <definedName name="_____________Bal0497">[5]Plan1!$A$1:$F$517</definedName>
    <definedName name="_____________bal1196">[5]Plan1!$A$1:$F$596</definedName>
    <definedName name="_____________bdg2000">[5]Plan1!$A$1:$AH$101</definedName>
    <definedName name="_____________CS01" hidden="1">{#N/A,#N/A,FALSE,"Aging Summary";#N/A,#N/A,FALSE,"Ratio Analysis";#N/A,#N/A,FALSE,"Test 120 Day Accts";#N/A,#N/A,FALSE,"Tickmarks"}</definedName>
    <definedName name="_____________CSL01" hidden="1">{#N/A,#N/A,FALSE,"Aging Summary";#N/A,#N/A,FALSE,"Ratio Analysis";#N/A,#N/A,FALSE,"Test 120 Day Accts";#N/A,#N/A,FALSE,"Tickmarks"}</definedName>
    <definedName name="_____________fu1" localSheetId="3">'[2]Detailed Adjustments'!#REF!</definedName>
    <definedName name="_____________fu1" localSheetId="2">'[2]Detailed Adjustments'!#REF!</definedName>
    <definedName name="_____________fu1" localSheetId="5">'[2]Detailed Adjustments'!#REF!</definedName>
    <definedName name="_____________fu1" localSheetId="8">'[2]Detailed Adjustments'!#REF!</definedName>
    <definedName name="_____________fu1" localSheetId="10">'[2]Detailed Adjustments'!#REF!</definedName>
    <definedName name="_____________fu1" localSheetId="9">'[2]Detailed Adjustments'!#REF!</definedName>
    <definedName name="_____________fu1">'[2]Detailed Adjustments'!#REF!</definedName>
    <definedName name="_____________hsd1" localSheetId="3">'[3]Summary Information'!#REF!</definedName>
    <definedName name="_____________hsd1" localSheetId="2">'[3]Summary Information'!#REF!</definedName>
    <definedName name="_____________hsd1" localSheetId="5">'[3]Summary Information'!#REF!</definedName>
    <definedName name="_____________hsd1" localSheetId="8">'[3]Summary Information'!#REF!</definedName>
    <definedName name="_____________hsd1" localSheetId="10">'[3]Summary Information'!#REF!</definedName>
    <definedName name="_____________hsd1" localSheetId="9">'[3]Summary Information'!#REF!</definedName>
    <definedName name="_____________hsd1">'[3]Summary Information'!#REF!</definedName>
    <definedName name="_____________IR98" hidden="1">{#N/A,#N/A,FALSE,"Aging Summary";#N/A,#N/A,FALSE,"Ratio Analysis";#N/A,#N/A,FALSE,"Test 120 Day Accts";#N/A,#N/A,FALSE,"Tickmarks"}</definedName>
    <definedName name="_____________l">[4]Links!$G$1:$G$65536</definedName>
    <definedName name="_____________PAG19" localSheetId="3">#REF!</definedName>
    <definedName name="_____________PAG19" localSheetId="2">#REF!</definedName>
    <definedName name="_____________PAG19" localSheetId="5">#REF!</definedName>
    <definedName name="_____________PAG19" localSheetId="8">#REF!</definedName>
    <definedName name="_____________PAG19" localSheetId="10">#REF!</definedName>
    <definedName name="_____________PAG19" localSheetId="9">#REF!</definedName>
    <definedName name="_____________PAG19">#REF!</definedName>
    <definedName name="_____________PAG20" localSheetId="3">#REF!</definedName>
    <definedName name="_____________PAG20" localSheetId="2">#REF!</definedName>
    <definedName name="_____________PAG20" localSheetId="5">#REF!</definedName>
    <definedName name="_____________PAG20" localSheetId="8">#REF!</definedName>
    <definedName name="_____________PAG20" localSheetId="10">#REF!</definedName>
    <definedName name="_____________PAG20" localSheetId="9">#REF!</definedName>
    <definedName name="_____________PAG20">#REF!</definedName>
    <definedName name="_____________pg1" localSheetId="3">#REF!</definedName>
    <definedName name="_____________pg1" localSheetId="2">#REF!</definedName>
    <definedName name="_____________pg1" localSheetId="5">#REF!</definedName>
    <definedName name="_____________pg1" localSheetId="8">#REF!</definedName>
    <definedName name="_____________pg1" localSheetId="10">#REF!</definedName>
    <definedName name="_____________pg1" localSheetId="9">#REF!</definedName>
    <definedName name="_____________pg1">#REF!</definedName>
    <definedName name="_____________pg2" localSheetId="3">#REF!,#REF!</definedName>
    <definedName name="_____________pg2" localSheetId="2">#REF!,#REF!</definedName>
    <definedName name="_____________pg2" localSheetId="5">#REF!,#REF!</definedName>
    <definedName name="_____________pg2" localSheetId="8">#REF!,#REF!</definedName>
    <definedName name="_____________pg2" localSheetId="10">#REF!,#REF!</definedName>
    <definedName name="_____________pg2" localSheetId="9">#REF!,#REF!</definedName>
    <definedName name="_____________pg2">#REF!,#REF!</definedName>
    <definedName name="____________bal0196">[5]Plan1!$A$1:$F$238</definedName>
    <definedName name="____________bal0296">[5]Plan1!$A$1:$F$238</definedName>
    <definedName name="____________Bal0497">[5]Plan1!$A$1:$F$517</definedName>
    <definedName name="____________bal1196">[5]Plan1!$A$1:$F$596</definedName>
    <definedName name="____________bdg2000">[5]Plan1!$A$1:$AH$101</definedName>
    <definedName name="____________CS01" hidden="1">{#N/A,#N/A,FALSE,"Aging Summary";#N/A,#N/A,FALSE,"Ratio Analysis";#N/A,#N/A,FALSE,"Test 120 Day Accts";#N/A,#N/A,FALSE,"Tickmarks"}</definedName>
    <definedName name="____________CSL01" hidden="1">{#N/A,#N/A,FALSE,"Aging Summary";#N/A,#N/A,FALSE,"Ratio Analysis";#N/A,#N/A,FALSE,"Test 120 Day Accts";#N/A,#N/A,FALSE,"Tickmarks"}</definedName>
    <definedName name="____________fu1" localSheetId="3">'[2]Detailed Adjustments'!#REF!</definedName>
    <definedName name="____________fu1" localSheetId="2">'[2]Detailed Adjustments'!#REF!</definedName>
    <definedName name="____________fu1" localSheetId="5">'[2]Detailed Adjustments'!#REF!</definedName>
    <definedName name="____________fu1" localSheetId="8">'[2]Detailed Adjustments'!#REF!</definedName>
    <definedName name="____________fu1" localSheetId="10">'[2]Detailed Adjustments'!#REF!</definedName>
    <definedName name="____________fu1" localSheetId="9">'[2]Detailed Adjustments'!#REF!</definedName>
    <definedName name="____________fu1">'[2]Detailed Adjustments'!#REF!</definedName>
    <definedName name="____________hsd1" localSheetId="3">'[3]Summary Information'!#REF!</definedName>
    <definedName name="____________hsd1" localSheetId="2">'[3]Summary Information'!#REF!</definedName>
    <definedName name="____________hsd1" localSheetId="5">'[3]Summary Information'!#REF!</definedName>
    <definedName name="____________hsd1" localSheetId="8">'[3]Summary Information'!#REF!</definedName>
    <definedName name="____________hsd1" localSheetId="10">'[3]Summary Information'!#REF!</definedName>
    <definedName name="____________hsd1" localSheetId="9">'[3]Summary Information'!#REF!</definedName>
    <definedName name="____________hsd1">'[3]Summary Information'!#REF!</definedName>
    <definedName name="____________IR98" hidden="1">{#N/A,#N/A,FALSE,"Aging Summary";#N/A,#N/A,FALSE,"Ratio Analysis";#N/A,#N/A,FALSE,"Test 120 Day Accts";#N/A,#N/A,FALSE,"Tickmarks"}</definedName>
    <definedName name="____________l">[4]Links!$G$1:$G$65536</definedName>
    <definedName name="____________PAG19" localSheetId="3">#REF!</definedName>
    <definedName name="____________PAG19" localSheetId="2">#REF!</definedName>
    <definedName name="____________PAG19" localSheetId="5">#REF!</definedName>
    <definedName name="____________PAG19" localSheetId="8">#REF!</definedName>
    <definedName name="____________PAG19" localSheetId="10">#REF!</definedName>
    <definedName name="____________PAG19" localSheetId="9">#REF!</definedName>
    <definedName name="____________PAG19">#REF!</definedName>
    <definedName name="____________PAG20" localSheetId="3">#REF!</definedName>
    <definedName name="____________PAG20" localSheetId="2">#REF!</definedName>
    <definedName name="____________PAG20" localSheetId="5">#REF!</definedName>
    <definedName name="____________PAG20" localSheetId="8">#REF!</definedName>
    <definedName name="____________PAG20" localSheetId="10">#REF!</definedName>
    <definedName name="____________PAG20" localSheetId="9">#REF!</definedName>
    <definedName name="____________PAG20">#REF!</definedName>
    <definedName name="____________pg1" localSheetId="3">#REF!</definedName>
    <definedName name="____________pg1" localSheetId="2">#REF!</definedName>
    <definedName name="____________pg1" localSheetId="5">#REF!</definedName>
    <definedName name="____________pg1" localSheetId="8">#REF!</definedName>
    <definedName name="____________pg1" localSheetId="10">#REF!</definedName>
    <definedName name="____________pg1" localSheetId="9">#REF!</definedName>
    <definedName name="____________pg1">#REF!</definedName>
    <definedName name="____________pg2" localSheetId="3">#REF!,#REF!</definedName>
    <definedName name="____________pg2" localSheetId="2">#REF!,#REF!</definedName>
    <definedName name="____________pg2" localSheetId="5">#REF!,#REF!</definedName>
    <definedName name="____________pg2" localSheetId="8">#REF!,#REF!</definedName>
    <definedName name="____________pg2" localSheetId="10">#REF!,#REF!</definedName>
    <definedName name="____________pg2" localSheetId="9">#REF!,#REF!</definedName>
    <definedName name="____________pg2">#REF!,#REF!</definedName>
    <definedName name="___________bal0196">[5]Plan1!$A$1:$F$238</definedName>
    <definedName name="___________bal0296">[5]Plan1!$A$1:$F$238</definedName>
    <definedName name="___________Bal0497">[5]Plan1!$A$1:$F$517</definedName>
    <definedName name="___________bal1196">[5]Plan1!$A$1:$F$596</definedName>
    <definedName name="___________bdg2000">[5]Plan1!$A$1:$AH$101</definedName>
    <definedName name="___________CS01" hidden="1">{#N/A,#N/A,FALSE,"Aging Summary";#N/A,#N/A,FALSE,"Ratio Analysis";#N/A,#N/A,FALSE,"Test 120 Day Accts";#N/A,#N/A,FALSE,"Tickmarks"}</definedName>
    <definedName name="___________CSL01" hidden="1">{#N/A,#N/A,FALSE,"Aging Summary";#N/A,#N/A,FALSE,"Ratio Analysis";#N/A,#N/A,FALSE,"Test 120 Day Accts";#N/A,#N/A,FALSE,"Tickmarks"}</definedName>
    <definedName name="___________fu1" localSheetId="3">'[2]Detailed Adjustments'!#REF!</definedName>
    <definedName name="___________fu1" localSheetId="2">'[2]Detailed Adjustments'!#REF!</definedName>
    <definedName name="___________fu1" localSheetId="5">'[2]Detailed Adjustments'!#REF!</definedName>
    <definedName name="___________fu1" localSheetId="8">'[2]Detailed Adjustments'!#REF!</definedName>
    <definedName name="___________fu1" localSheetId="10">'[2]Detailed Adjustments'!#REF!</definedName>
    <definedName name="___________fu1" localSheetId="9">'[2]Detailed Adjustments'!#REF!</definedName>
    <definedName name="___________fu1">'[2]Detailed Adjustments'!#REF!</definedName>
    <definedName name="___________hsd1" localSheetId="3">'[3]Summary Information'!#REF!</definedName>
    <definedName name="___________hsd1" localSheetId="2">'[3]Summary Information'!#REF!</definedName>
    <definedName name="___________hsd1" localSheetId="5">'[3]Summary Information'!#REF!</definedName>
    <definedName name="___________hsd1" localSheetId="8">'[3]Summary Information'!#REF!</definedName>
    <definedName name="___________hsd1" localSheetId="10">'[3]Summary Information'!#REF!</definedName>
    <definedName name="___________hsd1" localSheetId="9">'[3]Summary Information'!#REF!</definedName>
    <definedName name="___________hsd1">'[3]Summary Information'!#REF!</definedName>
    <definedName name="___________IR98" hidden="1">{#N/A,#N/A,FALSE,"Aging Summary";#N/A,#N/A,FALSE,"Ratio Analysis";#N/A,#N/A,FALSE,"Test 120 Day Accts";#N/A,#N/A,FALSE,"Tickmarks"}</definedName>
    <definedName name="___________l">[4]Links!$G$1:$G$65536</definedName>
    <definedName name="___________PAG19" localSheetId="3">#REF!</definedName>
    <definedName name="___________PAG19" localSheetId="2">#REF!</definedName>
    <definedName name="___________PAG19" localSheetId="5">#REF!</definedName>
    <definedName name="___________PAG19" localSheetId="8">#REF!</definedName>
    <definedName name="___________PAG19" localSheetId="10">#REF!</definedName>
    <definedName name="___________PAG19" localSheetId="9">#REF!</definedName>
    <definedName name="___________PAG19">#REF!</definedName>
    <definedName name="___________PAG20" localSheetId="3">#REF!</definedName>
    <definedName name="___________PAG20" localSheetId="2">#REF!</definedName>
    <definedName name="___________PAG20" localSheetId="5">#REF!</definedName>
    <definedName name="___________PAG20" localSheetId="8">#REF!</definedName>
    <definedName name="___________PAG20" localSheetId="10">#REF!</definedName>
    <definedName name="___________PAG20" localSheetId="9">#REF!</definedName>
    <definedName name="___________PAG20">#REF!</definedName>
    <definedName name="___________pg1" localSheetId="3">#REF!</definedName>
    <definedName name="___________pg1" localSheetId="2">#REF!</definedName>
    <definedName name="___________pg1" localSheetId="5">#REF!</definedName>
    <definedName name="___________pg1" localSheetId="8">#REF!</definedName>
    <definedName name="___________pg1" localSheetId="10">#REF!</definedName>
    <definedName name="___________pg1" localSheetId="9">#REF!</definedName>
    <definedName name="___________pg1">#REF!</definedName>
    <definedName name="___________pg2" localSheetId="3">#REF!,#REF!</definedName>
    <definedName name="___________pg2" localSheetId="2">#REF!,#REF!</definedName>
    <definedName name="___________pg2" localSheetId="5">#REF!,#REF!</definedName>
    <definedName name="___________pg2" localSheetId="8">#REF!,#REF!</definedName>
    <definedName name="___________pg2" localSheetId="10">#REF!,#REF!</definedName>
    <definedName name="___________pg2" localSheetId="9">#REF!,#REF!</definedName>
    <definedName name="___________pg2">#REF!,#REF!</definedName>
    <definedName name="__________bal0196">[5]Plan1!$A$1:$F$238</definedName>
    <definedName name="__________bal0296">[5]Plan1!$A$1:$F$238</definedName>
    <definedName name="__________Bal0497">[5]Plan1!$A$1:$F$517</definedName>
    <definedName name="__________bal1196">[5]Plan1!$A$1:$F$596</definedName>
    <definedName name="__________bdg2000">[5]Plan1!$A$1:$AH$101</definedName>
    <definedName name="__________CS01" hidden="1">{#N/A,#N/A,FALSE,"Aging Summary";#N/A,#N/A,FALSE,"Ratio Analysis";#N/A,#N/A,FALSE,"Test 120 Day Accts";#N/A,#N/A,FALSE,"Tickmarks"}</definedName>
    <definedName name="__________CSL01" hidden="1">{#N/A,#N/A,FALSE,"Aging Summary";#N/A,#N/A,FALSE,"Ratio Analysis";#N/A,#N/A,FALSE,"Test 120 Day Accts";#N/A,#N/A,FALSE,"Tickmarks"}</definedName>
    <definedName name="__________fu1" localSheetId="3">'[2]Detailed Adjustments'!#REF!</definedName>
    <definedName name="__________fu1" localSheetId="2">'[2]Detailed Adjustments'!#REF!</definedName>
    <definedName name="__________fu1" localSheetId="5">'[2]Detailed Adjustments'!#REF!</definedName>
    <definedName name="__________fu1" localSheetId="8">'[2]Detailed Adjustments'!#REF!</definedName>
    <definedName name="__________fu1" localSheetId="10">'[2]Detailed Adjustments'!#REF!</definedName>
    <definedName name="__________fu1" localSheetId="9">'[2]Detailed Adjustments'!#REF!</definedName>
    <definedName name="__________fu1">'[2]Detailed Adjustments'!#REF!</definedName>
    <definedName name="__________hsd1" localSheetId="3">'[3]Summary Information'!#REF!</definedName>
    <definedName name="__________hsd1" localSheetId="2">'[3]Summary Information'!#REF!</definedName>
    <definedName name="__________hsd1" localSheetId="5">'[3]Summary Information'!#REF!</definedName>
    <definedName name="__________hsd1" localSheetId="8">'[3]Summary Information'!#REF!</definedName>
    <definedName name="__________hsd1" localSheetId="10">'[3]Summary Information'!#REF!</definedName>
    <definedName name="__________hsd1" localSheetId="9">'[3]Summary Information'!#REF!</definedName>
    <definedName name="__________hsd1">'[3]Summary Information'!#REF!</definedName>
    <definedName name="__________IR98" hidden="1">{#N/A,#N/A,FALSE,"Aging Summary";#N/A,#N/A,FALSE,"Ratio Analysis";#N/A,#N/A,FALSE,"Test 120 Day Accts";#N/A,#N/A,FALSE,"Tickmarks"}</definedName>
    <definedName name="__________l">[4]Links!$G$1:$G$65536</definedName>
    <definedName name="__________PAG19" localSheetId="3">#REF!</definedName>
    <definedName name="__________PAG19" localSheetId="2">#REF!</definedName>
    <definedName name="__________PAG19" localSheetId="5">#REF!</definedName>
    <definedName name="__________PAG19" localSheetId="8">#REF!</definedName>
    <definedName name="__________PAG19" localSheetId="10">#REF!</definedName>
    <definedName name="__________PAG19" localSheetId="9">#REF!</definedName>
    <definedName name="__________PAG19">#REF!</definedName>
    <definedName name="__________PAG20" localSheetId="3">#REF!</definedName>
    <definedName name="__________PAG20" localSheetId="2">#REF!</definedName>
    <definedName name="__________PAG20" localSheetId="5">#REF!</definedName>
    <definedName name="__________PAG20" localSheetId="8">#REF!</definedName>
    <definedName name="__________PAG20" localSheetId="10">#REF!</definedName>
    <definedName name="__________PAG20" localSheetId="9">#REF!</definedName>
    <definedName name="__________PAG20">#REF!</definedName>
    <definedName name="__________pg1" localSheetId="3">#REF!</definedName>
    <definedName name="__________pg1" localSheetId="2">#REF!</definedName>
    <definedName name="__________pg1" localSheetId="5">#REF!</definedName>
    <definedName name="__________pg1" localSheetId="8">#REF!</definedName>
    <definedName name="__________pg1" localSheetId="10">#REF!</definedName>
    <definedName name="__________pg1" localSheetId="9">#REF!</definedName>
    <definedName name="__________pg1">#REF!</definedName>
    <definedName name="__________pg2" localSheetId="3">#REF!,#REF!</definedName>
    <definedName name="__________pg2" localSheetId="2">#REF!,#REF!</definedName>
    <definedName name="__________pg2" localSheetId="5">#REF!,#REF!</definedName>
    <definedName name="__________pg2" localSheetId="8">#REF!,#REF!</definedName>
    <definedName name="__________pg2" localSheetId="10">#REF!,#REF!</definedName>
    <definedName name="__________pg2" localSheetId="9">#REF!,#REF!</definedName>
    <definedName name="__________pg2">#REF!,#REF!</definedName>
    <definedName name="_________bal0196">[5]Plan1!$A$1:$F$238</definedName>
    <definedName name="_________bal0296">[5]Plan1!$A$1:$F$238</definedName>
    <definedName name="_________Bal0497">[5]Plan1!$A$1:$F$517</definedName>
    <definedName name="_________bal1196">[5]Plan1!$A$1:$F$596</definedName>
    <definedName name="_________bdg2000">[5]Plan1!$A$1:$AH$101</definedName>
    <definedName name="_________CS01" hidden="1">{#N/A,#N/A,FALSE,"Aging Summary";#N/A,#N/A,FALSE,"Ratio Analysis";#N/A,#N/A,FALSE,"Test 120 Day Accts";#N/A,#N/A,FALSE,"Tickmarks"}</definedName>
    <definedName name="_________CSL01" hidden="1">{#N/A,#N/A,FALSE,"Aging Summary";#N/A,#N/A,FALSE,"Ratio Analysis";#N/A,#N/A,FALSE,"Test 120 Day Accts";#N/A,#N/A,FALSE,"Tickmarks"}</definedName>
    <definedName name="_________fu1" localSheetId="3">'[2]Detailed Adjustments'!#REF!</definedName>
    <definedName name="_________fu1" localSheetId="2">'[2]Detailed Adjustments'!#REF!</definedName>
    <definedName name="_________fu1" localSheetId="5">'[2]Detailed Adjustments'!#REF!</definedName>
    <definedName name="_________fu1" localSheetId="8">'[2]Detailed Adjustments'!#REF!</definedName>
    <definedName name="_________fu1" localSheetId="10">'[2]Detailed Adjustments'!#REF!</definedName>
    <definedName name="_________fu1" localSheetId="9">'[2]Detailed Adjustments'!#REF!</definedName>
    <definedName name="_________fu1">'[2]Detailed Adjustments'!#REF!</definedName>
    <definedName name="_________hsd1" localSheetId="3">'[3]Summary Information'!#REF!</definedName>
    <definedName name="_________hsd1" localSheetId="2">'[3]Summary Information'!#REF!</definedName>
    <definedName name="_________hsd1" localSheetId="5">'[3]Summary Information'!#REF!</definedName>
    <definedName name="_________hsd1" localSheetId="8">'[3]Summary Information'!#REF!</definedName>
    <definedName name="_________hsd1" localSheetId="10">'[3]Summary Information'!#REF!</definedName>
    <definedName name="_________hsd1" localSheetId="9">'[3]Summary Information'!#REF!</definedName>
    <definedName name="_________hsd1">'[3]Summary Information'!#REF!</definedName>
    <definedName name="_________IR98" hidden="1">{#N/A,#N/A,FALSE,"Aging Summary";#N/A,#N/A,FALSE,"Ratio Analysis";#N/A,#N/A,FALSE,"Test 120 Day Accts";#N/A,#N/A,FALSE,"Tickmarks"}</definedName>
    <definedName name="_________l">[4]Links!$G$1:$G$65536</definedName>
    <definedName name="_________PAG19" localSheetId="3">#REF!</definedName>
    <definedName name="_________PAG19" localSheetId="2">#REF!</definedName>
    <definedName name="_________PAG19" localSheetId="5">#REF!</definedName>
    <definedName name="_________PAG19" localSheetId="8">#REF!</definedName>
    <definedName name="_________PAG19" localSheetId="10">#REF!</definedName>
    <definedName name="_________PAG19" localSheetId="9">#REF!</definedName>
    <definedName name="_________PAG19">#REF!</definedName>
    <definedName name="_________PAG20" localSheetId="3">#REF!</definedName>
    <definedName name="_________PAG20" localSheetId="2">#REF!</definedName>
    <definedName name="_________PAG20" localSheetId="5">#REF!</definedName>
    <definedName name="_________PAG20" localSheetId="8">#REF!</definedName>
    <definedName name="_________PAG20" localSheetId="10">#REF!</definedName>
    <definedName name="_________PAG20" localSheetId="9">#REF!</definedName>
    <definedName name="_________PAG20">#REF!</definedName>
    <definedName name="_________pg1" localSheetId="3">#REF!</definedName>
    <definedName name="_________pg1" localSheetId="2">#REF!</definedName>
    <definedName name="_________pg1" localSheetId="5">#REF!</definedName>
    <definedName name="_________pg1" localSheetId="8">#REF!</definedName>
    <definedName name="_________pg1" localSheetId="10">#REF!</definedName>
    <definedName name="_________pg1" localSheetId="9">#REF!</definedName>
    <definedName name="_________pg1">#REF!</definedName>
    <definedName name="_________pg2" localSheetId="3">#REF!,#REF!</definedName>
    <definedName name="_________pg2" localSheetId="2">#REF!,#REF!</definedName>
    <definedName name="_________pg2" localSheetId="5">#REF!,#REF!</definedName>
    <definedName name="_________pg2" localSheetId="8">#REF!,#REF!</definedName>
    <definedName name="_________pg2" localSheetId="10">#REF!,#REF!</definedName>
    <definedName name="_________pg2" localSheetId="9">#REF!,#REF!</definedName>
    <definedName name="_________pg2">#REF!,#REF!</definedName>
    <definedName name="________bal0196">[5]Plan1!$A$1:$F$238</definedName>
    <definedName name="________bal0296">[5]Plan1!$A$1:$F$238</definedName>
    <definedName name="________Bal0497">[5]Plan1!$A$1:$F$517</definedName>
    <definedName name="________bal1196">[5]Plan1!$A$1:$F$596</definedName>
    <definedName name="________bdg2000">[5]Plan1!$A$1:$AH$101</definedName>
    <definedName name="________CS01" hidden="1">{#N/A,#N/A,FALSE,"Aging Summary";#N/A,#N/A,FALSE,"Ratio Analysis";#N/A,#N/A,FALSE,"Test 120 Day Accts";#N/A,#N/A,FALSE,"Tickmarks"}</definedName>
    <definedName name="________CSL01" hidden="1">{#N/A,#N/A,FALSE,"Aging Summary";#N/A,#N/A,FALSE,"Ratio Analysis";#N/A,#N/A,FALSE,"Test 120 Day Accts";#N/A,#N/A,FALSE,"Tickmarks"}</definedName>
    <definedName name="________fu1" localSheetId="3">'[2]Detailed Adjustments'!#REF!</definedName>
    <definedName name="________fu1" localSheetId="2">'[2]Detailed Adjustments'!#REF!</definedName>
    <definedName name="________fu1" localSheetId="5">'[2]Detailed Adjustments'!#REF!</definedName>
    <definedName name="________fu1" localSheetId="8">'[2]Detailed Adjustments'!#REF!</definedName>
    <definedName name="________fu1" localSheetId="10">'[2]Detailed Adjustments'!#REF!</definedName>
    <definedName name="________fu1" localSheetId="9">'[2]Detailed Adjustments'!#REF!</definedName>
    <definedName name="________fu1">'[2]Detailed Adjustments'!#REF!</definedName>
    <definedName name="________hsd1" localSheetId="3">'[3]Summary Information'!#REF!</definedName>
    <definedName name="________hsd1" localSheetId="2">'[3]Summary Information'!#REF!</definedName>
    <definedName name="________hsd1" localSheetId="5">'[3]Summary Information'!#REF!</definedName>
    <definedName name="________hsd1" localSheetId="8">'[3]Summary Information'!#REF!</definedName>
    <definedName name="________hsd1" localSheetId="10">'[3]Summary Information'!#REF!</definedName>
    <definedName name="________hsd1" localSheetId="9">'[3]Summary Information'!#REF!</definedName>
    <definedName name="________hsd1">'[3]Summary Information'!#REF!</definedName>
    <definedName name="________IR98" hidden="1">{#N/A,#N/A,FALSE,"Aging Summary";#N/A,#N/A,FALSE,"Ratio Analysis";#N/A,#N/A,FALSE,"Test 120 Day Accts";#N/A,#N/A,FALSE,"Tickmarks"}</definedName>
    <definedName name="________l">[4]Links!$G$1:$G$65536</definedName>
    <definedName name="________PAG19" localSheetId="3">#REF!</definedName>
    <definedName name="________PAG19" localSheetId="2">#REF!</definedName>
    <definedName name="________PAG19" localSheetId="5">#REF!</definedName>
    <definedName name="________PAG19" localSheetId="8">#REF!</definedName>
    <definedName name="________PAG19" localSheetId="10">#REF!</definedName>
    <definedName name="________PAG19" localSheetId="9">#REF!</definedName>
    <definedName name="________PAG19">#REF!</definedName>
    <definedName name="________PAG20" localSheetId="3">#REF!</definedName>
    <definedName name="________PAG20" localSheetId="2">#REF!</definedName>
    <definedName name="________PAG20" localSheetId="5">#REF!</definedName>
    <definedName name="________PAG20" localSheetId="8">#REF!</definedName>
    <definedName name="________PAG20" localSheetId="10">#REF!</definedName>
    <definedName name="________PAG20" localSheetId="9">#REF!</definedName>
    <definedName name="________PAG20">#REF!</definedName>
    <definedName name="________pg1" localSheetId="3">#REF!</definedName>
    <definedName name="________pg1" localSheetId="2">#REF!</definedName>
    <definedName name="________pg1" localSheetId="5">#REF!</definedName>
    <definedName name="________pg1" localSheetId="8">#REF!</definedName>
    <definedName name="________pg1" localSheetId="10">#REF!</definedName>
    <definedName name="________pg1" localSheetId="9">#REF!</definedName>
    <definedName name="________pg1">#REF!</definedName>
    <definedName name="________pg2" localSheetId="3">#REF!,#REF!</definedName>
    <definedName name="________pg2" localSheetId="2">#REF!,#REF!</definedName>
    <definedName name="________pg2" localSheetId="5">#REF!,#REF!</definedName>
    <definedName name="________pg2" localSheetId="8">#REF!,#REF!</definedName>
    <definedName name="________pg2" localSheetId="10">#REF!,#REF!</definedName>
    <definedName name="________pg2" localSheetId="9">#REF!,#REF!</definedName>
    <definedName name="________pg2">#REF!,#REF!</definedName>
    <definedName name="_______bal0196">[5]Plan1!$A$1:$F$238</definedName>
    <definedName name="_______bal0296">[5]Plan1!$A$1:$F$238</definedName>
    <definedName name="_______Bal0497">[5]Plan1!$A$1:$F$517</definedName>
    <definedName name="_______bal1196">[5]Plan1!$A$1:$F$596</definedName>
    <definedName name="_______bdg2000">[5]Plan1!$A$1:$AH$101</definedName>
    <definedName name="_______CS01" hidden="1">{#N/A,#N/A,FALSE,"Aging Summary";#N/A,#N/A,FALSE,"Ratio Analysis";#N/A,#N/A,FALSE,"Test 120 Day Accts";#N/A,#N/A,FALSE,"Tickmarks"}</definedName>
    <definedName name="_______CSL01" hidden="1">{#N/A,#N/A,FALSE,"Aging Summary";#N/A,#N/A,FALSE,"Ratio Analysis";#N/A,#N/A,FALSE,"Test 120 Day Accts";#N/A,#N/A,FALSE,"Tickmarks"}</definedName>
    <definedName name="_______fu1" localSheetId="3">'[2]Detailed Adjustments'!#REF!</definedName>
    <definedName name="_______fu1" localSheetId="2">'[2]Detailed Adjustments'!#REF!</definedName>
    <definedName name="_______fu1" localSheetId="5">'[2]Detailed Adjustments'!#REF!</definedName>
    <definedName name="_______fu1" localSheetId="8">'[2]Detailed Adjustments'!#REF!</definedName>
    <definedName name="_______fu1" localSheetId="10">'[2]Detailed Adjustments'!#REF!</definedName>
    <definedName name="_______fu1" localSheetId="9">'[2]Detailed Adjustments'!#REF!</definedName>
    <definedName name="_______fu1">'[2]Detailed Adjustments'!#REF!</definedName>
    <definedName name="_______hsd1" localSheetId="3">'[3]Summary Information'!#REF!</definedName>
    <definedName name="_______hsd1" localSheetId="2">'[3]Summary Information'!#REF!</definedName>
    <definedName name="_______hsd1" localSheetId="5">'[3]Summary Information'!#REF!</definedName>
    <definedName name="_______hsd1" localSheetId="8">'[3]Summary Information'!#REF!</definedName>
    <definedName name="_______hsd1" localSheetId="10">'[3]Summary Information'!#REF!</definedName>
    <definedName name="_______hsd1" localSheetId="9">'[3]Summary Information'!#REF!</definedName>
    <definedName name="_______hsd1">'[3]Summary Information'!#REF!</definedName>
    <definedName name="_______IR98" hidden="1">{#N/A,#N/A,FALSE,"Aging Summary";#N/A,#N/A,FALSE,"Ratio Analysis";#N/A,#N/A,FALSE,"Test 120 Day Accts";#N/A,#N/A,FALSE,"Tickmarks"}</definedName>
    <definedName name="_______l">[4]Links!$G$1:$G$65536</definedName>
    <definedName name="_______PAG19" localSheetId="3">#REF!</definedName>
    <definedName name="_______PAG19" localSheetId="2">#REF!</definedName>
    <definedName name="_______PAG19" localSheetId="5">#REF!</definedName>
    <definedName name="_______PAG19" localSheetId="8">#REF!</definedName>
    <definedName name="_______PAG19" localSheetId="10">#REF!</definedName>
    <definedName name="_______PAG19" localSheetId="9">#REF!</definedName>
    <definedName name="_______PAG19">#REF!</definedName>
    <definedName name="_______PAG20" localSheetId="3">#REF!</definedName>
    <definedName name="_______PAG20" localSheetId="2">#REF!</definedName>
    <definedName name="_______PAG20" localSheetId="5">#REF!</definedName>
    <definedName name="_______PAG20" localSheetId="8">#REF!</definedName>
    <definedName name="_______PAG20" localSheetId="10">#REF!</definedName>
    <definedName name="_______PAG20" localSheetId="9">#REF!</definedName>
    <definedName name="_______PAG20">#REF!</definedName>
    <definedName name="_______pg1" localSheetId="3">#REF!</definedName>
    <definedName name="_______pg1" localSheetId="2">#REF!</definedName>
    <definedName name="_______pg1" localSheetId="5">#REF!</definedName>
    <definedName name="_______pg1" localSheetId="8">#REF!</definedName>
    <definedName name="_______pg1" localSheetId="10">#REF!</definedName>
    <definedName name="_______pg1" localSheetId="9">#REF!</definedName>
    <definedName name="_______pg1">#REF!</definedName>
    <definedName name="_______pg2" localSheetId="3">#REF!,#REF!</definedName>
    <definedName name="_______pg2" localSheetId="2">#REF!,#REF!</definedName>
    <definedName name="_______pg2" localSheetId="5">#REF!,#REF!</definedName>
    <definedName name="_______pg2" localSheetId="8">#REF!,#REF!</definedName>
    <definedName name="_______pg2" localSheetId="10">#REF!,#REF!</definedName>
    <definedName name="_______pg2" localSheetId="9">#REF!,#REF!</definedName>
    <definedName name="_______pg2">#REF!,#REF!</definedName>
    <definedName name="______bal0196">[5]Plan1!$A$1:$F$238</definedName>
    <definedName name="______bal0296">[5]Plan1!$A$1:$F$238</definedName>
    <definedName name="______Bal0497">[5]Plan1!$A$1:$F$517</definedName>
    <definedName name="______bal1196">[5]Plan1!$A$1:$F$596</definedName>
    <definedName name="______bdg2000">[5]Plan1!$A$1:$AH$101</definedName>
    <definedName name="______CS01" hidden="1">{#N/A,#N/A,FALSE,"Aging Summary";#N/A,#N/A,FALSE,"Ratio Analysis";#N/A,#N/A,FALSE,"Test 120 Day Accts";#N/A,#N/A,FALSE,"Tickmarks"}</definedName>
    <definedName name="______CSL01" hidden="1">{#N/A,#N/A,FALSE,"Aging Summary";#N/A,#N/A,FALSE,"Ratio Analysis";#N/A,#N/A,FALSE,"Test 120 Day Accts";#N/A,#N/A,FALSE,"Tickmarks"}</definedName>
    <definedName name="______fu1" localSheetId="3">'[2]Detailed Adjustments'!#REF!</definedName>
    <definedName name="______fu1" localSheetId="2">'[2]Detailed Adjustments'!#REF!</definedName>
    <definedName name="______fu1" localSheetId="5">'[2]Detailed Adjustments'!#REF!</definedName>
    <definedName name="______fu1" localSheetId="8">'[2]Detailed Adjustments'!#REF!</definedName>
    <definedName name="______fu1" localSheetId="10">'[2]Detailed Adjustments'!#REF!</definedName>
    <definedName name="______fu1" localSheetId="9">'[2]Detailed Adjustments'!#REF!</definedName>
    <definedName name="______fu1">'[2]Detailed Adjustments'!#REF!</definedName>
    <definedName name="______hsd1" localSheetId="3">'[3]Summary Information'!#REF!</definedName>
    <definedName name="______hsd1" localSheetId="2">'[3]Summary Information'!#REF!</definedName>
    <definedName name="______hsd1" localSheetId="5">'[3]Summary Information'!#REF!</definedName>
    <definedName name="______hsd1" localSheetId="8">'[3]Summary Information'!#REF!</definedName>
    <definedName name="______hsd1" localSheetId="10">'[3]Summary Information'!#REF!</definedName>
    <definedName name="______hsd1" localSheetId="9">'[3]Summary Information'!#REF!</definedName>
    <definedName name="______hsd1">'[3]Summary Information'!#REF!</definedName>
    <definedName name="______IR98" hidden="1">{#N/A,#N/A,FALSE,"Aging Summary";#N/A,#N/A,FALSE,"Ratio Analysis";#N/A,#N/A,FALSE,"Test 120 Day Accts";#N/A,#N/A,FALSE,"Tickmarks"}</definedName>
    <definedName name="______l">[4]Links!$G$1:$G$65536</definedName>
    <definedName name="______PAG19" localSheetId="3">#REF!</definedName>
    <definedName name="______PAG19" localSheetId="2">#REF!</definedName>
    <definedName name="______PAG19" localSheetId="5">#REF!</definedName>
    <definedName name="______PAG19" localSheetId="8">#REF!</definedName>
    <definedName name="______PAG19" localSheetId="10">#REF!</definedName>
    <definedName name="______PAG19" localSheetId="9">#REF!</definedName>
    <definedName name="______PAG19">#REF!</definedName>
    <definedName name="______PAG20" localSheetId="3">#REF!</definedName>
    <definedName name="______PAG20" localSheetId="2">#REF!</definedName>
    <definedName name="______PAG20" localSheetId="5">#REF!</definedName>
    <definedName name="______PAG20" localSheetId="8">#REF!</definedName>
    <definedName name="______PAG20" localSheetId="10">#REF!</definedName>
    <definedName name="______PAG20" localSheetId="9">#REF!</definedName>
    <definedName name="______PAG20">#REF!</definedName>
    <definedName name="______pg1" localSheetId="3">#REF!</definedName>
    <definedName name="______pg1" localSheetId="2">#REF!</definedName>
    <definedName name="______pg1" localSheetId="5">#REF!</definedName>
    <definedName name="______pg1" localSheetId="8">#REF!</definedName>
    <definedName name="______pg1" localSheetId="10">#REF!</definedName>
    <definedName name="______pg1" localSheetId="9">#REF!</definedName>
    <definedName name="______pg1">#REF!</definedName>
    <definedName name="______pg2" localSheetId="3">#REF!,#REF!</definedName>
    <definedName name="______pg2" localSheetId="2">#REF!,#REF!</definedName>
    <definedName name="______pg2" localSheetId="5">#REF!,#REF!</definedName>
    <definedName name="______pg2" localSheetId="8">#REF!,#REF!</definedName>
    <definedName name="______pg2" localSheetId="10">#REF!,#REF!</definedName>
    <definedName name="______pg2" localSheetId="9">#REF!,#REF!</definedName>
    <definedName name="______pg2">#REF!,#REF!</definedName>
    <definedName name="_____bal0196">[5]Plan1!$A$1:$F$238</definedName>
    <definedName name="_____bal0296">[5]Plan1!$A$1:$F$238</definedName>
    <definedName name="_____Bal0497">[5]Plan1!$A$1:$F$517</definedName>
    <definedName name="_____bal1196">[5]Plan1!$A$1:$F$596</definedName>
    <definedName name="_____bdg2000">[5]Plan1!$A$1:$AH$101</definedName>
    <definedName name="_____CS01" hidden="1">{#N/A,#N/A,FALSE,"Aging Summary";#N/A,#N/A,FALSE,"Ratio Analysis";#N/A,#N/A,FALSE,"Test 120 Day Accts";#N/A,#N/A,FALSE,"Tickmarks"}</definedName>
    <definedName name="_____CSL01" hidden="1">{#N/A,#N/A,FALSE,"Aging Summary";#N/A,#N/A,FALSE,"Ratio Analysis";#N/A,#N/A,FALSE,"Test 120 Day Accts";#N/A,#N/A,FALSE,"Tickmarks"}</definedName>
    <definedName name="_____fu1" localSheetId="3">'[2]Detailed Adjustments'!#REF!</definedName>
    <definedName name="_____fu1" localSheetId="2">'[2]Detailed Adjustments'!#REF!</definedName>
    <definedName name="_____fu1" localSheetId="5">'[2]Detailed Adjustments'!#REF!</definedName>
    <definedName name="_____fu1" localSheetId="8">'[2]Detailed Adjustments'!#REF!</definedName>
    <definedName name="_____fu1" localSheetId="10">'[2]Detailed Adjustments'!#REF!</definedName>
    <definedName name="_____fu1" localSheetId="9">'[2]Detailed Adjustments'!#REF!</definedName>
    <definedName name="_____fu1">'[2]Detailed Adjustments'!#REF!</definedName>
    <definedName name="_____hsd1" localSheetId="3">'[3]Summary Information'!#REF!</definedName>
    <definedName name="_____hsd1" localSheetId="2">'[3]Summary Information'!#REF!</definedName>
    <definedName name="_____hsd1" localSheetId="5">'[3]Summary Information'!#REF!</definedName>
    <definedName name="_____hsd1" localSheetId="8">'[3]Summary Information'!#REF!</definedName>
    <definedName name="_____hsd1" localSheetId="10">'[3]Summary Information'!#REF!</definedName>
    <definedName name="_____hsd1" localSheetId="9">'[3]Summary Information'!#REF!</definedName>
    <definedName name="_____hsd1">'[3]Summary Information'!#REF!</definedName>
    <definedName name="_____IR98" hidden="1">{#N/A,#N/A,FALSE,"Aging Summary";#N/A,#N/A,FALSE,"Ratio Analysis";#N/A,#N/A,FALSE,"Test 120 Day Accts";#N/A,#N/A,FALSE,"Tickmarks"}</definedName>
    <definedName name="_____l">[4]Links!$G$1:$G$65536</definedName>
    <definedName name="_____PAG19" localSheetId="3">#REF!</definedName>
    <definedName name="_____PAG19" localSheetId="2">#REF!</definedName>
    <definedName name="_____PAG19" localSheetId="5">#REF!</definedName>
    <definedName name="_____PAG19" localSheetId="8">#REF!</definedName>
    <definedName name="_____PAG19" localSheetId="10">#REF!</definedName>
    <definedName name="_____PAG19" localSheetId="9">#REF!</definedName>
    <definedName name="_____PAG19">#REF!</definedName>
    <definedName name="_____PAG20" localSheetId="3">#REF!</definedName>
    <definedName name="_____PAG20" localSheetId="2">#REF!</definedName>
    <definedName name="_____PAG20" localSheetId="5">#REF!</definedName>
    <definedName name="_____PAG20" localSheetId="8">#REF!</definedName>
    <definedName name="_____PAG20" localSheetId="10">#REF!</definedName>
    <definedName name="_____PAG20" localSheetId="9">#REF!</definedName>
    <definedName name="_____PAG20">#REF!</definedName>
    <definedName name="_____pg1" localSheetId="3">#REF!</definedName>
    <definedName name="_____pg1" localSheetId="2">#REF!</definedName>
    <definedName name="_____pg1" localSheetId="5">#REF!</definedName>
    <definedName name="_____pg1" localSheetId="8">#REF!</definedName>
    <definedName name="_____pg1" localSheetId="10">#REF!</definedName>
    <definedName name="_____pg1" localSheetId="9">#REF!</definedName>
    <definedName name="_____pg1">#REF!</definedName>
    <definedName name="_____pg2" localSheetId="3">#REF!,#REF!</definedName>
    <definedName name="_____pg2" localSheetId="2">#REF!,#REF!</definedName>
    <definedName name="_____pg2" localSheetId="5">#REF!,#REF!</definedName>
    <definedName name="_____pg2" localSheetId="8">#REF!,#REF!</definedName>
    <definedName name="_____pg2" localSheetId="10">#REF!,#REF!</definedName>
    <definedName name="_____pg2" localSheetId="9">#REF!,#REF!</definedName>
    <definedName name="_____pg2">#REF!,#REF!</definedName>
    <definedName name="____1_?_0FLU" localSheetId="3">#REF!</definedName>
    <definedName name="____1_?_0FLU" localSheetId="2">#REF!</definedName>
    <definedName name="____1_?_0FLU" localSheetId="5">#REF!</definedName>
    <definedName name="____1_?_0FLU" localSheetId="8">#REF!</definedName>
    <definedName name="____1_?_0FLU" localSheetId="10">#REF!</definedName>
    <definedName name="____1_?_0FLU" localSheetId="9">#REF!</definedName>
    <definedName name="____1_?_0FLU">#REF!</definedName>
    <definedName name="____bal0196">[5]Plan1!$A$1:$F$238</definedName>
    <definedName name="____bal0296">[5]Plan1!$A$1:$F$238</definedName>
    <definedName name="____Bal0497">[5]Plan1!$A$1:$F$517</definedName>
    <definedName name="____bal1196">[5]Plan1!$A$1:$F$596</definedName>
    <definedName name="____bdg2000">[5]Plan1!$A$1:$AH$101</definedName>
    <definedName name="____CS01" hidden="1">{#N/A,#N/A,FALSE,"Aging Summary";#N/A,#N/A,FALSE,"Ratio Analysis";#N/A,#N/A,FALSE,"Test 120 Day Accts";#N/A,#N/A,FALSE,"Tickmarks"}</definedName>
    <definedName name="____CSL01" hidden="1">{#N/A,#N/A,FALSE,"Aging Summary";#N/A,#N/A,FALSE,"Ratio Analysis";#N/A,#N/A,FALSE,"Test 120 Day Accts";#N/A,#N/A,FALSE,"Tickmarks"}</definedName>
    <definedName name="____fu1" localSheetId="3">'[2]Detailed Adjustments'!#REF!</definedName>
    <definedName name="____fu1" localSheetId="2">'[2]Detailed Adjustments'!#REF!</definedName>
    <definedName name="____fu1" localSheetId="5">'[2]Detailed Adjustments'!#REF!</definedName>
    <definedName name="____fu1" localSheetId="8">'[2]Detailed Adjustments'!#REF!</definedName>
    <definedName name="____fu1" localSheetId="10">'[2]Detailed Adjustments'!#REF!</definedName>
    <definedName name="____fu1" localSheetId="9">'[2]Detailed Adjustments'!#REF!</definedName>
    <definedName name="____fu1">'[2]Detailed Adjustments'!#REF!</definedName>
    <definedName name="____hsd1" localSheetId="3">'[3]Summary Information'!#REF!</definedName>
    <definedName name="____hsd1" localSheetId="2">'[3]Summary Information'!#REF!</definedName>
    <definedName name="____hsd1" localSheetId="5">'[3]Summary Information'!#REF!</definedName>
    <definedName name="____hsd1" localSheetId="8">'[3]Summary Information'!#REF!</definedName>
    <definedName name="____hsd1" localSheetId="10">'[3]Summary Information'!#REF!</definedName>
    <definedName name="____hsd1" localSheetId="9">'[3]Summary Information'!#REF!</definedName>
    <definedName name="____hsd1">'[3]Summary Information'!#REF!</definedName>
    <definedName name="____IR98" hidden="1">{#N/A,#N/A,FALSE,"Aging Summary";#N/A,#N/A,FALSE,"Ratio Analysis";#N/A,#N/A,FALSE,"Test 120 Day Accts";#N/A,#N/A,FALSE,"Tickmarks"}</definedName>
    <definedName name="____l">[4]Links!$G$1:$G$65536</definedName>
    <definedName name="____PAG19" localSheetId="3">#REF!</definedName>
    <definedName name="____PAG19" localSheetId="2">#REF!</definedName>
    <definedName name="____PAG19" localSheetId="5">#REF!</definedName>
    <definedName name="____PAG19" localSheetId="8">#REF!</definedName>
    <definedName name="____PAG19" localSheetId="10">#REF!</definedName>
    <definedName name="____PAG19" localSheetId="9">#REF!</definedName>
    <definedName name="____PAG19">#REF!</definedName>
    <definedName name="____PAG20" localSheetId="3">#REF!</definedName>
    <definedName name="____PAG20" localSheetId="2">#REF!</definedName>
    <definedName name="____PAG20" localSheetId="5">#REF!</definedName>
    <definedName name="____PAG20" localSheetId="8">#REF!</definedName>
    <definedName name="____PAG20" localSheetId="10">#REF!</definedName>
    <definedName name="____PAG20" localSheetId="9">#REF!</definedName>
    <definedName name="____PAG20">#REF!</definedName>
    <definedName name="____pg1" localSheetId="3">#REF!</definedName>
    <definedName name="____pg1" localSheetId="2">#REF!</definedName>
    <definedName name="____pg1" localSheetId="5">#REF!</definedName>
    <definedName name="____pg1" localSheetId="8">#REF!</definedName>
    <definedName name="____pg1" localSheetId="10">#REF!</definedName>
    <definedName name="____pg1" localSheetId="9">#REF!</definedName>
    <definedName name="____pg1">#REF!</definedName>
    <definedName name="____pg2" localSheetId="3">#REF!,#REF!</definedName>
    <definedName name="____pg2" localSheetId="2">#REF!,#REF!</definedName>
    <definedName name="____pg2" localSheetId="5">#REF!,#REF!</definedName>
    <definedName name="____pg2" localSheetId="8">#REF!,#REF!</definedName>
    <definedName name="____pg2" localSheetId="10">#REF!,#REF!</definedName>
    <definedName name="____pg2" localSheetId="9">#REF!,#REF!</definedName>
    <definedName name="____pg2">#REF!,#REF!</definedName>
    <definedName name="___1_?_0FLU" localSheetId="3">#REF!</definedName>
    <definedName name="___1_?_0FLU" localSheetId="2">#REF!</definedName>
    <definedName name="___1_?_0FLU" localSheetId="5">#REF!</definedName>
    <definedName name="___1_?_0FLU" localSheetId="8">#REF!</definedName>
    <definedName name="___1_?_0FLU" localSheetId="10">#REF!</definedName>
    <definedName name="___1_?_0FLU" localSheetId="9">#REF!</definedName>
    <definedName name="___1_?_0FLU">#REF!</definedName>
    <definedName name="___3_?_0FLU" localSheetId="3">#REF!</definedName>
    <definedName name="___3_?_0FLU" localSheetId="2">#REF!</definedName>
    <definedName name="___3_?_0FLU" localSheetId="5">#REF!</definedName>
    <definedName name="___3_?_0FLU" localSheetId="8">#REF!</definedName>
    <definedName name="___3_?_0FLU" localSheetId="10">#REF!</definedName>
    <definedName name="___3_?_0FLU" localSheetId="9">#REF!</definedName>
    <definedName name="___3_?_0FLU">#REF!</definedName>
    <definedName name="___bal0196">[5]Plan1!$A$1:$F$238</definedName>
    <definedName name="___bal0296">[5]Plan1!$A$1:$F$238</definedName>
    <definedName name="___Bal0497">[5]Plan1!$A$1:$F$517</definedName>
    <definedName name="___bal1196">[5]Plan1!$A$1:$F$596</definedName>
    <definedName name="___bdg2000">[5]Plan1!$A$1:$AH$101</definedName>
    <definedName name="___CS01" hidden="1">{#N/A,#N/A,FALSE,"Aging Summary";#N/A,#N/A,FALSE,"Ratio Analysis";#N/A,#N/A,FALSE,"Test 120 Day Accts";#N/A,#N/A,FALSE,"Tickmarks"}</definedName>
    <definedName name="___CSL01" hidden="1">{#N/A,#N/A,FALSE,"Aging Summary";#N/A,#N/A,FALSE,"Ratio Analysis";#N/A,#N/A,FALSE,"Test 120 Day Accts";#N/A,#N/A,FALSE,"Tickmarks"}</definedName>
    <definedName name="___fu1" localSheetId="3">'[2]Detailed Adjustments'!#REF!</definedName>
    <definedName name="___fu1" localSheetId="2">'[2]Detailed Adjustments'!#REF!</definedName>
    <definedName name="___fu1" localSheetId="5">'[2]Detailed Adjustments'!#REF!</definedName>
    <definedName name="___fu1" localSheetId="8">'[2]Detailed Adjustments'!#REF!</definedName>
    <definedName name="___fu1" localSheetId="10">'[2]Detailed Adjustments'!#REF!</definedName>
    <definedName name="___fu1" localSheetId="9">'[2]Detailed Adjustments'!#REF!</definedName>
    <definedName name="___fu1">'[2]Detailed Adjustments'!#REF!</definedName>
    <definedName name="___hsd1" localSheetId="3">'[3]Summary Information'!#REF!</definedName>
    <definedName name="___hsd1" localSheetId="2">'[3]Summary Information'!#REF!</definedName>
    <definedName name="___hsd1" localSheetId="5">'[3]Summary Information'!#REF!</definedName>
    <definedName name="___hsd1" localSheetId="8">'[3]Summary Information'!#REF!</definedName>
    <definedName name="___hsd1" localSheetId="10">'[3]Summary Information'!#REF!</definedName>
    <definedName name="___hsd1" localSheetId="9">'[3]Summary Information'!#REF!</definedName>
    <definedName name="___hsd1">'[3]Summary Information'!#REF!</definedName>
    <definedName name="___IR98" hidden="1">{#N/A,#N/A,FALSE,"Aging Summary";#N/A,#N/A,FALSE,"Ratio Analysis";#N/A,#N/A,FALSE,"Test 120 Day Accts";#N/A,#N/A,FALSE,"Tickmarks"}</definedName>
    <definedName name="___l">[4]Links!$G$1:$G$65536</definedName>
    <definedName name="___PAG19" localSheetId="3">#REF!</definedName>
    <definedName name="___PAG19" localSheetId="2">#REF!</definedName>
    <definedName name="___PAG19" localSheetId="5">#REF!</definedName>
    <definedName name="___PAG19" localSheetId="8">#REF!</definedName>
    <definedName name="___PAG19" localSheetId="10">#REF!</definedName>
    <definedName name="___PAG19" localSheetId="9">#REF!</definedName>
    <definedName name="___PAG19">#REF!</definedName>
    <definedName name="___PAG20" localSheetId="3">#REF!</definedName>
    <definedName name="___PAG20" localSheetId="2">#REF!</definedName>
    <definedName name="___PAG20" localSheetId="5">#REF!</definedName>
    <definedName name="___PAG20" localSheetId="8">#REF!</definedName>
    <definedName name="___PAG20" localSheetId="10">#REF!</definedName>
    <definedName name="___PAG20" localSheetId="9">#REF!</definedName>
    <definedName name="___PAG20">#REF!</definedName>
    <definedName name="___pg1" localSheetId="3">#REF!</definedName>
    <definedName name="___pg1" localSheetId="2">#REF!</definedName>
    <definedName name="___pg1" localSheetId="5">#REF!</definedName>
    <definedName name="___pg1" localSheetId="8">#REF!</definedName>
    <definedName name="___pg1" localSheetId="10">#REF!</definedName>
    <definedName name="___pg1" localSheetId="9">#REF!</definedName>
    <definedName name="___pg1">#REF!</definedName>
    <definedName name="___pg2" localSheetId="3">#REF!,#REF!</definedName>
    <definedName name="___pg2" localSheetId="2">#REF!,#REF!</definedName>
    <definedName name="___pg2" localSheetId="5">#REF!,#REF!</definedName>
    <definedName name="___pg2" localSheetId="8">#REF!,#REF!</definedName>
    <definedName name="___pg2" localSheetId="10">#REF!,#REF!</definedName>
    <definedName name="___pg2" localSheetId="9">#REF!,#REF!</definedName>
    <definedName name="___pg2">#REF!,#REF!</definedName>
    <definedName name="__1_?_0FLU" localSheetId="3">#REF!</definedName>
    <definedName name="__1_?_0FLU" localSheetId="2">#REF!</definedName>
    <definedName name="__1_?_0FLU" localSheetId="5">#REF!</definedName>
    <definedName name="__1_?_0FLU" localSheetId="8">#REF!</definedName>
    <definedName name="__1_?_0FLU" localSheetId="10">#REF!</definedName>
    <definedName name="__1_?_0FLU" localSheetId="9">#REF!</definedName>
    <definedName name="__1_?_0FLU">#REF!</definedName>
    <definedName name="__2_?_0FLU" localSheetId="3">#REF!</definedName>
    <definedName name="__2_?_0FLU" localSheetId="2">#REF!</definedName>
    <definedName name="__2_?_0FLU" localSheetId="5">#REF!</definedName>
    <definedName name="__2_?_0FLU" localSheetId="8">#REF!</definedName>
    <definedName name="__2_?_0FLU" localSheetId="10">#REF!</definedName>
    <definedName name="__2_?_0FLU" localSheetId="9">#REF!</definedName>
    <definedName name="__2_?_0FLU">#REF!</definedName>
    <definedName name="__3_?_0FLU" localSheetId="3">#REF!</definedName>
    <definedName name="__3_?_0FLU" localSheetId="2">#REF!</definedName>
    <definedName name="__3_?_0FLU" localSheetId="5">#REF!</definedName>
    <definedName name="__3_?_0FLU" localSheetId="8">#REF!</definedName>
    <definedName name="__3_?_0FLU" localSheetId="10">#REF!</definedName>
    <definedName name="__3_?_0FLU" localSheetId="9">#REF!</definedName>
    <definedName name="__3_?_0FLU">#REF!</definedName>
    <definedName name="__4_?__FLU" localSheetId="3">#REF!</definedName>
    <definedName name="__4_?__FLU" localSheetId="2">#REF!</definedName>
    <definedName name="__4_?__FLU" localSheetId="5">#REF!</definedName>
    <definedName name="__4_?__FLU" localSheetId="8">#REF!</definedName>
    <definedName name="__4_?__FLU" localSheetId="10">#REF!</definedName>
    <definedName name="__4_?__FLU" localSheetId="9">#REF!</definedName>
    <definedName name="__4_?__FLU">#REF!</definedName>
    <definedName name="__bal0196">[5]Plan1!$A$1:$F$238</definedName>
    <definedName name="__bal0296">[5]Plan1!$A$1:$F$238</definedName>
    <definedName name="__Bal0497">[5]Plan1!$A$1:$F$517</definedName>
    <definedName name="__bal1196">[5]Plan1!$A$1:$F$596</definedName>
    <definedName name="__bdg2000">[5]Plan1!$A$1:$AH$101</definedName>
    <definedName name="__CS01" hidden="1">{#N/A,#N/A,FALSE,"Aging Summary";#N/A,#N/A,FALSE,"Ratio Analysis";#N/A,#N/A,FALSE,"Test 120 Day Accts";#N/A,#N/A,FALSE,"Tickmarks"}</definedName>
    <definedName name="__CSL01" hidden="1">{#N/A,#N/A,FALSE,"Aging Summary";#N/A,#N/A,FALSE,"Ratio Analysis";#N/A,#N/A,FALSE,"Test 120 Day Accts";#N/A,#N/A,FALSE,"Tickmarks"}</definedName>
    <definedName name="__fu1" localSheetId="3">'[2]Detailed Adjustments'!#REF!</definedName>
    <definedName name="__fu1" localSheetId="2">'[2]Detailed Adjustments'!#REF!</definedName>
    <definedName name="__fu1" localSheetId="5">'[2]Detailed Adjustments'!#REF!</definedName>
    <definedName name="__fu1" localSheetId="8">'[2]Detailed Adjustments'!#REF!</definedName>
    <definedName name="__fu1" localSheetId="10">'[2]Detailed Adjustments'!#REF!</definedName>
    <definedName name="__fu1" localSheetId="9">'[2]Detailed Adjustments'!#REF!</definedName>
    <definedName name="__fu1">'[2]Detailed Adjustments'!#REF!</definedName>
    <definedName name="__hsd1" localSheetId="3">'[3]Summary Information'!#REF!</definedName>
    <definedName name="__hsd1" localSheetId="2">'[3]Summary Information'!#REF!</definedName>
    <definedName name="__hsd1" localSheetId="5">'[3]Summary Information'!#REF!</definedName>
    <definedName name="__hsd1" localSheetId="8">'[3]Summary Information'!#REF!</definedName>
    <definedName name="__hsd1" localSheetId="10">'[3]Summary Information'!#REF!</definedName>
    <definedName name="__hsd1" localSheetId="9">'[3]Summary Information'!#REF!</definedName>
    <definedName name="__hsd1">'[3]Summary Information'!#REF!</definedName>
    <definedName name="__IR98" hidden="1">{#N/A,#N/A,FALSE,"Aging Summary";#N/A,#N/A,FALSE,"Ratio Analysis";#N/A,#N/A,FALSE,"Test 120 Day Accts";#N/A,#N/A,FALSE,"Tickmarks"}</definedName>
    <definedName name="__l">[4]Links!$G$1:$G$65536</definedName>
    <definedName name="__PAG19" localSheetId="3">#REF!</definedName>
    <definedName name="__PAG19" localSheetId="2">#REF!</definedName>
    <definedName name="__PAG19" localSheetId="5">#REF!</definedName>
    <definedName name="__PAG19" localSheetId="8">#REF!</definedName>
    <definedName name="__PAG19" localSheetId="10">#REF!</definedName>
    <definedName name="__PAG19" localSheetId="9">#REF!</definedName>
    <definedName name="__PAG19">#REF!</definedName>
    <definedName name="__PAG20" localSheetId="3">#REF!</definedName>
    <definedName name="__PAG20" localSheetId="2">#REF!</definedName>
    <definedName name="__PAG20" localSheetId="5">#REF!</definedName>
    <definedName name="__PAG20" localSheetId="8">#REF!</definedName>
    <definedName name="__PAG20" localSheetId="10">#REF!</definedName>
    <definedName name="__PAG20" localSheetId="9">#REF!</definedName>
    <definedName name="__PAG20">#REF!</definedName>
    <definedName name="__pg1" localSheetId="3">#REF!</definedName>
    <definedName name="__pg1" localSheetId="2">#REF!</definedName>
    <definedName name="__pg1" localSheetId="5">#REF!</definedName>
    <definedName name="__pg1" localSheetId="8">#REF!</definedName>
    <definedName name="__pg1" localSheetId="10">#REF!</definedName>
    <definedName name="__pg1" localSheetId="9">#REF!</definedName>
    <definedName name="__pg1">#REF!</definedName>
    <definedName name="__pg2" localSheetId="3">#REF!,#REF!</definedName>
    <definedName name="__pg2" localSheetId="2">#REF!,#REF!</definedName>
    <definedName name="__pg2" localSheetId="5">#REF!,#REF!</definedName>
    <definedName name="__pg2" localSheetId="8">#REF!,#REF!</definedName>
    <definedName name="__pg2" localSheetId="10">#REF!,#REF!</definedName>
    <definedName name="__pg2" localSheetId="9">#REF!,#REF!</definedName>
    <definedName name="__pg2">#REF!,#REF!</definedName>
    <definedName name="_1_?_0FLU" localSheetId="3">#REF!</definedName>
    <definedName name="_1_?_0FLU" localSheetId="2">#REF!</definedName>
    <definedName name="_1_?_0FLU" localSheetId="5">#REF!</definedName>
    <definedName name="_1_?_0FLU" localSheetId="8">#REF!</definedName>
    <definedName name="_1_?_0FLU" localSheetId="10">#REF!</definedName>
    <definedName name="_1_?_0FLU" localSheetId="9">#REF!</definedName>
    <definedName name="_1_?_0FLU">#REF!</definedName>
    <definedName name="_1_US">"Dolar Exchange"</definedName>
    <definedName name="_10_?_0FLU" localSheetId="3">#REF!</definedName>
    <definedName name="_10_?_0FLU" localSheetId="2">#REF!</definedName>
    <definedName name="_10_?_0FLU" localSheetId="5">#REF!</definedName>
    <definedName name="_10_?_0FLU" localSheetId="8">#REF!</definedName>
    <definedName name="_10_?_0FLU" localSheetId="10">#REF!</definedName>
    <definedName name="_10_?_0FLU" localSheetId="9">#REF!</definedName>
    <definedName name="_10_?_0FLU">#REF!</definedName>
    <definedName name="_11_?_0FLU" localSheetId="3">#REF!</definedName>
    <definedName name="_11_?_0FLU" localSheetId="2">#REF!</definedName>
    <definedName name="_11_?_0FLU" localSheetId="5">#REF!</definedName>
    <definedName name="_11_?_0FLU" localSheetId="8">#REF!</definedName>
    <definedName name="_11_?_0FLU" localSheetId="10">#REF!</definedName>
    <definedName name="_11_?_0FLU" localSheetId="9">#REF!</definedName>
    <definedName name="_11_?_0FLU">#REF!</definedName>
    <definedName name="_13_?__FLU" localSheetId="3">#REF!</definedName>
    <definedName name="_13_?__FLU" localSheetId="2">#REF!</definedName>
    <definedName name="_13_?__FLU" localSheetId="5">#REF!</definedName>
    <definedName name="_13_?__FLU" localSheetId="8">#REF!</definedName>
    <definedName name="_13_?__FLU" localSheetId="10">#REF!</definedName>
    <definedName name="_13_?__FLU" localSheetId="9">#REF!</definedName>
    <definedName name="_13_?__FLU">#REF!</definedName>
    <definedName name="_14_?_0FLU" localSheetId="3">#REF!</definedName>
    <definedName name="_14_?_0FLU" localSheetId="2">#REF!</definedName>
    <definedName name="_14_?_0FLU" localSheetId="5">#REF!</definedName>
    <definedName name="_14_?_0FLU" localSheetId="8">#REF!</definedName>
    <definedName name="_14_?_0FLU" localSheetId="10">#REF!</definedName>
    <definedName name="_14_?_0FLU" localSheetId="9">#REF!</definedName>
    <definedName name="_14_?_0FLU">#REF!</definedName>
    <definedName name="_2_?__FLU" localSheetId="3">#REF!</definedName>
    <definedName name="_2_?__FLU" localSheetId="2">#REF!</definedName>
    <definedName name="_2_?__FLU" localSheetId="5">#REF!</definedName>
    <definedName name="_2_?__FLU" localSheetId="8">#REF!</definedName>
    <definedName name="_2_?__FLU" localSheetId="10">#REF!</definedName>
    <definedName name="_2_?__FLU" localSheetId="9">#REF!</definedName>
    <definedName name="_2_?__FLU">#REF!</definedName>
    <definedName name="_2_?_0FLU" localSheetId="3">#REF!</definedName>
    <definedName name="_2_?_0FLU" localSheetId="2">#REF!</definedName>
    <definedName name="_2_?_0FLU" localSheetId="5">#REF!</definedName>
    <definedName name="_2_?_0FLU" localSheetId="8">#REF!</definedName>
    <definedName name="_2_?_0FLU" localSheetId="10">#REF!</definedName>
    <definedName name="_2_?_0FLU" localSheetId="9">#REF!</definedName>
    <definedName name="_2_?_0FLU">#REF!</definedName>
    <definedName name="_28_?__FLU" localSheetId="3">#REF!</definedName>
    <definedName name="_28_?__FLU" localSheetId="2">#REF!</definedName>
    <definedName name="_28_?__FLU" localSheetId="5">#REF!</definedName>
    <definedName name="_28_?__FLU" localSheetId="8">#REF!</definedName>
    <definedName name="_28_?__FLU" localSheetId="10">#REF!</definedName>
    <definedName name="_28_?__FLU" localSheetId="9">#REF!</definedName>
    <definedName name="_28_?__FLU">#REF!</definedName>
    <definedName name="_3_?__FLU" localSheetId="3">#REF!</definedName>
    <definedName name="_3_?__FLU" localSheetId="2">#REF!</definedName>
    <definedName name="_3_?__FLU" localSheetId="5">#REF!</definedName>
    <definedName name="_3_?__FLU" localSheetId="8">#REF!</definedName>
    <definedName name="_3_?__FLU" localSheetId="10">#REF!</definedName>
    <definedName name="_3_?__FLU" localSheetId="9">#REF!</definedName>
    <definedName name="_3_?__FLU">#REF!</definedName>
    <definedName name="_3_?_0FLU" localSheetId="3">#REF!</definedName>
    <definedName name="_3_?_0FLU" localSheetId="2">#REF!</definedName>
    <definedName name="_3_?_0FLU" localSheetId="5">#REF!</definedName>
    <definedName name="_3_?_0FLU" localSheetId="8">#REF!</definedName>
    <definedName name="_3_?_0FLU" localSheetId="10">#REF!</definedName>
    <definedName name="_3_?_0FLU" localSheetId="9">#REF!</definedName>
    <definedName name="_3_?_0FLU">#REF!</definedName>
    <definedName name="_4_?__FLU" localSheetId="3">#REF!</definedName>
    <definedName name="_4_?__FLU" localSheetId="2">#REF!</definedName>
    <definedName name="_4_?__FLU" localSheetId="5">#REF!</definedName>
    <definedName name="_4_?__FLU" localSheetId="8">#REF!</definedName>
    <definedName name="_4_?__FLU" localSheetId="10">#REF!</definedName>
    <definedName name="_4_?__FLU" localSheetId="9">#REF!</definedName>
    <definedName name="_4_?__FLU">#REF!</definedName>
    <definedName name="_4_?_0FLU" localSheetId="3">#REF!</definedName>
    <definedName name="_4_?_0FLU" localSheetId="2">#REF!</definedName>
    <definedName name="_4_?_0FLU" localSheetId="5">#REF!</definedName>
    <definedName name="_4_?_0FLU" localSheetId="8">#REF!</definedName>
    <definedName name="_4_?_0FLU" localSheetId="10">#REF!</definedName>
    <definedName name="_4_?_0FLU" localSheetId="9">#REF!</definedName>
    <definedName name="_4_?_0FLU">#REF!</definedName>
    <definedName name="_5_?__FLU" localSheetId="3">#REF!</definedName>
    <definedName name="_5_?__FLU" localSheetId="2">#REF!</definedName>
    <definedName name="_5_?__FLU" localSheetId="5">#REF!</definedName>
    <definedName name="_5_?__FLU" localSheetId="8">#REF!</definedName>
    <definedName name="_5_?__FLU" localSheetId="10">#REF!</definedName>
    <definedName name="_5_?__FLU" localSheetId="9">#REF!</definedName>
    <definedName name="_5_?__FLU">#REF!</definedName>
    <definedName name="_5__?_0FLU" localSheetId="3">#REF!</definedName>
    <definedName name="_5__?_0FLU" localSheetId="2">#REF!</definedName>
    <definedName name="_5__?_0FLU" localSheetId="5">#REF!</definedName>
    <definedName name="_5__?_0FLU" localSheetId="8">#REF!</definedName>
    <definedName name="_5__?_0FLU" localSheetId="10">#REF!</definedName>
    <definedName name="_5__?_0FLU" localSheetId="9">#REF!</definedName>
    <definedName name="_5__?_0FLU">#REF!</definedName>
    <definedName name="_6_?__FLU" localSheetId="3">#REF!</definedName>
    <definedName name="_6_?__FLU" localSheetId="2">#REF!</definedName>
    <definedName name="_6_?__FLU" localSheetId="5">#REF!</definedName>
    <definedName name="_6_?__FLU" localSheetId="8">#REF!</definedName>
    <definedName name="_6_?__FLU" localSheetId="10">#REF!</definedName>
    <definedName name="_6_?__FLU" localSheetId="9">#REF!</definedName>
    <definedName name="_6_?__FLU">#REF!</definedName>
    <definedName name="_6_?_0FLU" localSheetId="3">#REF!</definedName>
    <definedName name="_6_?_0FLU" localSheetId="2">#REF!</definedName>
    <definedName name="_6_?_0FLU" localSheetId="5">#REF!</definedName>
    <definedName name="_6_?_0FLU" localSheetId="8">#REF!</definedName>
    <definedName name="_6_?_0FLU" localSheetId="10">#REF!</definedName>
    <definedName name="_6_?_0FLU" localSheetId="9">#REF!</definedName>
    <definedName name="_6_?_0FLU">#REF!</definedName>
    <definedName name="_6___?_0FLU" localSheetId="3">#REF!</definedName>
    <definedName name="_6___?_0FLU" localSheetId="2">#REF!</definedName>
    <definedName name="_6___?_0FLU" localSheetId="5">#REF!</definedName>
    <definedName name="_6___?_0FLU" localSheetId="8">#REF!</definedName>
    <definedName name="_6___?_0FLU" localSheetId="10">#REF!</definedName>
    <definedName name="_6___?_0FLU" localSheetId="9">#REF!</definedName>
    <definedName name="_6___?_0FLU">#REF!</definedName>
    <definedName name="_9_?_0FLU" localSheetId="3">#REF!</definedName>
    <definedName name="_9_?_0FLU" localSheetId="2">#REF!</definedName>
    <definedName name="_9_?_0FLU" localSheetId="5">#REF!</definedName>
    <definedName name="_9_?_0FLU" localSheetId="8">#REF!</definedName>
    <definedName name="_9_?_0FLU" localSheetId="10">#REF!</definedName>
    <definedName name="_9_?_0FLU" localSheetId="9">#REF!</definedName>
    <definedName name="_9_?_0FLU">#REF!</definedName>
    <definedName name="_bal0196">[5]Plan1!$A$1:$F$238</definedName>
    <definedName name="_bal0296">[5]Plan1!$A$1:$F$238</definedName>
    <definedName name="_Bal0497">[5]Plan1!$A$1:$F$517</definedName>
    <definedName name="_bal1196">[5]Plan1!$A$1:$F$596</definedName>
    <definedName name="_bdg2000">[5]Plan1!$A$1:$AH$101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xlnm._FilterDatabase" localSheetId="0" hidden="1">Painel!$F$1:$G$2</definedName>
    <definedName name="_fu1" localSheetId="3">'[2]Detailed Adjustments'!#REF!</definedName>
    <definedName name="_fu1" localSheetId="2">'[2]Detailed Adjustments'!#REF!</definedName>
    <definedName name="_fu1" localSheetId="5">'[2]Detailed Adjustments'!#REF!</definedName>
    <definedName name="_fu1" localSheetId="8">'[2]Detailed Adjustments'!#REF!</definedName>
    <definedName name="_fu1" localSheetId="10">'[2]Detailed Adjustments'!#REF!</definedName>
    <definedName name="_fu1" localSheetId="9">'[2]Detailed Adjustments'!#REF!</definedName>
    <definedName name="_fu1">'[2]Detailed Adjustments'!#REF!</definedName>
    <definedName name="_hsd1" localSheetId="3">'[3]Summary Information'!#REF!</definedName>
    <definedName name="_hsd1" localSheetId="2">'[3]Summary Information'!#REF!</definedName>
    <definedName name="_hsd1" localSheetId="5">'[3]Summary Information'!#REF!</definedName>
    <definedName name="_hsd1" localSheetId="8">'[3]Summary Information'!#REF!</definedName>
    <definedName name="_hsd1" localSheetId="10">'[3]Summary Information'!#REF!</definedName>
    <definedName name="_hsd1" localSheetId="9">'[3]Summary Information'!#REF!</definedName>
    <definedName name="_hsd1">'[3]Summary Information'!#REF!</definedName>
    <definedName name="_IR98" hidden="1">{#N/A,#N/A,FALSE,"Aging Summary";#N/A,#N/A,FALSE,"Ratio Analysis";#N/A,#N/A,FALSE,"Test 120 Day Accts";#N/A,#N/A,FALSE,"Tickmarks"}</definedName>
    <definedName name="_Key1" localSheetId="3" hidden="1">#REF!</definedName>
    <definedName name="_Key1" localSheetId="2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9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5" hidden="1">#REF!</definedName>
    <definedName name="_Key2" localSheetId="8" hidden="1">#REF!</definedName>
    <definedName name="_Key2" localSheetId="10" hidden="1">#REF!</definedName>
    <definedName name="_Key2" localSheetId="9" hidden="1">#REF!</definedName>
    <definedName name="_Key2" hidden="1">#REF!</definedName>
    <definedName name="_l">[4]Links!$G$1:$G$65536</definedName>
    <definedName name="_Order1" hidden="1">255</definedName>
    <definedName name="_Order2" hidden="1">255</definedName>
    <definedName name="_PAG19" localSheetId="3">#REF!</definedName>
    <definedName name="_PAG19" localSheetId="2">#REF!</definedName>
    <definedName name="_PAG19" localSheetId="5">#REF!</definedName>
    <definedName name="_PAG19" localSheetId="8">#REF!</definedName>
    <definedName name="_PAG19" localSheetId="10">#REF!</definedName>
    <definedName name="_PAG19" localSheetId="9">#REF!</definedName>
    <definedName name="_PAG19">#REF!</definedName>
    <definedName name="_PAG20" localSheetId="3">#REF!</definedName>
    <definedName name="_PAG20" localSheetId="2">#REF!</definedName>
    <definedName name="_PAG20" localSheetId="5">#REF!</definedName>
    <definedName name="_PAG20" localSheetId="8">#REF!</definedName>
    <definedName name="_PAG20" localSheetId="10">#REF!</definedName>
    <definedName name="_PAG20" localSheetId="9">#REF!</definedName>
    <definedName name="_PAG20">#REF!</definedName>
    <definedName name="_pg1" localSheetId="3">#REF!</definedName>
    <definedName name="_pg1" localSheetId="2">#REF!</definedName>
    <definedName name="_pg1" localSheetId="5">#REF!</definedName>
    <definedName name="_pg1" localSheetId="8">#REF!</definedName>
    <definedName name="_pg1" localSheetId="10">#REF!</definedName>
    <definedName name="_pg1" localSheetId="9">#REF!</definedName>
    <definedName name="_pg1">#REF!</definedName>
    <definedName name="_pg2" localSheetId="3">#REF!,#REF!</definedName>
    <definedName name="_pg2" localSheetId="2">#REF!,#REF!</definedName>
    <definedName name="_pg2" localSheetId="5">#REF!,#REF!</definedName>
    <definedName name="_pg2" localSheetId="8">#REF!,#REF!</definedName>
    <definedName name="_pg2" localSheetId="10">#REF!,#REF!</definedName>
    <definedName name="_pg2" localSheetId="9">#REF!,#REF!</definedName>
    <definedName name="_pg2">#REF!,#REF!</definedName>
    <definedName name="_R" localSheetId="3">#REF!</definedName>
    <definedName name="_R" localSheetId="2">#REF!</definedName>
    <definedName name="_R" localSheetId="5">#REF!</definedName>
    <definedName name="_R" localSheetId="8">#REF!</definedName>
    <definedName name="_R" localSheetId="10">#REF!</definedName>
    <definedName name="_R" localSheetId="9">#REF!</definedName>
    <definedName name="_R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8" hidden="1">#REF!</definedName>
    <definedName name="_Sort" localSheetId="10" hidden="1">#REF!</definedName>
    <definedName name="_Sort" localSheetId="9" hidden="1">#REF!</definedName>
    <definedName name="_Sort" hidden="1">#REF!</definedName>
    <definedName name="_xlcn.WorksheetConnection_BancodedadosFerbasaversão10102014.xlsxTabela91" hidden="1">Tabela9</definedName>
    <definedName name="_xlcn.WorksheetConnection_IndicadoresFinanceirosB8T271" hidden="1">'Indicadores financeiros'!$B$5:$B$15</definedName>
    <definedName name="A">{#N/A,#N/A,FALSE,"Aging Summary";#N/A,#N/A,FALSE,"Ratio Analysis";#N/A,#N/A,FALSE,"Test 120 Day Accts";#N/A,#N/A,FALSE,"Tickmarks"}</definedName>
    <definedName name="A_1" localSheetId="3">#REF!</definedName>
    <definedName name="A_1" localSheetId="2">#REF!</definedName>
    <definedName name="A_1" localSheetId="5">#REF!</definedName>
    <definedName name="A_1" localSheetId="8">#REF!</definedName>
    <definedName name="A_1" localSheetId="10">#REF!</definedName>
    <definedName name="A_1" localSheetId="9">#REF!</definedName>
    <definedName name="A_1">#REF!</definedName>
    <definedName name="A_2" localSheetId="3">#REF!</definedName>
    <definedName name="A_2" localSheetId="2">#REF!</definedName>
    <definedName name="A_2" localSheetId="5">#REF!</definedName>
    <definedName name="A_2" localSheetId="8">#REF!</definedName>
    <definedName name="A_2" localSheetId="10">#REF!</definedName>
    <definedName name="A_2" localSheetId="9">#REF!</definedName>
    <definedName name="A_2">#REF!</definedName>
    <definedName name="a_AtivoPermanente" localSheetId="3">#REF!</definedName>
    <definedName name="a_AtivoPermanente" localSheetId="2">#REF!</definedName>
    <definedName name="a_AtivoPermanente" localSheetId="5">#REF!</definedName>
    <definedName name="a_AtivoPermanente" localSheetId="8">#REF!</definedName>
    <definedName name="a_AtivoPermanente" localSheetId="10">#REF!</definedName>
    <definedName name="a_AtivoPermanente" localSheetId="9">#REF!</definedName>
    <definedName name="a_AtivoPermanente">#REF!</definedName>
    <definedName name="a_ExigivelLongoPrazo" localSheetId="3">#REF!</definedName>
    <definedName name="a_ExigivelLongoPrazo" localSheetId="2">#REF!</definedName>
    <definedName name="a_ExigivelLongoPrazo" localSheetId="5">#REF!</definedName>
    <definedName name="a_ExigivelLongoPrazo" localSheetId="8">#REF!</definedName>
    <definedName name="a_ExigivelLongoPrazo" localSheetId="10">#REF!</definedName>
    <definedName name="a_ExigivelLongoPrazo" localSheetId="9">#REF!</definedName>
    <definedName name="a_ExigivelLongoPrazo">#REF!</definedName>
    <definedName name="a_RealizavelLongoPrazo" localSheetId="3">#REF!</definedName>
    <definedName name="a_RealizavelLongoPrazo" localSheetId="2">#REF!</definedName>
    <definedName name="a_RealizavelLongoPrazo" localSheetId="5">#REF!</definedName>
    <definedName name="a_RealizavelLongoPrazo" localSheetId="8">#REF!</definedName>
    <definedName name="a_RealizavelLongoPrazo" localSheetId="10">#REF!</definedName>
    <definedName name="a_RealizavelLongoPrazo" localSheetId="9">#REF!</definedName>
    <definedName name="a_RealizavelLongoPrazo">#REF!</definedName>
    <definedName name="a01_MútuoAtivo" localSheetId="3">#REF!</definedName>
    <definedName name="a01_MútuoAtivo" localSheetId="2">#REF!</definedName>
    <definedName name="a01_MútuoAtivo" localSheetId="5">#REF!</definedName>
    <definedName name="a01_MútuoAtivo" localSheetId="8">#REF!</definedName>
    <definedName name="a01_MútuoAtivo" localSheetId="10">#REF!</definedName>
    <definedName name="a01_MútuoAtivo" localSheetId="9">#REF!</definedName>
    <definedName name="a01_MútuoAtivo">#REF!</definedName>
    <definedName name="a02_OutrosRealizLgoPrazo" localSheetId="3">#REF!</definedName>
    <definedName name="a02_OutrosRealizLgoPrazo" localSheetId="2">#REF!</definedName>
    <definedName name="a02_OutrosRealizLgoPrazo" localSheetId="5">#REF!</definedName>
    <definedName name="a02_OutrosRealizLgoPrazo" localSheetId="8">#REF!</definedName>
    <definedName name="a02_OutrosRealizLgoPrazo" localSheetId="10">#REF!</definedName>
    <definedName name="a02_OutrosRealizLgoPrazo" localSheetId="9">#REF!</definedName>
    <definedName name="a02_OutrosRealizLgoPrazo">#REF!</definedName>
    <definedName name="a03_Investimentos" localSheetId="3">#REF!</definedName>
    <definedName name="a03_Investimentos" localSheetId="2">#REF!</definedName>
    <definedName name="a03_Investimentos" localSheetId="5">#REF!</definedName>
    <definedName name="a03_Investimentos" localSheetId="8">#REF!</definedName>
    <definedName name="a03_Investimentos" localSheetId="10">#REF!</definedName>
    <definedName name="a03_Investimentos" localSheetId="9">#REF!</definedName>
    <definedName name="a03_Investimentos">#REF!</definedName>
    <definedName name="a04_Imobilizado" localSheetId="3">#REF!</definedName>
    <definedName name="a04_Imobilizado" localSheetId="2">#REF!</definedName>
    <definedName name="a04_Imobilizado" localSheetId="5">#REF!</definedName>
    <definedName name="a04_Imobilizado" localSheetId="8">#REF!</definedName>
    <definedName name="a04_Imobilizado" localSheetId="10">#REF!</definedName>
    <definedName name="a04_Imobilizado" localSheetId="9">#REF!</definedName>
    <definedName name="a04_Imobilizado">#REF!</definedName>
    <definedName name="a05_Diferido" localSheetId="3">#REF!</definedName>
    <definedName name="a05_Diferido" localSheetId="2">#REF!</definedName>
    <definedName name="a05_Diferido" localSheetId="5">#REF!</definedName>
    <definedName name="a05_Diferido" localSheetId="8">#REF!</definedName>
    <definedName name="a05_Diferido" localSheetId="10">#REF!</definedName>
    <definedName name="a05_Diferido" localSheetId="9">#REF!</definedName>
    <definedName name="a05_Diferido">#REF!</definedName>
    <definedName name="a06_MútuoPassivo" localSheetId="3">#REF!</definedName>
    <definedName name="a06_MútuoPassivo" localSheetId="2">#REF!</definedName>
    <definedName name="a06_MútuoPassivo" localSheetId="5">#REF!</definedName>
    <definedName name="a06_MútuoPassivo" localSheetId="8">#REF!</definedName>
    <definedName name="a06_MútuoPassivo" localSheetId="10">#REF!</definedName>
    <definedName name="a06_MútuoPassivo" localSheetId="9">#REF!</definedName>
    <definedName name="a06_MútuoPassivo">#REF!</definedName>
    <definedName name="a07_Financiamentos" localSheetId="3">#REF!</definedName>
    <definedName name="a07_Financiamentos" localSheetId="2">#REF!</definedName>
    <definedName name="a07_Financiamentos" localSheetId="5">#REF!</definedName>
    <definedName name="a07_Financiamentos" localSheetId="8">#REF!</definedName>
    <definedName name="a07_Financiamentos" localSheetId="10">#REF!</definedName>
    <definedName name="a07_Financiamentos" localSheetId="9">#REF!</definedName>
    <definedName name="a07_Financiamentos">#REF!</definedName>
    <definedName name="a08_OutrosExigLgoPrazo" localSheetId="3">#REF!</definedName>
    <definedName name="a08_OutrosExigLgoPrazo" localSheetId="2">#REF!</definedName>
    <definedName name="a08_OutrosExigLgoPrazo" localSheetId="5">#REF!</definedName>
    <definedName name="a08_OutrosExigLgoPrazo" localSheetId="8">#REF!</definedName>
    <definedName name="a08_OutrosExigLgoPrazo" localSheetId="10">#REF!</definedName>
    <definedName name="a08_OutrosExigLgoPrazo" localSheetId="9">#REF!</definedName>
    <definedName name="a08_OutrosExigLgoPrazo">#REF!</definedName>
    <definedName name="a09_PatrimonioLíquido" localSheetId="3">#REF!</definedName>
    <definedName name="a09_PatrimonioLíquido" localSheetId="2">#REF!</definedName>
    <definedName name="a09_PatrimonioLíquido" localSheetId="5">#REF!</definedName>
    <definedName name="a09_PatrimonioLíquido" localSheetId="8">#REF!</definedName>
    <definedName name="a09_PatrimonioLíquido" localSheetId="10">#REF!</definedName>
    <definedName name="a09_PatrimonioLíquido" localSheetId="9">#REF!</definedName>
    <definedName name="a09_PatrimonioLíquido">#REF!</definedName>
    <definedName name="a10_CapitalCirculanteLíquido" localSheetId="3">#REF!</definedName>
    <definedName name="a10_CapitalCirculanteLíquido" localSheetId="2">#REF!</definedName>
    <definedName name="a10_CapitalCirculanteLíquido" localSheetId="5">#REF!</definedName>
    <definedName name="a10_CapitalCirculanteLíquido" localSheetId="8">#REF!</definedName>
    <definedName name="a10_CapitalCirculanteLíquido" localSheetId="10">#REF!</definedName>
    <definedName name="a10_CapitalCirculanteLíquido" localSheetId="9">#REF!</definedName>
    <definedName name="a10_CapitalCirculanteLíquido">#REF!</definedName>
    <definedName name="a11_BalanceteConsistencia" localSheetId="3">#REF!</definedName>
    <definedName name="a11_BalanceteConsistencia" localSheetId="2">#REF!</definedName>
    <definedName name="a11_BalanceteConsistencia" localSheetId="5">#REF!</definedName>
    <definedName name="a11_BalanceteConsistencia" localSheetId="8">#REF!</definedName>
    <definedName name="a11_BalanceteConsistencia" localSheetId="10">#REF!</definedName>
    <definedName name="a11_BalanceteConsistencia" localSheetId="9">#REF!</definedName>
    <definedName name="a11_BalanceteConsistencia">#REF!</definedName>
    <definedName name="a12_EquivPatrIIRendaLucro" localSheetId="3">#REF!</definedName>
    <definedName name="a12_EquivPatrIIRendaLucro" localSheetId="2">#REF!</definedName>
    <definedName name="a12_EquivPatrIIRendaLucro" localSheetId="5">#REF!</definedName>
    <definedName name="a12_EquivPatrIIRendaLucro" localSheetId="8">#REF!</definedName>
    <definedName name="a12_EquivPatrIIRendaLucro" localSheetId="10">#REF!</definedName>
    <definedName name="a12_EquivPatrIIRendaLucro" localSheetId="9">#REF!</definedName>
    <definedName name="a12_EquivPatrIIRendaLucro">#REF!</definedName>
    <definedName name="a13_InterTemporais" localSheetId="3">#REF!</definedName>
    <definedName name="a13_InterTemporais" localSheetId="2">#REF!</definedName>
    <definedName name="a13_InterTemporais" localSheetId="5">#REF!</definedName>
    <definedName name="a13_InterTemporais" localSheetId="8">#REF!</definedName>
    <definedName name="a13_InterTemporais" localSheetId="10">#REF!</definedName>
    <definedName name="a13_InterTemporais" localSheetId="9">#REF!</definedName>
    <definedName name="a13_InterTemporais">#REF!</definedName>
    <definedName name="a14_BalanceteConsistenciaIntertemporais" localSheetId="3">#REF!</definedName>
    <definedName name="a14_BalanceteConsistenciaIntertemporais" localSheetId="2">#REF!</definedName>
    <definedName name="a14_BalanceteConsistenciaIntertemporais" localSheetId="5">#REF!</definedName>
    <definedName name="a14_BalanceteConsistenciaIntertemporais" localSheetId="8">#REF!</definedName>
    <definedName name="a14_BalanceteConsistenciaIntertemporais" localSheetId="10">#REF!</definedName>
    <definedName name="a14_BalanceteConsistenciaIntertemporais" localSheetId="9">#REF!</definedName>
    <definedName name="a14_BalanceteConsistenciaIntertemporais">#REF!</definedName>
    <definedName name="a15_CMBintertemporal" localSheetId="3">#REF!</definedName>
    <definedName name="a15_CMBintertemporal" localSheetId="2">#REF!</definedName>
    <definedName name="a15_CMBintertemporal" localSheetId="5">#REF!</definedName>
    <definedName name="a15_CMBintertemporal" localSheetId="8">#REF!</definedName>
    <definedName name="a15_CMBintertemporal" localSheetId="10">#REF!</definedName>
    <definedName name="a15_CMBintertemporal" localSheetId="9">#REF!</definedName>
    <definedName name="a15_CMBintertemporal">#REF!</definedName>
    <definedName name="a16_ConsitenciaCMBeDeprec.comContabilizado" localSheetId="3">#REF!</definedName>
    <definedName name="a16_ConsitenciaCMBeDeprec.comContabilizado" localSheetId="2">#REF!</definedName>
    <definedName name="a16_ConsitenciaCMBeDeprec.comContabilizado" localSheetId="5">#REF!</definedName>
    <definedName name="a16_ConsitenciaCMBeDeprec.comContabilizado" localSheetId="8">#REF!</definedName>
    <definedName name="a16_ConsitenciaCMBeDeprec.comContabilizado" localSheetId="10">#REF!</definedName>
    <definedName name="a16_ConsitenciaCMBeDeprec.comContabilizado" localSheetId="9">#REF!</definedName>
    <definedName name="a16_ConsitenciaCMBeDeprec.comContabilizado">#REF!</definedName>
    <definedName name="a17_ConciliacaoResultados" localSheetId="3">#REF!</definedName>
    <definedName name="a17_ConciliacaoResultados" localSheetId="2">#REF!</definedName>
    <definedName name="a17_ConciliacaoResultados" localSheetId="5">#REF!</definedName>
    <definedName name="a17_ConciliacaoResultados" localSheetId="8">#REF!</definedName>
    <definedName name="a17_ConciliacaoResultados" localSheetId="10">#REF!</definedName>
    <definedName name="a17_ConciliacaoResultados" localSheetId="9">#REF!</definedName>
    <definedName name="a17_ConciliacaoResultados">#REF!</definedName>
    <definedName name="Á470" localSheetId="3">#REF!</definedName>
    <definedName name="Á470" localSheetId="2">#REF!</definedName>
    <definedName name="Á470" localSheetId="5">#REF!</definedName>
    <definedName name="Á470" localSheetId="8">#REF!</definedName>
    <definedName name="Á470" localSheetId="10">#REF!</definedName>
    <definedName name="Á470" localSheetId="9">#REF!</definedName>
    <definedName name="Á470">#REF!</definedName>
    <definedName name="AA" localSheetId="3">#REF!</definedName>
    <definedName name="AA" localSheetId="2">#REF!</definedName>
    <definedName name="AA" localSheetId="5">#REF!</definedName>
    <definedName name="AA" localSheetId="8">#REF!</definedName>
    <definedName name="AA" localSheetId="10">#REF!</definedName>
    <definedName name="AA" localSheetId="9">#REF!</definedName>
    <definedName name="AA">#REF!</definedName>
    <definedName name="AA_1" localSheetId="3">#REF!</definedName>
    <definedName name="AA_1" localSheetId="2">#REF!</definedName>
    <definedName name="AA_1" localSheetId="5">#REF!</definedName>
    <definedName name="AA_1" localSheetId="8">#REF!</definedName>
    <definedName name="AA_1" localSheetId="10">#REF!</definedName>
    <definedName name="AA_1" localSheetId="9">#REF!</definedName>
    <definedName name="AA_1">#REF!</definedName>
    <definedName name="AAA" localSheetId="3">#REF!</definedName>
    <definedName name="AAA" localSheetId="2">#REF!</definedName>
    <definedName name="AAA" localSheetId="5">#REF!</definedName>
    <definedName name="AAA" localSheetId="8">#REF!</definedName>
    <definedName name="AAA" localSheetId="10">#REF!</definedName>
    <definedName name="AAA" localSheetId="9">#REF!</definedName>
    <definedName name="AAA">#REF!</definedName>
    <definedName name="abr" localSheetId="3">[6]RLP!#REF!</definedName>
    <definedName name="abr" localSheetId="2">[6]RLP!#REF!</definedName>
    <definedName name="abr" localSheetId="5">[6]RLP!#REF!</definedName>
    <definedName name="abr" localSheetId="8">[6]RLP!#REF!</definedName>
    <definedName name="abr" localSheetId="10">[6]RLP!#REF!</definedName>
    <definedName name="abr" localSheetId="9">[6]RLP!#REF!</definedName>
    <definedName name="abr">[6]RLP!#REF!</definedName>
    <definedName name="Account_Balance" localSheetId="3">#REF!</definedName>
    <definedName name="Account_Balance" localSheetId="2">#REF!</definedName>
    <definedName name="Account_Balance" localSheetId="5">#REF!</definedName>
    <definedName name="Account_Balance" localSheetId="8">#REF!</definedName>
    <definedName name="Account_Balance" localSheetId="10">#REF!</definedName>
    <definedName name="Account_Balance" localSheetId="9">#REF!</definedName>
    <definedName name="Account_Balance">#REF!</definedName>
    <definedName name="ACUMULADO" localSheetId="3">#REF!</definedName>
    <definedName name="ACUMULADO" localSheetId="2">#REF!</definedName>
    <definedName name="ACUMULADO" localSheetId="5">#REF!</definedName>
    <definedName name="ACUMULADO" localSheetId="8">#REF!</definedName>
    <definedName name="ACUMULADO" localSheetId="10">#REF!</definedName>
    <definedName name="ACUMULADO" localSheetId="9">#REF!</definedName>
    <definedName name="ACUMULADO">#REF!</definedName>
    <definedName name="ADICOES" localSheetId="3">#REF!</definedName>
    <definedName name="ADICOES" localSheetId="2">#REF!</definedName>
    <definedName name="ADICOES" localSheetId="5">#REF!</definedName>
    <definedName name="ADICOES" localSheetId="8">#REF!</definedName>
    <definedName name="ADICOES" localSheetId="10">#REF!</definedName>
    <definedName name="ADICOES" localSheetId="9">#REF!</definedName>
    <definedName name="ADICOES">#REF!</definedName>
    <definedName name="ADTOCLIENTES" localSheetId="3">#REF!</definedName>
    <definedName name="ADTOCLIENTES" localSheetId="2">#REF!</definedName>
    <definedName name="ADTOCLIENTES" localSheetId="5">#REF!</definedName>
    <definedName name="ADTOCLIENTES" localSheetId="8">#REF!</definedName>
    <definedName name="ADTOCLIENTES" localSheetId="10">#REF!</definedName>
    <definedName name="ADTOCLIENTES" localSheetId="9">#REF!</definedName>
    <definedName name="ADTOCLIENTES">#REF!</definedName>
    <definedName name="ago" localSheetId="3">[6]RLP!#REF!</definedName>
    <definedName name="ago" localSheetId="2">[6]RLP!#REF!</definedName>
    <definedName name="ago" localSheetId="5">[6]RLP!#REF!</definedName>
    <definedName name="ago" localSheetId="8">[6]RLP!#REF!</definedName>
    <definedName name="ago" localSheetId="10">[6]RLP!#REF!</definedName>
    <definedName name="ago" localSheetId="9">[6]RLP!#REF!</definedName>
    <definedName name="ago">[6]RLP!#REF!</definedName>
    <definedName name="ajuste98" localSheetId="3">#REF!</definedName>
    <definedName name="ajuste98" localSheetId="2">#REF!</definedName>
    <definedName name="ajuste98" localSheetId="5">#REF!</definedName>
    <definedName name="ajuste98" localSheetId="8">#REF!</definedName>
    <definedName name="ajuste98" localSheetId="10">#REF!</definedName>
    <definedName name="ajuste98" localSheetId="9">#REF!</definedName>
    <definedName name="ajuste98">#REF!</definedName>
    <definedName name="Ajuste99" localSheetId="3">[7]Consolidate!#REF!</definedName>
    <definedName name="Ajuste99" localSheetId="2">[7]Consolidate!#REF!</definedName>
    <definedName name="Ajuste99" localSheetId="5">[7]Consolidate!#REF!</definedName>
    <definedName name="Ajuste99" localSheetId="8">[7]Consolidate!#REF!</definedName>
    <definedName name="Ajuste99" localSheetId="10">[7]Consolidate!#REF!</definedName>
    <definedName name="Ajuste99" localSheetId="9">[7]Consolidate!#REF!</definedName>
    <definedName name="Ajuste99">[7]Consolidate!#REF!</definedName>
    <definedName name="amarelo" localSheetId="3">'[8]Quantidade vendida'!#REF!</definedName>
    <definedName name="amarelo" localSheetId="2">'[8]Quantidade vendida'!#REF!</definedName>
    <definedName name="amarelo" localSheetId="5">'[8]Quantidade vendida'!#REF!</definedName>
    <definedName name="amarelo" localSheetId="8">'[8]Quantidade vendida'!#REF!</definedName>
    <definedName name="amarelo" localSheetId="10">'[8]Quantidade vendida'!#REF!</definedName>
    <definedName name="amarelo" localSheetId="9">'[8]Quantidade vendida'!#REF!</definedName>
    <definedName name="amarelo">'[8]Quantidade vendida'!#REF!</definedName>
    <definedName name="Analdolar" localSheetId="3">#REF!</definedName>
    <definedName name="Analdolar" localSheetId="2">#REF!</definedName>
    <definedName name="Analdolar" localSheetId="5">#REF!</definedName>
    <definedName name="Analdolar" localSheetId="8">#REF!</definedName>
    <definedName name="Analdolar" localSheetId="10">#REF!</definedName>
    <definedName name="Analdolar" localSheetId="9">#REF!</definedName>
    <definedName name="Analdolar">#REF!</definedName>
    <definedName name="analpl" localSheetId="3">[9]Paraná!#REF!</definedName>
    <definedName name="analpl" localSheetId="2">[9]Paraná!#REF!</definedName>
    <definedName name="analpl" localSheetId="5">[9]Paraná!#REF!</definedName>
    <definedName name="analpl" localSheetId="8">[9]Paraná!#REF!</definedName>
    <definedName name="analpl" localSheetId="10">[9]Paraná!#REF!</definedName>
    <definedName name="analpl" localSheetId="9">[9]Paraná!#REF!</definedName>
    <definedName name="analpl">[9]Paraná!#REF!</definedName>
    <definedName name="analreal" localSheetId="3">#REF!</definedName>
    <definedName name="analreal" localSheetId="2">#REF!</definedName>
    <definedName name="analreal" localSheetId="5">#REF!</definedName>
    <definedName name="analreal" localSheetId="8">#REF!</definedName>
    <definedName name="analreal" localSheetId="10">#REF!</definedName>
    <definedName name="analreal" localSheetId="9">#REF!</definedName>
    <definedName name="analreal">#REF!</definedName>
    <definedName name="Analtotal" localSheetId="3">[9]Paraná!#REF!</definedName>
    <definedName name="Analtotal" localSheetId="2">[9]Paraná!#REF!</definedName>
    <definedName name="Analtotal" localSheetId="5">[9]Paraná!#REF!</definedName>
    <definedName name="Analtotal" localSheetId="8">[9]Paraná!#REF!</definedName>
    <definedName name="Analtotal" localSheetId="10">[9]Paraná!#REF!</definedName>
    <definedName name="Analtotal" localSheetId="9">[9]Paraná!#REF!</definedName>
    <definedName name="Analtotal">[9]Paraná!#REF!</definedName>
    <definedName name="ANTECIPADAS" localSheetId="3">#REF!</definedName>
    <definedName name="ANTECIPADAS" localSheetId="2">#REF!</definedName>
    <definedName name="ANTECIPADAS" localSheetId="5">#REF!</definedName>
    <definedName name="ANTECIPADAS" localSheetId="8">#REF!</definedName>
    <definedName name="ANTECIPADAS" localSheetId="10">#REF!</definedName>
    <definedName name="ANTECIPADAS" localSheetId="9">#REF!</definedName>
    <definedName name="ANTECIPADAS">#REF!</definedName>
    <definedName name="APLICAÇ_ES" localSheetId="3">#REF!</definedName>
    <definedName name="APLICAÇ_ES" localSheetId="2">#REF!</definedName>
    <definedName name="APLICAÇ_ES" localSheetId="5">#REF!</definedName>
    <definedName name="APLICAÇ_ES" localSheetId="8">#REF!</definedName>
    <definedName name="APLICAÇ_ES" localSheetId="10">#REF!</definedName>
    <definedName name="APLICAÇ_ES" localSheetId="9">#REF!</definedName>
    <definedName name="APLICAÇ_ES">#REF!</definedName>
    <definedName name="APLICAÇÕES" localSheetId="3">#REF!</definedName>
    <definedName name="APLICAÇÕES" localSheetId="2">#REF!</definedName>
    <definedName name="APLICAÇÕES" localSheetId="5">#REF!</definedName>
    <definedName name="APLICAÇÕES" localSheetId="8">#REF!</definedName>
    <definedName name="APLICAÇÕES" localSheetId="10">#REF!</definedName>
    <definedName name="APLICAÇÕES" localSheetId="9">#REF!</definedName>
    <definedName name="APLICAÇÕES">#REF!</definedName>
    <definedName name="ARA_Threshold" localSheetId="3">#REF!</definedName>
    <definedName name="ARA_Threshold" localSheetId="2">#REF!</definedName>
    <definedName name="ARA_Threshold" localSheetId="5">#REF!</definedName>
    <definedName name="ARA_Threshold" localSheetId="8">#REF!</definedName>
    <definedName name="ARA_Threshold" localSheetId="10">#REF!</definedName>
    <definedName name="ARA_Threshold" localSheetId="9">#REF!</definedName>
    <definedName name="ARA_Threshold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 localSheetId="8">#REF!</definedName>
    <definedName name="_xlnm.Extract" localSheetId="10">#REF!</definedName>
    <definedName name="_xlnm.Extract" localSheetId="9">#REF!</definedName>
    <definedName name="_xlnm.Extract">#REF!</definedName>
    <definedName name="_xlnm.Print_Area" localSheetId="4">DRE!$A$1:$CE$23</definedName>
    <definedName name="_xlnm.Print_Area" localSheetId="5">'Fluxo de caixa'!$A$1:$AP$52</definedName>
    <definedName name="_xlnm.Print_Area" localSheetId="7">'Receita líquida por produto'!$A$1:$CE$11</definedName>
    <definedName name="_xlnm.Print_Area">#REF!</definedName>
    <definedName name="Área_de_Impressão" localSheetId="0">Painel!$A$1:$G$12</definedName>
    <definedName name="area1">'[10]Versao 1b ($=R$2,13)'!$B$1:$Q$52,'[10]Versao 1b ($=R$2,13)'!$R$1:$AC$52</definedName>
    <definedName name="arnaldo" hidden="1">{#N/A,#N/A,FALSE,"Aging Summary";#N/A,#N/A,FALSE,"Ratio Analysis";#N/A,#N/A,FALSE,"Test 120 Day Accts";#N/A,#N/A,FALSE,"Tickmarks"}</definedName>
    <definedName name="ARP_Threshold" localSheetId="3">#REF!</definedName>
    <definedName name="ARP_Threshold" localSheetId="2">#REF!</definedName>
    <definedName name="ARP_Threshold" localSheetId="5">#REF!</definedName>
    <definedName name="ARP_Threshold" localSheetId="8">#REF!</definedName>
    <definedName name="ARP_Threshold" localSheetId="10">#REF!</definedName>
    <definedName name="ARP_Threshold" localSheetId="9">#REF!</definedName>
    <definedName name="ARP_Threshold">#REF!</definedName>
    <definedName name="AS2DocOpenMode" hidden="1">"AS2DocumentEdit"</definedName>
    <definedName name="AS2NamedRange" hidden="1">12</definedName>
    <definedName name="AS2ReportLS" hidden="1">1</definedName>
    <definedName name="AS2StaticLS" localSheetId="3" hidden="1">#REF!</definedName>
    <definedName name="AS2StaticLS" localSheetId="2" hidden="1">#REF!</definedName>
    <definedName name="AS2StaticLS" localSheetId="5" hidden="1">#REF!</definedName>
    <definedName name="AS2StaticLS" localSheetId="8" hidden="1">#REF!</definedName>
    <definedName name="AS2StaticLS" localSheetId="10" hidden="1">#REF!</definedName>
    <definedName name="AS2StaticLS" localSheetId="9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localSheetId="2" hidden="1">#REF!</definedName>
    <definedName name="AS2TickmarkLS" localSheetId="5" hidden="1">#REF!</definedName>
    <definedName name="AS2TickmarkLS" localSheetId="8" hidden="1">#REF!</definedName>
    <definedName name="AS2TickmarkLS" localSheetId="10" hidden="1">#REF!</definedName>
    <definedName name="AS2TickmarkLS" localSheetId="9" hidden="1">#REF!</definedName>
    <definedName name="AS2TickmarkLS" hidden="1">#REF!</definedName>
    <definedName name="AS2VersionLS" hidden="1">300</definedName>
    <definedName name="ATIVO" localSheetId="3">#REF!</definedName>
    <definedName name="ATIVO" localSheetId="2">#REF!</definedName>
    <definedName name="ATIVO" localSheetId="5">#REF!</definedName>
    <definedName name="ATIVO" localSheetId="8">#REF!</definedName>
    <definedName name="ATIVO" localSheetId="10">#REF!</definedName>
    <definedName name="ATIVO" localSheetId="9">#REF!</definedName>
    <definedName name="ATIVO">#REF!</definedName>
    <definedName name="AUMCAPITAL" localSheetId="3">#REF!</definedName>
    <definedName name="AUMCAPITAL" localSheetId="2">#REF!</definedName>
    <definedName name="AUMCAPITAL" localSheetId="5">#REF!</definedName>
    <definedName name="AUMCAPITAL" localSheetId="8">#REF!</definedName>
    <definedName name="AUMCAPITAL" localSheetId="10">#REF!</definedName>
    <definedName name="AUMCAPITAL" localSheetId="9">#REF!</definedName>
    <definedName name="AUMCAPITAL">#REF!</definedName>
    <definedName name="b">{#N/A,#N/A,FALSE,"Aging Summary";#N/A,#N/A,FALSE,"Ratio Analysis";#N/A,#N/A,FALSE,"Test 120 Day Accts";#N/A,#N/A,FALSE,"Tickmarks"}</definedName>
    <definedName name="BALANCINHO" hidden="1">{#N/A,#N/A,FALSE,"Aging Summary";#N/A,#N/A,FALSE,"Ratio Analysis";#N/A,#N/A,FALSE,"Test 120 Day Accts";#N/A,#N/A,FALSE,"Tickmarks"}</definedName>
    <definedName name="BALANCO" localSheetId="3">#REF!</definedName>
    <definedName name="BALANCO" localSheetId="2">#REF!</definedName>
    <definedName name="BALANCO" localSheetId="5">#REF!</definedName>
    <definedName name="BALANCO" localSheetId="8">#REF!</definedName>
    <definedName name="BALANCO" localSheetId="10">#REF!</definedName>
    <definedName name="BALANCO" localSheetId="9">#REF!</definedName>
    <definedName name="BALANCO">#REF!</definedName>
    <definedName name="BALCMI" localSheetId="3">#REF!</definedName>
    <definedName name="BALCMI" localSheetId="2">#REF!</definedName>
    <definedName name="BALCMI" localSheetId="5">#REF!</definedName>
    <definedName name="BALCMI" localSheetId="8">#REF!</definedName>
    <definedName name="BALCMI" localSheetId="10">#REF!</definedName>
    <definedName name="BALCMI" localSheetId="9">#REF!</definedName>
    <definedName name="BALCMI">#REF!</definedName>
    <definedName name="baldat01">[5]Plan1!$A$1:$G$500</definedName>
    <definedName name="BALPUBL" localSheetId="3">#REF!</definedName>
    <definedName name="BALPUBL" localSheetId="2">#REF!</definedName>
    <definedName name="BALPUBL" localSheetId="5">#REF!</definedName>
    <definedName name="BALPUBL" localSheetId="8">#REF!</definedName>
    <definedName name="BALPUBL" localSheetId="10">#REF!</definedName>
    <definedName name="BALPUBL" localSheetId="9">#REF!</definedName>
    <definedName name="BALPUBL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 localSheetId="8">#REF!</definedName>
    <definedName name="_xlnm.Database" localSheetId="10">#REF!</definedName>
    <definedName name="_xlnm.Database" localSheetId="9">#REF!</definedName>
    <definedName name="_xlnm.Database">#REF!</definedName>
    <definedName name="BANCOS" localSheetId="3">#REF!</definedName>
    <definedName name="BANCOS" localSheetId="2">#REF!</definedName>
    <definedName name="BANCOS" localSheetId="5">#REF!</definedName>
    <definedName name="BANCOS" localSheetId="8">#REF!</definedName>
    <definedName name="BANCOS" localSheetId="10">#REF!</definedName>
    <definedName name="BANCOS" localSheetId="9">#REF!</definedName>
    <definedName name="BANCOS">#REF!</definedName>
    <definedName name="basic_level">'[11]Tabela de Parâmetros'!$A$6:$C$11</definedName>
    <definedName name="BB" localSheetId="3">#REF!</definedName>
    <definedName name="BB" localSheetId="2">#REF!</definedName>
    <definedName name="BB" localSheetId="5">#REF!</definedName>
    <definedName name="BB" localSheetId="8">#REF!</definedName>
    <definedName name="BB" localSheetId="10">#REF!</definedName>
    <definedName name="BB" localSheetId="9">#REF!</definedName>
    <definedName name="BB">#REF!</definedName>
    <definedName name="BBB" localSheetId="3">#REF!</definedName>
    <definedName name="BBB" localSheetId="2">#REF!</definedName>
    <definedName name="BBB" localSheetId="5">#REF!</definedName>
    <definedName name="BBB" localSheetId="8">#REF!</definedName>
    <definedName name="BBB" localSheetId="10">#REF!</definedName>
    <definedName name="BBB" localSheetId="9">#REF!</definedName>
    <definedName name="BBB">#REF!</definedName>
    <definedName name="BC_D_PI" localSheetId="3">#REF!</definedName>
    <definedName name="BC_D_PI" localSheetId="2">#REF!</definedName>
    <definedName name="BC_D_PI" localSheetId="5">#REF!</definedName>
    <definedName name="BC_D_PI" localSheetId="8">#REF!</definedName>
    <definedName name="BC_D_PI" localSheetId="10">#REF!</definedName>
    <definedName name="BC_D_PI" localSheetId="9">#REF!</definedName>
    <definedName name="BC_D_PI">#REF!</definedName>
    <definedName name="BC_T_PI" localSheetId="3">#REF!</definedName>
    <definedName name="BC_T_PI" localSheetId="2">#REF!</definedName>
    <definedName name="BC_T_PI" localSheetId="5">#REF!</definedName>
    <definedName name="BC_T_PI" localSheetId="8">#REF!</definedName>
    <definedName name="BC_T_PI" localSheetId="10">#REF!</definedName>
    <definedName name="BC_T_PI" localSheetId="9">#REF!</definedName>
    <definedName name="BC_T_PI">#REF!</definedName>
    <definedName name="betsy" localSheetId="3">#REF!</definedName>
    <definedName name="betsy" localSheetId="2">#REF!</definedName>
    <definedName name="betsy" localSheetId="5">#REF!</definedName>
    <definedName name="betsy" localSheetId="8">#REF!</definedName>
    <definedName name="betsy" localSheetId="10">#REF!</definedName>
    <definedName name="betsy" localSheetId="9">#REF!</definedName>
    <definedName name="betsy">#REF!</definedName>
    <definedName name="BG_Del" hidden="1">15</definedName>
    <definedName name="BG_Ins" hidden="1">4</definedName>
    <definedName name="BG_Mod" hidden="1">6</definedName>
    <definedName name="BL_D_PF" localSheetId="3">#REF!</definedName>
    <definedName name="BL_D_PF" localSheetId="2">#REF!</definedName>
    <definedName name="BL_D_PF" localSheetId="5">#REF!</definedName>
    <definedName name="BL_D_PF" localSheetId="8">#REF!</definedName>
    <definedName name="BL_D_PF" localSheetId="10">#REF!</definedName>
    <definedName name="BL_D_PF" localSheetId="9">#REF!</definedName>
    <definedName name="BL_D_PF">#REF!</definedName>
    <definedName name="BL_D_PI" localSheetId="3">#REF!</definedName>
    <definedName name="BL_D_PI" localSheetId="2">#REF!</definedName>
    <definedName name="BL_D_PI" localSheetId="5">#REF!</definedName>
    <definedName name="BL_D_PI" localSheetId="8">#REF!</definedName>
    <definedName name="BL_D_PI" localSheetId="10">#REF!</definedName>
    <definedName name="BL_D_PI" localSheetId="9">#REF!</definedName>
    <definedName name="BL_D_PI">#REF!</definedName>
    <definedName name="BL_D_PP" localSheetId="3">#REF!</definedName>
    <definedName name="BL_D_PP" localSheetId="2">#REF!</definedName>
    <definedName name="BL_D_PP" localSheetId="5">#REF!</definedName>
    <definedName name="BL_D_PP" localSheetId="8">#REF!</definedName>
    <definedName name="BL_D_PP" localSheetId="10">#REF!</definedName>
    <definedName name="BL_D_PP" localSheetId="9">#REF!</definedName>
    <definedName name="BL_D_PP">#REF!</definedName>
    <definedName name="BL_T_PF" localSheetId="3">#REF!</definedName>
    <definedName name="BL_T_PF" localSheetId="2">#REF!</definedName>
    <definedName name="BL_T_PF" localSheetId="5">#REF!</definedName>
    <definedName name="BL_T_PF" localSheetId="8">#REF!</definedName>
    <definedName name="BL_T_PF" localSheetId="10">#REF!</definedName>
    <definedName name="BL_T_PF" localSheetId="9">#REF!</definedName>
    <definedName name="BL_T_PF">#REF!</definedName>
    <definedName name="BL_T_PI" localSheetId="3">#REF!</definedName>
    <definedName name="BL_T_PI" localSheetId="2">#REF!</definedName>
    <definedName name="BL_T_PI" localSheetId="5">#REF!</definedName>
    <definedName name="BL_T_PI" localSheetId="8">#REF!</definedName>
    <definedName name="BL_T_PI" localSheetId="10">#REF!</definedName>
    <definedName name="BL_T_PI" localSheetId="9">#REF!</definedName>
    <definedName name="BL_T_PI">#REF!</definedName>
    <definedName name="BL_T_PP" localSheetId="3">#REF!</definedName>
    <definedName name="BL_T_PP" localSheetId="2">#REF!</definedName>
    <definedName name="BL_T_PP" localSheetId="5">#REF!</definedName>
    <definedName name="BL_T_PP" localSheetId="8">#REF!</definedName>
    <definedName name="BL_T_PP" localSheetId="10">#REF!</definedName>
    <definedName name="BL_T_PP" localSheetId="9">#REF!</definedName>
    <definedName name="BL_T_PP">#REF!</definedName>
    <definedName name="BP" localSheetId="3">#REF!</definedName>
    <definedName name="BP" localSheetId="2">#REF!</definedName>
    <definedName name="BP" localSheetId="5">#REF!</definedName>
    <definedName name="BP" localSheetId="8">#REF!</definedName>
    <definedName name="BP" localSheetId="10">#REF!</definedName>
    <definedName name="BP" localSheetId="9">#REF!</definedName>
    <definedName name="BP">#REF!</definedName>
    <definedName name="BR_D_PI" localSheetId="3">#REF!</definedName>
    <definedName name="BR_D_PI" localSheetId="2">#REF!</definedName>
    <definedName name="BR_D_PI" localSheetId="5">#REF!</definedName>
    <definedName name="BR_D_PI" localSheetId="8">#REF!</definedName>
    <definedName name="BR_D_PI" localSheetId="10">#REF!</definedName>
    <definedName name="BR_D_PI" localSheetId="9">#REF!</definedName>
    <definedName name="BR_D_PI">#REF!</definedName>
    <definedName name="BR_T_PI" localSheetId="3">#REF!</definedName>
    <definedName name="BR_T_PI" localSheetId="2">#REF!</definedName>
    <definedName name="BR_T_PI" localSheetId="5">#REF!</definedName>
    <definedName name="BR_T_PI" localSheetId="8">#REF!</definedName>
    <definedName name="BR_T_PI" localSheetId="10">#REF!</definedName>
    <definedName name="BR_T_PI" localSheetId="9">#REF!</definedName>
    <definedName name="BR_T_PI">#REF!</definedName>
    <definedName name="BT_D_PI" localSheetId="3">#REF!</definedName>
    <definedName name="BT_D_PI" localSheetId="2">#REF!</definedName>
    <definedName name="BT_D_PI" localSheetId="5">#REF!</definedName>
    <definedName name="BT_D_PI" localSheetId="8">#REF!</definedName>
    <definedName name="BT_D_PI" localSheetId="10">#REF!</definedName>
    <definedName name="BT_D_PI" localSheetId="9">#REF!</definedName>
    <definedName name="BT_D_PI">#REF!</definedName>
    <definedName name="BT_D_PP" localSheetId="3">#REF!</definedName>
    <definedName name="BT_D_PP" localSheetId="2">#REF!</definedName>
    <definedName name="BT_D_PP" localSheetId="5">#REF!</definedName>
    <definedName name="BT_D_PP" localSheetId="8">#REF!</definedName>
    <definedName name="BT_D_PP" localSheetId="10">#REF!</definedName>
    <definedName name="BT_D_PP" localSheetId="9">#REF!</definedName>
    <definedName name="BT_D_PP">#REF!</definedName>
    <definedName name="BT_T_PI" localSheetId="3">#REF!</definedName>
    <definedName name="BT_T_PI" localSheetId="2">#REF!</definedName>
    <definedName name="BT_T_PI" localSheetId="5">#REF!</definedName>
    <definedName name="BT_T_PI" localSheetId="8">#REF!</definedName>
    <definedName name="BT_T_PI" localSheetId="10">#REF!</definedName>
    <definedName name="BT_T_PI" localSheetId="9">#REF!</definedName>
    <definedName name="BT_T_PI">#REF!</definedName>
    <definedName name="BT_T_PP" localSheetId="3">#REF!</definedName>
    <definedName name="BT_T_PP" localSheetId="2">#REF!</definedName>
    <definedName name="BT_T_PP" localSheetId="5">#REF!</definedName>
    <definedName name="BT_T_PP" localSheetId="8">#REF!</definedName>
    <definedName name="BT_T_PP" localSheetId="10">#REF!</definedName>
    <definedName name="BT_T_PP" localSheetId="9">#REF!</definedName>
    <definedName name="BT_T_PP">#REF!</definedName>
    <definedName name="C." localSheetId="3">#REF!</definedName>
    <definedName name="C." localSheetId="2">#REF!</definedName>
    <definedName name="C." localSheetId="5">#REF!</definedName>
    <definedName name="C." localSheetId="8">#REF!</definedName>
    <definedName name="C." localSheetId="10">#REF!</definedName>
    <definedName name="C." localSheetId="9">#REF!</definedName>
    <definedName name="C.">#REF!</definedName>
    <definedName name="CAP" localSheetId="3">#REF!</definedName>
    <definedName name="CAP" localSheetId="2">#REF!</definedName>
    <definedName name="CAP" localSheetId="5">#REF!</definedName>
    <definedName name="CAP" localSheetId="8">#REF!</definedName>
    <definedName name="CAP" localSheetId="10">#REF!</definedName>
    <definedName name="CAP" localSheetId="9">#REF!</definedName>
    <definedName name="CAP">#REF!</definedName>
    <definedName name="CAPCOLIG" localSheetId="3">#REF!</definedName>
    <definedName name="CAPCOLIG" localSheetId="2">#REF!</definedName>
    <definedName name="CAPCOLIG" localSheetId="5">#REF!</definedName>
    <definedName name="CAPCOLIG" localSheetId="8">#REF!</definedName>
    <definedName name="CAPCOLIG" localSheetId="10">#REF!</definedName>
    <definedName name="CAPCOLIG" localSheetId="9">#REF!</definedName>
    <definedName name="CAPCOLIG">#REF!</definedName>
    <definedName name="CAPEX_ISP" localSheetId="3">'[12]Canbras TVA'!#REF!</definedName>
    <definedName name="CAPEX_ISP" localSheetId="2">'[12]Canbras TVA'!#REF!</definedName>
    <definedName name="CAPEX_ISP" localSheetId="5">'[12]Canbras TVA'!#REF!</definedName>
    <definedName name="CAPEX_ISP" localSheetId="8">'[12]Canbras TVA'!#REF!</definedName>
    <definedName name="CAPEX_ISP" localSheetId="10">'[12]Canbras TVA'!#REF!</definedName>
    <definedName name="CAPEX_ISP" localSheetId="9">'[12]Canbras TVA'!#REF!</definedName>
    <definedName name="CAPEX_ISP">'[12]Canbras TVA'!#REF!</definedName>
    <definedName name="Carla" localSheetId="3">#REF!</definedName>
    <definedName name="Carla" localSheetId="2">#REF!</definedName>
    <definedName name="Carla" localSheetId="5">#REF!</definedName>
    <definedName name="Carla" localSheetId="8">#REF!</definedName>
    <definedName name="Carla" localSheetId="10">#REF!</definedName>
    <definedName name="Carla" localSheetId="9">#REF!</definedName>
    <definedName name="Carla">#REF!</definedName>
    <definedName name="carol" localSheetId="3" hidden="1">'[13]Atual. cambial'!#REF!</definedName>
    <definedName name="carol" localSheetId="2" hidden="1">'[13]Atual. cambial'!#REF!</definedName>
    <definedName name="carol" localSheetId="5" hidden="1">'[13]Atual. cambial'!#REF!</definedName>
    <definedName name="carol" localSheetId="8" hidden="1">'[13]Atual. cambial'!#REF!</definedName>
    <definedName name="carol" localSheetId="10" hidden="1">'[13]Atual. cambial'!#REF!</definedName>
    <definedName name="carol" localSheetId="9" hidden="1">'[13]Atual. cambial'!#REF!</definedName>
    <definedName name="carol" hidden="1">'[13]Atual. cambial'!#REF!</definedName>
    <definedName name="CC" localSheetId="3">#REF!</definedName>
    <definedName name="CC" localSheetId="2">#REF!</definedName>
    <definedName name="CC" localSheetId="5">#REF!</definedName>
    <definedName name="CC" localSheetId="8">#REF!</definedName>
    <definedName name="CC" localSheetId="10">#REF!</definedName>
    <definedName name="CC" localSheetId="9">#REF!</definedName>
    <definedName name="CC">#REF!</definedName>
    <definedName name="CCC" localSheetId="3">#REF!</definedName>
    <definedName name="CCC" localSheetId="2">#REF!</definedName>
    <definedName name="CCC" localSheetId="5">#REF!</definedName>
    <definedName name="CCC" localSheetId="8">#REF!</definedName>
    <definedName name="CCC" localSheetId="10">#REF!</definedName>
    <definedName name="CCC" localSheetId="9">#REF!</definedName>
    <definedName name="CCC">#REF!</definedName>
    <definedName name="cinza" localSheetId="3">'[8]Quantidade vendida'!#REF!</definedName>
    <definedName name="cinza" localSheetId="2">'[8]Quantidade vendida'!#REF!</definedName>
    <definedName name="cinza" localSheetId="5">'[8]Quantidade vendida'!#REF!</definedName>
    <definedName name="cinza" localSheetId="8">'[8]Quantidade vendida'!#REF!</definedName>
    <definedName name="cinza" localSheetId="10">'[8]Quantidade vendida'!#REF!</definedName>
    <definedName name="cinza" localSheetId="9">'[8]Quantidade vendida'!#REF!</definedName>
    <definedName name="cinza">'[8]Quantidade vendida'!#REF!</definedName>
    <definedName name="COFINS" localSheetId="3" hidden="1">#REF!</definedName>
    <definedName name="COFINS" localSheetId="2" hidden="1">#REF!</definedName>
    <definedName name="COFINS" localSheetId="5" hidden="1">#REF!</definedName>
    <definedName name="COFINS" localSheetId="8" hidden="1">#REF!</definedName>
    <definedName name="COFINS" localSheetId="10" hidden="1">#REF!</definedName>
    <definedName name="COFINS" localSheetId="9" hidden="1">#REF!</definedName>
    <definedName name="COFINS" hidden="1">#REF!</definedName>
    <definedName name="COLIGATIVO" localSheetId="3">#REF!</definedName>
    <definedName name="COLIGATIVO" localSheetId="2">#REF!</definedName>
    <definedName name="COLIGATIVO" localSheetId="5">#REF!</definedName>
    <definedName name="COLIGATIVO" localSheetId="8">#REF!</definedName>
    <definedName name="COLIGATIVO" localSheetId="10">#REF!</definedName>
    <definedName name="COLIGATIVO" localSheetId="9">#REF!</definedName>
    <definedName name="COLIGATIVO">#REF!</definedName>
    <definedName name="COLIGPASSIVO" localSheetId="3">#REF!</definedName>
    <definedName name="COLIGPASSIVO" localSheetId="2">#REF!</definedName>
    <definedName name="COLIGPASSIVO" localSheetId="5">#REF!</definedName>
    <definedName name="COLIGPASSIVO" localSheetId="8">#REF!</definedName>
    <definedName name="COLIGPASSIVO" localSheetId="10">#REF!</definedName>
    <definedName name="COLIGPASSIVO" localSheetId="9">#REF!</definedName>
    <definedName name="COLIGPASSIVO">#REF!</definedName>
    <definedName name="comp" hidden="1">{#N/A,#N/A,FALSE,"Aging Summary";#N/A,#N/A,FALSE,"Ratio Analysis";#N/A,#N/A,FALSE,"Test 120 Day Accts";#N/A,#N/A,FALSE,"Tickmarks"}</definedName>
    <definedName name="compselic" localSheetId="3">#REF!</definedName>
    <definedName name="compselic" localSheetId="2">#REF!</definedName>
    <definedName name="compselic" localSheetId="5">#REF!</definedName>
    <definedName name="compselic" localSheetId="8">#REF!</definedName>
    <definedName name="compselic" localSheetId="10">#REF!</definedName>
    <definedName name="compselic" localSheetId="9">#REF!</definedName>
    <definedName name="compselic">#REF!</definedName>
    <definedName name="COMPULSORIO" localSheetId="3">#REF!</definedName>
    <definedName name="COMPULSORIO" localSheetId="2">#REF!</definedName>
    <definedName name="COMPULSORIO" localSheetId="5">#REF!</definedName>
    <definedName name="COMPULSORIO" localSheetId="8">#REF!</definedName>
    <definedName name="COMPULSORIO" localSheetId="10">#REF!</definedName>
    <definedName name="COMPULSORIO" localSheetId="9">#REF!</definedName>
    <definedName name="COMPULSORIO">#REF!</definedName>
    <definedName name="CPV_75" localSheetId="3">OFFSET(#REF!,#REF!,0,13,1)</definedName>
    <definedName name="CPV_75" localSheetId="2">OFFSET(#REF!,#REF!,0,13,1)</definedName>
    <definedName name="CPV_75" localSheetId="5">OFFSET(#REF!,#REF!,0,13,1)</definedName>
    <definedName name="CPV_75" localSheetId="8">OFFSET(#REF!,#REF!,0,13,1)</definedName>
    <definedName name="CPV_75" localSheetId="10">OFFSET(#REF!,#REF!,0,13,1)</definedName>
    <definedName name="CPV_75" localSheetId="9">OFFSET(#REF!,#REF!,0,13,1)</definedName>
    <definedName name="CPV_75">OFFSET(#REF!,#REF!,0,13,1)</definedName>
    <definedName name="CPV_AC" localSheetId="3">OFFSET(#REF!,#REF!,0,13,1)</definedName>
    <definedName name="CPV_AC" localSheetId="2">OFFSET(#REF!,#REF!,0,13,1)</definedName>
    <definedName name="CPV_AC" localSheetId="5">OFFSET(#REF!,#REF!,0,13,1)</definedName>
    <definedName name="CPV_AC" localSheetId="8">OFFSET(#REF!,#REF!,0,13,1)</definedName>
    <definedName name="CPV_AC" localSheetId="10">OFFSET(#REF!,#REF!,0,13,1)</definedName>
    <definedName name="CPV_AC" localSheetId="9">OFFSET(#REF!,#REF!,0,13,1)</definedName>
    <definedName name="CPV_AC">OFFSET(#REF!,#REF!,0,13,1)</definedName>
    <definedName name="CPV_BC" localSheetId="3">OFFSET(#REF!,#REF!,0,13,1)</definedName>
    <definedName name="CPV_BC" localSheetId="2">OFFSET(#REF!,#REF!,0,13,1)</definedName>
    <definedName name="CPV_BC" localSheetId="5">OFFSET(#REF!,#REF!,0,13,1)</definedName>
    <definedName name="CPV_BC" localSheetId="8">OFFSET(#REF!,#REF!,0,13,1)</definedName>
    <definedName name="CPV_BC" localSheetId="10">OFFSET(#REF!,#REF!,0,13,1)</definedName>
    <definedName name="CPV_BC" localSheetId="9">OFFSET(#REF!,#REF!,0,13,1)</definedName>
    <definedName name="CPV_BC">OFFSET(#REF!,#REF!,0,13,1)</definedName>
    <definedName name="_xlnm.Criteria" localSheetId="3">#REF!</definedName>
    <definedName name="_xlnm.Criteria" localSheetId="2">#REF!</definedName>
    <definedName name="_xlnm.Criteria" localSheetId="5">#REF!</definedName>
    <definedName name="_xlnm.Criteria" localSheetId="8">#REF!</definedName>
    <definedName name="_xlnm.Criteria" localSheetId="10">#REF!</definedName>
    <definedName name="_xlnm.Criteria" localSheetId="9">#REF!</definedName>
    <definedName name="_xlnm.Criteria">#REF!</definedName>
    <definedName name="CSP" localSheetId="3">#REF!</definedName>
    <definedName name="CSP" localSheetId="4">#REF!</definedName>
    <definedName name="CSP" localSheetId="2">#REF!</definedName>
    <definedName name="CSP" localSheetId="5">#REF!</definedName>
    <definedName name="CSP" localSheetId="1">#REF!</definedName>
    <definedName name="CSP" localSheetId="8">#REF!</definedName>
    <definedName name="CSP" localSheetId="10">#REF!</definedName>
    <definedName name="CSP" localSheetId="6">#REF!</definedName>
    <definedName name="CSP" localSheetId="7">#REF!</definedName>
    <definedName name="CSP" localSheetId="9">#REF!</definedName>
    <definedName name="CSP">#REF!</definedName>
    <definedName name="CSP_TRI" localSheetId="3">#REF!</definedName>
    <definedName name="CSP_TRI" localSheetId="4">#REF!</definedName>
    <definedName name="CSP_TRI" localSheetId="2">#REF!</definedName>
    <definedName name="CSP_TRI" localSheetId="5">#REF!</definedName>
    <definedName name="CSP_TRI" localSheetId="1">#REF!</definedName>
    <definedName name="CSP_TRI" localSheetId="8">#REF!</definedName>
    <definedName name="CSP_TRI" localSheetId="10">#REF!</definedName>
    <definedName name="CSP_TRI" localSheetId="6">#REF!</definedName>
    <definedName name="CSP_TRI" localSheetId="7">#REF!</definedName>
    <definedName name="CSP_TRI" localSheetId="9">#REF!</definedName>
    <definedName name="CSP_TRI">#REF!</definedName>
    <definedName name="CSP_TRI_2" localSheetId="3">#REF!</definedName>
    <definedName name="CSP_TRI_2" localSheetId="4">#REF!</definedName>
    <definedName name="CSP_TRI_2" localSheetId="2">#REF!</definedName>
    <definedName name="CSP_TRI_2" localSheetId="5">#REF!</definedName>
    <definedName name="CSP_TRI_2" localSheetId="1">#REF!</definedName>
    <definedName name="CSP_TRI_2" localSheetId="8">#REF!</definedName>
    <definedName name="CSP_TRI_2" localSheetId="10">#REF!</definedName>
    <definedName name="CSP_TRI_2" localSheetId="6">#REF!</definedName>
    <definedName name="CSP_TRI_2" localSheetId="7">#REF!</definedName>
    <definedName name="CSP_TRI_2" localSheetId="9">#REF!</definedName>
    <definedName name="CSP_TRI_2">#REF!</definedName>
    <definedName name="CTAS.RECEBER" localSheetId="3">#REF!</definedName>
    <definedName name="CTAS.RECEBER" localSheetId="2">#REF!</definedName>
    <definedName name="CTAS.RECEBER" localSheetId="5">#REF!</definedName>
    <definedName name="CTAS.RECEBER" localSheetId="8">#REF!</definedName>
    <definedName name="CTAS.RECEBER" localSheetId="10">#REF!</definedName>
    <definedName name="CTAS.RECEBER" localSheetId="9">#REF!</definedName>
    <definedName name="CTAS.RECEBER">#REF!</definedName>
    <definedName name="Custo" localSheetId="3">[1]Ativo!#REF!</definedName>
    <definedName name="Custo" localSheetId="2">[1]Ativo!#REF!</definedName>
    <definedName name="Custo" localSheetId="5">[1]Ativo!#REF!</definedName>
    <definedName name="Custo" localSheetId="8">[1]Ativo!#REF!</definedName>
    <definedName name="Custo" localSheetId="10">[1]Ativo!#REF!</definedName>
    <definedName name="Custo" localSheetId="9">[1]Ativo!#REF!</definedName>
    <definedName name="Custo">[1]Ativo!#REF!</definedName>
    <definedName name="CY_all_Assets" localSheetId="3">#REF!</definedName>
    <definedName name="CY_all_Assets" localSheetId="2">#REF!</definedName>
    <definedName name="CY_all_Assets" localSheetId="5">#REF!</definedName>
    <definedName name="CY_all_Assets" localSheetId="8">#REF!</definedName>
    <definedName name="CY_all_Assets" localSheetId="10">#REF!</definedName>
    <definedName name="CY_all_Assets" localSheetId="9">#REF!</definedName>
    <definedName name="CY_all_Assets">#REF!</definedName>
    <definedName name="CY_all_Equity" localSheetId="3">#REF!</definedName>
    <definedName name="CY_all_Equity" localSheetId="2">#REF!</definedName>
    <definedName name="CY_all_Equity" localSheetId="5">#REF!</definedName>
    <definedName name="CY_all_Equity" localSheetId="8">#REF!</definedName>
    <definedName name="CY_all_Equity" localSheetId="10">#REF!</definedName>
    <definedName name="CY_all_Equity" localSheetId="9">#REF!</definedName>
    <definedName name="CY_all_Equity">#REF!</definedName>
    <definedName name="CY_all_Income" localSheetId="3">#REF!</definedName>
    <definedName name="CY_all_Income" localSheetId="2">#REF!</definedName>
    <definedName name="CY_all_Income" localSheetId="5">#REF!</definedName>
    <definedName name="CY_all_Income" localSheetId="8">#REF!</definedName>
    <definedName name="CY_all_Income" localSheetId="10">#REF!</definedName>
    <definedName name="CY_all_Income" localSheetId="9">#REF!</definedName>
    <definedName name="CY_all_Income">#REF!</definedName>
    <definedName name="CY_all_Liabs" localSheetId="3">#REF!</definedName>
    <definedName name="CY_all_Liabs" localSheetId="2">#REF!</definedName>
    <definedName name="CY_all_Liabs" localSheetId="5">#REF!</definedName>
    <definedName name="CY_all_Liabs" localSheetId="8">#REF!</definedName>
    <definedName name="CY_all_Liabs" localSheetId="10">#REF!</definedName>
    <definedName name="CY_all_Liabs" localSheetId="9">#REF!</definedName>
    <definedName name="CY_all_Liabs">#REF!</definedName>
    <definedName name="CY_all_RetEarn_bf" localSheetId="3">#REF!</definedName>
    <definedName name="CY_all_RetEarn_bf" localSheetId="2">#REF!</definedName>
    <definedName name="CY_all_RetEarn_bf" localSheetId="5">#REF!</definedName>
    <definedName name="CY_all_RetEarn_bf" localSheetId="8">#REF!</definedName>
    <definedName name="CY_all_RetEarn_bf" localSheetId="10">#REF!</definedName>
    <definedName name="CY_all_RetEarn_bf" localSheetId="9">#REF!</definedName>
    <definedName name="CY_all_RetEarn_bf">#REF!</definedName>
    <definedName name="CY_knw_Assets" localSheetId="3">#REF!</definedName>
    <definedName name="CY_knw_Assets" localSheetId="2">#REF!</definedName>
    <definedName name="CY_knw_Assets" localSheetId="5">#REF!</definedName>
    <definedName name="CY_knw_Assets" localSheetId="8">#REF!</definedName>
    <definedName name="CY_knw_Assets" localSheetId="10">#REF!</definedName>
    <definedName name="CY_knw_Assets" localSheetId="9">#REF!</definedName>
    <definedName name="CY_knw_Assets">#REF!</definedName>
    <definedName name="CY_knw_Equity" localSheetId="3">#REF!</definedName>
    <definedName name="CY_knw_Equity" localSheetId="2">#REF!</definedName>
    <definedName name="CY_knw_Equity" localSheetId="5">#REF!</definedName>
    <definedName name="CY_knw_Equity" localSheetId="8">#REF!</definedName>
    <definedName name="CY_knw_Equity" localSheetId="10">#REF!</definedName>
    <definedName name="CY_knw_Equity" localSheetId="9">#REF!</definedName>
    <definedName name="CY_knw_Equity">#REF!</definedName>
    <definedName name="CY_knw_Income" localSheetId="3">#REF!</definedName>
    <definedName name="CY_knw_Income" localSheetId="2">#REF!</definedName>
    <definedName name="CY_knw_Income" localSheetId="5">#REF!</definedName>
    <definedName name="CY_knw_Income" localSheetId="8">#REF!</definedName>
    <definedName name="CY_knw_Income" localSheetId="10">#REF!</definedName>
    <definedName name="CY_knw_Income" localSheetId="9">#REF!</definedName>
    <definedName name="CY_knw_Income">#REF!</definedName>
    <definedName name="CY_knw_Liabs" localSheetId="3">#REF!</definedName>
    <definedName name="CY_knw_Liabs" localSheetId="2">#REF!</definedName>
    <definedName name="CY_knw_Liabs" localSheetId="5">#REF!</definedName>
    <definedName name="CY_knw_Liabs" localSheetId="8">#REF!</definedName>
    <definedName name="CY_knw_Liabs" localSheetId="10">#REF!</definedName>
    <definedName name="CY_knw_Liabs" localSheetId="9">#REF!</definedName>
    <definedName name="CY_knw_Liabs">#REF!</definedName>
    <definedName name="CY_knw_RetEarn_bf" localSheetId="3">#REF!</definedName>
    <definedName name="CY_knw_RetEarn_bf" localSheetId="2">#REF!</definedName>
    <definedName name="CY_knw_RetEarn_bf" localSheetId="5">#REF!</definedName>
    <definedName name="CY_knw_RetEarn_bf" localSheetId="8">#REF!</definedName>
    <definedName name="CY_knw_RetEarn_bf" localSheetId="10">#REF!</definedName>
    <definedName name="CY_knw_RetEarn_bf" localSheetId="9">#REF!</definedName>
    <definedName name="CY_knw_RetEarn_bf">#REF!</definedName>
    <definedName name="CY_lik_Equity" localSheetId="3">#REF!</definedName>
    <definedName name="CY_lik_Equity" localSheetId="2">#REF!</definedName>
    <definedName name="CY_lik_Equity" localSheetId="5">#REF!</definedName>
    <definedName name="CY_lik_Equity" localSheetId="8">#REF!</definedName>
    <definedName name="CY_lik_Equity" localSheetId="10">#REF!</definedName>
    <definedName name="CY_lik_Equity" localSheetId="9">#REF!</definedName>
    <definedName name="CY_lik_Equity">#REF!</definedName>
    <definedName name="CY_tx_all_Equity" localSheetId="3">#REF!</definedName>
    <definedName name="CY_tx_all_Equity" localSheetId="2">#REF!</definedName>
    <definedName name="CY_tx_all_Equity" localSheetId="5">#REF!</definedName>
    <definedName name="CY_tx_all_Equity" localSheetId="8">#REF!</definedName>
    <definedName name="CY_tx_all_Equity" localSheetId="10">#REF!</definedName>
    <definedName name="CY_tx_all_Equity" localSheetId="9">#REF!</definedName>
    <definedName name="CY_tx_all_Equity">#REF!</definedName>
    <definedName name="CY_tx_all_Income" localSheetId="3">#REF!</definedName>
    <definedName name="CY_tx_all_Income" localSheetId="2">#REF!</definedName>
    <definedName name="CY_tx_all_Income" localSheetId="5">#REF!</definedName>
    <definedName name="CY_tx_all_Income" localSheetId="8">#REF!</definedName>
    <definedName name="CY_tx_all_Income" localSheetId="10">#REF!</definedName>
    <definedName name="CY_tx_all_Income" localSheetId="9">#REF!</definedName>
    <definedName name="CY_tx_all_Income">#REF!</definedName>
    <definedName name="CY_tx_all_RetEarn_bf" localSheetId="3">#REF!</definedName>
    <definedName name="CY_tx_all_RetEarn_bf" localSheetId="2">#REF!</definedName>
    <definedName name="CY_tx_all_RetEarn_bf" localSheetId="5">#REF!</definedName>
    <definedName name="CY_tx_all_RetEarn_bf" localSheetId="8">#REF!</definedName>
    <definedName name="CY_tx_all_RetEarn_bf" localSheetId="10">#REF!</definedName>
    <definedName name="CY_tx_all_RetEarn_bf" localSheetId="9">#REF!</definedName>
    <definedName name="CY_tx_all_RetEarn_bf">#REF!</definedName>
    <definedName name="CY_tx_knw_Equity" localSheetId="3">#REF!</definedName>
    <definedName name="CY_tx_knw_Equity" localSheetId="2">#REF!</definedName>
    <definedName name="CY_tx_knw_Equity" localSheetId="5">#REF!</definedName>
    <definedName name="CY_tx_knw_Equity" localSheetId="8">#REF!</definedName>
    <definedName name="CY_tx_knw_Equity" localSheetId="10">#REF!</definedName>
    <definedName name="CY_tx_knw_Equity" localSheetId="9">#REF!</definedName>
    <definedName name="CY_tx_knw_Equity">#REF!</definedName>
    <definedName name="CY_tx_knw_Income" localSheetId="3">#REF!</definedName>
    <definedName name="CY_tx_knw_Income" localSheetId="2">#REF!</definedName>
    <definedName name="CY_tx_knw_Income" localSheetId="5">#REF!</definedName>
    <definedName name="CY_tx_knw_Income" localSheetId="8">#REF!</definedName>
    <definedName name="CY_tx_knw_Income" localSheetId="10">#REF!</definedName>
    <definedName name="CY_tx_knw_Income" localSheetId="9">#REF!</definedName>
    <definedName name="CY_tx_knw_Income">#REF!</definedName>
    <definedName name="CY_tx_knw_Liabs" localSheetId="3">#REF!</definedName>
    <definedName name="CY_tx_knw_Liabs" localSheetId="2">#REF!</definedName>
    <definedName name="CY_tx_knw_Liabs" localSheetId="5">#REF!</definedName>
    <definedName name="CY_tx_knw_Liabs" localSheetId="8">#REF!</definedName>
    <definedName name="CY_tx_knw_Liabs" localSheetId="10">#REF!</definedName>
    <definedName name="CY_tx_knw_Liabs" localSheetId="9">#REF!</definedName>
    <definedName name="CY_tx_knw_Liabs">#REF!</definedName>
    <definedName name="CY_tx_knw_RetEarn_bf" localSheetId="3">#REF!</definedName>
    <definedName name="CY_tx_knw_RetEarn_bf" localSheetId="2">#REF!</definedName>
    <definedName name="CY_tx_knw_RetEarn_bf" localSheetId="5">#REF!</definedName>
    <definedName name="CY_tx_knw_RetEarn_bf" localSheetId="8">#REF!</definedName>
    <definedName name="CY_tx_knw_RetEarn_bf" localSheetId="10">#REF!</definedName>
    <definedName name="CY_tx_knw_RetEarn_bf" localSheetId="9">#REF!</definedName>
    <definedName name="CY_tx_knw_RetEarn_bf">#REF!</definedName>
    <definedName name="D" localSheetId="3">#REF!</definedName>
    <definedName name="D" localSheetId="2">#REF!</definedName>
    <definedName name="D" localSheetId="5">#REF!</definedName>
    <definedName name="D" localSheetId="8">#REF!</definedName>
    <definedName name="D" localSheetId="10">#REF!</definedName>
    <definedName name="D" localSheetId="9">#REF!</definedName>
    <definedName name="D">#REF!</definedName>
    <definedName name="D.R.E." localSheetId="3">#REF!</definedName>
    <definedName name="D.R.E." localSheetId="2">#REF!</definedName>
    <definedName name="D.R.E." localSheetId="5">#REF!</definedName>
    <definedName name="D.R.E." localSheetId="8">#REF!</definedName>
    <definedName name="D.R.E." localSheetId="10">#REF!</definedName>
    <definedName name="D.R.E." localSheetId="9">#REF!</definedName>
    <definedName name="D.R.E.">#REF!</definedName>
    <definedName name="dado" localSheetId="3">#REF!</definedName>
    <definedName name="dado" localSheetId="2">#REF!</definedName>
    <definedName name="dado" localSheetId="5">#REF!</definedName>
    <definedName name="dado" localSheetId="8">#REF!</definedName>
    <definedName name="dado" localSheetId="10">#REF!</definedName>
    <definedName name="dado" localSheetId="9">#REF!</definedName>
    <definedName name="dado">#REF!</definedName>
    <definedName name="dados">[5]Plan1!$A$1:$F$593</definedName>
    <definedName name="dajdajdlkjalkd" hidden="1">{#N/A,#N/A,FALSE,"Aging Summary";#N/A,#N/A,FALSE,"Ratio Analysis";#N/A,#N/A,FALSE,"Test 120 Day Accts";#N/A,#N/A,FALSE,"Tickmarks"}</definedName>
    <definedName name="DD" localSheetId="3">#REF!</definedName>
    <definedName name="DD" localSheetId="2">#REF!</definedName>
    <definedName name="DD" localSheetId="5">#REF!</definedName>
    <definedName name="DD" localSheetId="8">#REF!</definedName>
    <definedName name="DD" localSheetId="10">#REF!</definedName>
    <definedName name="DD" localSheetId="9">#REF!</definedName>
    <definedName name="DD">#REF!</definedName>
    <definedName name="DEBENLP" localSheetId="3">#REF!</definedName>
    <definedName name="DEBENLP" localSheetId="2">#REF!</definedName>
    <definedName name="DEBENLP" localSheetId="5">#REF!</definedName>
    <definedName name="DEBENLP" localSheetId="8">#REF!</definedName>
    <definedName name="DEBENLP" localSheetId="10">#REF!</definedName>
    <definedName name="DEBENLP" localSheetId="9">#REF!</definedName>
    <definedName name="DEBENLP">#REF!</definedName>
    <definedName name="DESPESAS" localSheetId="3">[14]Janeiro!#REF!</definedName>
    <definedName name="DESPESAS" localSheetId="2">[14]Janeiro!#REF!</definedName>
    <definedName name="DESPESAS" localSheetId="5">[14]Janeiro!#REF!</definedName>
    <definedName name="DESPESAS" localSheetId="8">[14]Janeiro!#REF!</definedName>
    <definedName name="DESPESAS" localSheetId="10">[14]Janeiro!#REF!</definedName>
    <definedName name="DESPESAS" localSheetId="9">[14]Janeiro!#REF!</definedName>
    <definedName name="DESPESAS">[14]Janeiro!#REF!</definedName>
    <definedName name="dez" localSheetId="3">[6]RLP!#REF!</definedName>
    <definedName name="dez" localSheetId="2">[6]RLP!#REF!</definedName>
    <definedName name="dez" localSheetId="5">[6]RLP!#REF!</definedName>
    <definedName name="dez" localSheetId="8">[6]RLP!#REF!</definedName>
    <definedName name="dez" localSheetId="10">[6]RLP!#REF!</definedName>
    <definedName name="dez" localSheetId="9">[6]RLP!#REF!</definedName>
    <definedName name="dez">[6]RLP!#REF!</definedName>
    <definedName name="DIFERIDO" localSheetId="3">#REF!</definedName>
    <definedName name="DIFERIDO" localSheetId="2">#REF!</definedName>
    <definedName name="DIFERIDO" localSheetId="5">#REF!</definedName>
    <definedName name="DIFERIDO" localSheetId="8">#REF!</definedName>
    <definedName name="DIFERIDO" localSheetId="10">#REF!</definedName>
    <definedName name="DIFERIDO" localSheetId="9">#REF!</definedName>
    <definedName name="DIFERIDO">#REF!</definedName>
    <definedName name="Difference" localSheetId="3">#REF!</definedName>
    <definedName name="Difference" localSheetId="2">#REF!</definedName>
    <definedName name="Difference" localSheetId="5">#REF!</definedName>
    <definedName name="Difference" localSheetId="8">#REF!</definedName>
    <definedName name="Difference" localSheetId="10">#REF!</definedName>
    <definedName name="Difference" localSheetId="9">#REF!</definedName>
    <definedName name="Difference">#REF!</definedName>
    <definedName name="Disaggregations" localSheetId="3">#REF!</definedName>
    <definedName name="Disaggregations" localSheetId="2">#REF!</definedName>
    <definedName name="Disaggregations" localSheetId="5">#REF!</definedName>
    <definedName name="Disaggregations" localSheetId="8">#REF!</definedName>
    <definedName name="Disaggregations" localSheetId="10">#REF!</definedName>
    <definedName name="Disaggregations" localSheetId="9">#REF!</definedName>
    <definedName name="Disaggregations">#REF!</definedName>
    <definedName name="DJASJDKAJ" hidden="1">{#N/A,#N/A,FALSE,"Aging Summary";#N/A,#N/A,FALSE,"Ratio Analysis";#N/A,#N/A,FALSE,"Test 120 Day Accts";#N/A,#N/A,FALSE,"Tickmarks"}</definedName>
    <definedName name="DMPL" localSheetId="3">[15]BP!#REF!</definedName>
    <definedName name="DMPL" localSheetId="2">[15]BP!#REF!</definedName>
    <definedName name="DMPL" localSheetId="5">[15]BP!#REF!</definedName>
    <definedName name="DMPL" localSheetId="8">[15]BP!#REF!</definedName>
    <definedName name="DMPL" localSheetId="10">[15]BP!#REF!</definedName>
    <definedName name="DMPL" localSheetId="9">[15]BP!#REF!</definedName>
    <definedName name="DMPL">[15]BP!#REF!</definedName>
    <definedName name="DOAR" localSheetId="3">[15]BP!#REF!</definedName>
    <definedName name="DOAR" localSheetId="2">[15]BP!#REF!</definedName>
    <definedName name="DOAR" localSheetId="5">[15]BP!#REF!</definedName>
    <definedName name="DOAR" localSheetId="8">[15]BP!#REF!</definedName>
    <definedName name="DOAR" localSheetId="10">[15]BP!#REF!</definedName>
    <definedName name="DOAR" localSheetId="9">[15]BP!#REF!</definedName>
    <definedName name="DOAR">[15]BP!#REF!</definedName>
    <definedName name="DoarCMI" localSheetId="3">#REF!</definedName>
    <definedName name="DoarCMI" localSheetId="2">#REF!</definedName>
    <definedName name="DoarCMI" localSheetId="5">#REF!</definedName>
    <definedName name="DoarCMI" localSheetId="8">#REF!</definedName>
    <definedName name="DoarCMI" localSheetId="10">#REF!</definedName>
    <definedName name="DoarCMI" localSheetId="9">#REF!</definedName>
    <definedName name="DoarCMI">#REF!</definedName>
    <definedName name="DoarLegislacao" localSheetId="3">#REF!</definedName>
    <definedName name="DoarLegislacao" localSheetId="2">#REF!</definedName>
    <definedName name="DoarLegislacao" localSheetId="5">#REF!</definedName>
    <definedName name="DoarLegislacao" localSheetId="8">#REF!</definedName>
    <definedName name="DoarLegislacao" localSheetId="10">#REF!</definedName>
    <definedName name="DoarLegislacao" localSheetId="9">#REF!</definedName>
    <definedName name="DoarLegislacao">#REF!</definedName>
    <definedName name="Dol_Anal_PL" localSheetId="3">[5]Plan1!#REF!</definedName>
    <definedName name="Dol_Anal_PL" localSheetId="2">[5]Plan1!#REF!</definedName>
    <definedName name="Dol_Anal_PL" localSheetId="5">[5]Plan1!#REF!</definedName>
    <definedName name="Dol_Anal_PL" localSheetId="8">[5]Plan1!#REF!</definedName>
    <definedName name="Dol_Anal_PL" localSheetId="10">[5]Plan1!#REF!</definedName>
    <definedName name="Dol_Anal_PL" localSheetId="9">[5]Plan1!#REF!</definedName>
    <definedName name="Dol_Anal_PL">[5]Plan1!#REF!</definedName>
    <definedName name="Dol_Anal_plen" localSheetId="3">[5]Plan1!#REF!</definedName>
    <definedName name="Dol_Anal_plen" localSheetId="2">[5]Plan1!#REF!</definedName>
    <definedName name="Dol_Anal_plen" localSheetId="5">[5]Plan1!#REF!</definedName>
    <definedName name="Dol_Anal_plen" localSheetId="8">[5]Plan1!#REF!</definedName>
    <definedName name="Dol_Anal_plen" localSheetId="10">[5]Plan1!#REF!</definedName>
    <definedName name="Dol_Anal_plen" localSheetId="9">[5]Plan1!#REF!</definedName>
    <definedName name="Dol_Anal_plen">[5]Plan1!#REF!</definedName>
    <definedName name="DolarFinal" localSheetId="3">#REF!</definedName>
    <definedName name="DolarFinal" localSheetId="2">#REF!</definedName>
    <definedName name="DolarFinal" localSheetId="5">#REF!</definedName>
    <definedName name="DolarFinal" localSheetId="8">#REF!</definedName>
    <definedName name="DolarFinal" localSheetId="10">#REF!</definedName>
    <definedName name="DolarFinal" localSheetId="9">#REF!</definedName>
    <definedName name="DolarFinal">#REF!</definedName>
    <definedName name="Dolars98" localSheetId="3">#REF!</definedName>
    <definedName name="Dolars98" localSheetId="2">#REF!</definedName>
    <definedName name="Dolars98" localSheetId="5">#REF!</definedName>
    <definedName name="Dolars98" localSheetId="8">#REF!</definedName>
    <definedName name="Dolars98" localSheetId="10">#REF!</definedName>
    <definedName name="Dolars98" localSheetId="9">#REF!</definedName>
    <definedName name="Dolars98">#REF!</definedName>
    <definedName name="Dolars99" localSheetId="3">[7]Consolidate!#REF!</definedName>
    <definedName name="Dolars99" localSheetId="2">[7]Consolidate!#REF!</definedName>
    <definedName name="Dolars99" localSheetId="5">[7]Consolidate!#REF!</definedName>
    <definedName name="Dolars99" localSheetId="8">[7]Consolidate!#REF!</definedName>
    <definedName name="Dolars99" localSheetId="10">[7]Consolidate!#REF!</definedName>
    <definedName name="Dolars99" localSheetId="9">[7]Consolidate!#REF!</definedName>
    <definedName name="Dolars99">[7]Consolidate!#REF!</definedName>
    <definedName name="DR" localSheetId="3">[15]BP!#REF!</definedName>
    <definedName name="DR" localSheetId="2">[15]BP!#REF!</definedName>
    <definedName name="DR" localSheetId="5">[15]BP!#REF!</definedName>
    <definedName name="DR" localSheetId="8">[15]BP!#REF!</definedName>
    <definedName name="DR" localSheetId="10">[15]BP!#REF!</definedName>
    <definedName name="DR" localSheetId="9">[15]BP!#REF!</definedName>
    <definedName name="DR">[15]BP!#REF!</definedName>
    <definedName name="DUPLS.ARECEBER" localSheetId="3">#REF!</definedName>
    <definedName name="DUPLS.ARECEBER" localSheetId="2">#REF!</definedName>
    <definedName name="DUPLS.ARECEBER" localSheetId="5">#REF!</definedName>
    <definedName name="DUPLS.ARECEBER" localSheetId="8">#REF!</definedName>
    <definedName name="DUPLS.ARECEBER" localSheetId="10">#REF!</definedName>
    <definedName name="DUPLS.ARECEBER" localSheetId="9">#REF!</definedName>
    <definedName name="DUPLS.ARECEBER">#REF!</definedName>
    <definedName name="EBITDA" localSheetId="3">#REF!</definedName>
    <definedName name="EBITDA" localSheetId="4">#REF!</definedName>
    <definedName name="EBITDA" localSheetId="2">#REF!</definedName>
    <definedName name="EBITDA" localSheetId="5">#REF!</definedName>
    <definedName name="EBITDA" localSheetId="1">#REF!</definedName>
    <definedName name="EBITDA" localSheetId="8">#REF!</definedName>
    <definedName name="EBITDA" localSheetId="10">#REF!</definedName>
    <definedName name="EBITDA" localSheetId="6">#REF!</definedName>
    <definedName name="EBITDA" localSheetId="7">#REF!</definedName>
    <definedName name="EBITDA" localSheetId="9">#REF!</definedName>
    <definedName name="Ebitda">OFFSET(#REF!,#REF!,0,13,1)</definedName>
    <definedName name="EE" localSheetId="3">#REF!</definedName>
    <definedName name="EE" localSheetId="2">#REF!</definedName>
    <definedName name="EE" localSheetId="5">#REF!</definedName>
    <definedName name="EE" localSheetId="8">#REF!</definedName>
    <definedName name="EE" localSheetId="10">#REF!</definedName>
    <definedName name="EE" localSheetId="9">#REF!</definedName>
    <definedName name="EE">#REF!</definedName>
    <definedName name="eeeeeeeeee" localSheetId="3">#REF!</definedName>
    <definedName name="eeeeeeeeee" localSheetId="2">#REF!</definedName>
    <definedName name="eeeeeeeeee" localSheetId="5">#REF!</definedName>
    <definedName name="eeeeeeeeee" localSheetId="8">#REF!</definedName>
    <definedName name="eeeeeeeeee" localSheetId="10">#REF!</definedName>
    <definedName name="eeeeeeeeee" localSheetId="9">#REF!</definedName>
    <definedName name="eeeeeeeeee">#REF!</definedName>
    <definedName name="ela" hidden="1">{#N/A,#N/A,FALSE,"Aging Summary";#N/A,#N/A,FALSE,"Ratio Analysis";#N/A,#N/A,FALSE,"Test 120 Day Accts";#N/A,#N/A,FALSE,"Tickmarks"}</definedName>
    <definedName name="ESTOQUES" localSheetId="3">#REF!</definedName>
    <definedName name="ESTOQUES" localSheetId="2">#REF!</definedName>
    <definedName name="ESTOQUES" localSheetId="5">#REF!</definedName>
    <definedName name="ESTOQUES" localSheetId="8">#REF!</definedName>
    <definedName name="ESTOQUES" localSheetId="10">#REF!</definedName>
    <definedName name="ESTOQUES" localSheetId="9">#REF!</definedName>
    <definedName name="ESTOQUES">#REF!</definedName>
    <definedName name="Expected_balance" localSheetId="3">#REF!</definedName>
    <definedName name="Expected_balance" localSheetId="2">#REF!</definedName>
    <definedName name="Expected_balance" localSheetId="5">#REF!</definedName>
    <definedName name="Expected_balance" localSheetId="8">#REF!</definedName>
    <definedName name="Expected_balance" localSheetId="10">#REF!</definedName>
    <definedName name="Expected_balance" localSheetId="9">#REF!</definedName>
    <definedName name="Expected_balance">#REF!</definedName>
    <definedName name="F_1" localSheetId="3">#REF!</definedName>
    <definedName name="F_1" localSheetId="2">#REF!</definedName>
    <definedName name="F_1" localSheetId="5">#REF!</definedName>
    <definedName name="F_1" localSheetId="8">#REF!</definedName>
    <definedName name="F_1" localSheetId="10">#REF!</definedName>
    <definedName name="F_1" localSheetId="9">#REF!</definedName>
    <definedName name="F_1">#REF!</definedName>
    <definedName name="F_2" localSheetId="3">#REF!</definedName>
    <definedName name="F_2" localSheetId="2">#REF!</definedName>
    <definedName name="F_2" localSheetId="5">#REF!</definedName>
    <definedName name="F_2" localSheetId="8">#REF!</definedName>
    <definedName name="F_2" localSheetId="10">#REF!</definedName>
    <definedName name="F_2" localSheetId="9">#REF!</definedName>
    <definedName name="F_2">#REF!</definedName>
    <definedName name="F_3" localSheetId="3">#REF!</definedName>
    <definedName name="F_3" localSheetId="2">#REF!</definedName>
    <definedName name="F_3" localSheetId="5">#REF!</definedName>
    <definedName name="F_3" localSheetId="8">#REF!</definedName>
    <definedName name="F_3" localSheetId="10">#REF!</definedName>
    <definedName name="F_3" localSheetId="9">#REF!</definedName>
    <definedName name="F_3">#REF!</definedName>
    <definedName name="faldodd" localSheetId="3">#REF!</definedName>
    <definedName name="faldodd" localSheetId="2">#REF!</definedName>
    <definedName name="faldodd" localSheetId="5">#REF!</definedName>
    <definedName name="faldodd" localSheetId="8">#REF!</definedName>
    <definedName name="faldodd" localSheetId="10">#REF!</definedName>
    <definedName name="faldodd" localSheetId="9">#REF!</definedName>
    <definedName name="faldodd">#REF!</definedName>
    <definedName name="FB_D_PI" localSheetId="3">#REF!</definedName>
    <definedName name="FB_D_PI" localSheetId="2">#REF!</definedName>
    <definedName name="FB_D_PI" localSheetId="5">#REF!</definedName>
    <definedName name="FB_D_PI" localSheetId="8">#REF!</definedName>
    <definedName name="FB_D_PI" localSheetId="10">#REF!</definedName>
    <definedName name="FB_D_PI" localSheetId="9">#REF!</definedName>
    <definedName name="FB_D_PI">#REF!</definedName>
    <definedName name="FB_D_PP" localSheetId="3">#REF!</definedName>
    <definedName name="FB_D_PP" localSheetId="2">#REF!</definedName>
    <definedName name="FB_D_PP" localSheetId="5">#REF!</definedName>
    <definedName name="FB_D_PP" localSheetId="8">#REF!</definedName>
    <definedName name="FB_D_PP" localSheetId="10">#REF!</definedName>
    <definedName name="FB_D_PP" localSheetId="9">#REF!</definedName>
    <definedName name="FB_D_PP">#REF!</definedName>
    <definedName name="FB_T_PI" localSheetId="3">#REF!</definedName>
    <definedName name="FB_T_PI" localSheetId="2">#REF!</definedName>
    <definedName name="FB_T_PI" localSheetId="5">#REF!</definedName>
    <definedName name="FB_T_PI" localSheetId="8">#REF!</definedName>
    <definedName name="FB_T_PI" localSheetId="10">#REF!</definedName>
    <definedName name="FB_T_PI" localSheetId="9">#REF!</definedName>
    <definedName name="FB_T_PI">#REF!</definedName>
    <definedName name="FB_T_PP" localSheetId="3">#REF!</definedName>
    <definedName name="FB_T_PP" localSheetId="2">#REF!</definedName>
    <definedName name="FB_T_PP" localSheetId="5">#REF!</definedName>
    <definedName name="FB_T_PP" localSheetId="8">#REF!</definedName>
    <definedName name="FB_T_PP" localSheetId="10">#REF!</definedName>
    <definedName name="FB_T_PP" localSheetId="9">#REF!</definedName>
    <definedName name="FB_T_PP">#REF!</definedName>
    <definedName name="fefe" localSheetId="3">#REF!</definedName>
    <definedName name="fefe" localSheetId="2">#REF!</definedName>
    <definedName name="fefe" localSheetId="5">#REF!</definedName>
    <definedName name="fefe" localSheetId="8">#REF!</definedName>
    <definedName name="fefe" localSheetId="10">#REF!</definedName>
    <definedName name="fefe" localSheetId="9">#REF!</definedName>
    <definedName name="fefe">#REF!</definedName>
    <definedName name="fev" localSheetId="3">[6]RLP!#REF!</definedName>
    <definedName name="fev" localSheetId="2">[6]RLP!#REF!</definedName>
    <definedName name="fev" localSheetId="5">[6]RLP!#REF!</definedName>
    <definedName name="fev" localSheetId="8">[6]RLP!#REF!</definedName>
    <definedName name="fev" localSheetId="10">[6]RLP!#REF!</definedName>
    <definedName name="fev" localSheetId="9">[6]RLP!#REF!</definedName>
    <definedName name="fev">[6]RLP!#REF!</definedName>
    <definedName name="FINANCP" localSheetId="3">#REF!</definedName>
    <definedName name="FINANCP" localSheetId="2">#REF!</definedName>
    <definedName name="FINANCP" localSheetId="5">#REF!</definedName>
    <definedName name="FINANCP" localSheetId="8">#REF!</definedName>
    <definedName name="FINANCP" localSheetId="10">#REF!</definedName>
    <definedName name="FINANCP" localSheetId="9">#REF!</definedName>
    <definedName name="FINANCP">#REF!</definedName>
    <definedName name="FINANLP" localSheetId="3">#REF!</definedName>
    <definedName name="FINANLP" localSheetId="2">#REF!</definedName>
    <definedName name="FINANLP" localSheetId="5">#REF!</definedName>
    <definedName name="FINANLP" localSheetId="8">#REF!</definedName>
    <definedName name="FINANLP" localSheetId="10">#REF!</definedName>
    <definedName name="FINANLP" localSheetId="9">#REF!</definedName>
    <definedName name="FINANLP">#REF!</definedName>
    <definedName name="FLUXOC" localSheetId="3">[16]Plan1!#REF!</definedName>
    <definedName name="FLUXOC" localSheetId="2">[16]Plan1!#REF!</definedName>
    <definedName name="FLUXOC" localSheetId="5">[16]Plan1!#REF!</definedName>
    <definedName name="FLUXOC" localSheetId="8">[16]Plan1!#REF!</definedName>
    <definedName name="FLUXOC" localSheetId="10">[16]Plan1!#REF!</definedName>
    <definedName name="FLUXOC" localSheetId="9">[16]Plan1!#REF!</definedName>
    <definedName name="FLUXOC">[16]Plan1!#REF!</definedName>
    <definedName name="FN_D_PI" localSheetId="3">#REF!</definedName>
    <definedName name="FN_D_PI" localSheetId="2">#REF!</definedName>
    <definedName name="FN_D_PI" localSheetId="5">#REF!</definedName>
    <definedName name="FN_D_PI" localSheetId="8">#REF!</definedName>
    <definedName name="FN_D_PI" localSheetId="10">#REF!</definedName>
    <definedName name="FN_D_PI" localSheetId="9">#REF!</definedName>
    <definedName name="FN_D_PI">#REF!</definedName>
    <definedName name="FN_T_PI" localSheetId="3">#REF!</definedName>
    <definedName name="FN_T_PI" localSheetId="2">#REF!</definedName>
    <definedName name="FN_T_PI" localSheetId="5">#REF!</definedName>
    <definedName name="FN_T_PI" localSheetId="8">#REF!</definedName>
    <definedName name="FN_T_PI" localSheetId="10">#REF!</definedName>
    <definedName name="FN_T_PI" localSheetId="9">#REF!</definedName>
    <definedName name="FN_T_PI">#REF!</definedName>
    <definedName name="FOLHA" localSheetId="3">#REF!</definedName>
    <definedName name="FOLHA" localSheetId="2">#REF!</definedName>
    <definedName name="FOLHA" localSheetId="5">#REF!</definedName>
    <definedName name="FOLHA" localSheetId="8">#REF!</definedName>
    <definedName name="FOLHA" localSheetId="10">#REF!</definedName>
    <definedName name="FOLHA" localSheetId="9">#REF!</definedName>
    <definedName name="FOLHA">#REF!</definedName>
    <definedName name="formu" localSheetId="3" hidden="1">#REF!</definedName>
    <definedName name="formu" localSheetId="2" hidden="1">#REF!</definedName>
    <definedName name="formu" localSheetId="5" hidden="1">#REF!</definedName>
    <definedName name="formu" localSheetId="8" hidden="1">#REF!</definedName>
    <definedName name="formu" localSheetId="10" hidden="1">#REF!</definedName>
    <definedName name="formu" localSheetId="9" hidden="1">#REF!</definedName>
    <definedName name="formu" hidden="1">#REF!</definedName>
    <definedName name="FU" localSheetId="3">'[17]Detailed Adjustments'!#REF!</definedName>
    <definedName name="FU" localSheetId="2">'[17]Detailed Adjustments'!#REF!</definedName>
    <definedName name="FU" localSheetId="5">'[17]Detailed Adjustments'!#REF!</definedName>
    <definedName name="FU" localSheetId="8">'[17]Detailed Adjustments'!#REF!</definedName>
    <definedName name="FU" localSheetId="10">'[17]Detailed Adjustments'!#REF!</definedName>
    <definedName name="FU" localSheetId="9">'[17]Detailed Adjustments'!#REF!</definedName>
    <definedName name="FU">'[17]Detailed Adjustments'!#REF!</definedName>
    <definedName name="g">[5]Plan1!$C$7:$V$7</definedName>
    <definedName name="GDF" localSheetId="3" hidden="1">#REF!</definedName>
    <definedName name="GDF" localSheetId="2" hidden="1">#REF!</definedName>
    <definedName name="GDF" localSheetId="5" hidden="1">#REF!</definedName>
    <definedName name="GDF" localSheetId="8" hidden="1">#REF!</definedName>
    <definedName name="GDF" localSheetId="10" hidden="1">#REF!</definedName>
    <definedName name="GDF" localSheetId="9" hidden="1">#REF!</definedName>
    <definedName name="GDF" hidden="1">#REF!</definedName>
    <definedName name="_xlnm.Recorder" localSheetId="3">#REF!</definedName>
    <definedName name="_xlnm.Recorder" localSheetId="2">#REF!</definedName>
    <definedName name="_xlnm.Recorder" localSheetId="5">#REF!</definedName>
    <definedName name="_xlnm.Recorder" localSheetId="8">#REF!</definedName>
    <definedName name="_xlnm.Recorder" localSheetId="10">#REF!</definedName>
    <definedName name="_xlnm.Recorder" localSheetId="9">#REF!</definedName>
    <definedName name="_xlnm.Recorder">#REF!</definedName>
    <definedName name="GRUPO_1" localSheetId="3">#REF!</definedName>
    <definedName name="GRUPO_1" localSheetId="2">#REF!</definedName>
    <definedName name="GRUPO_1" localSheetId="5">#REF!</definedName>
    <definedName name="GRUPO_1" localSheetId="8">#REF!</definedName>
    <definedName name="GRUPO_1" localSheetId="10">#REF!</definedName>
    <definedName name="GRUPO_1" localSheetId="9">#REF!</definedName>
    <definedName name="GRUPO_1">#REF!</definedName>
    <definedName name="GRUPO_2" localSheetId="3">#REF!</definedName>
    <definedName name="GRUPO_2" localSheetId="2">#REF!</definedName>
    <definedName name="GRUPO_2" localSheetId="5">#REF!</definedName>
    <definedName name="GRUPO_2" localSheetId="8">#REF!</definedName>
    <definedName name="GRUPO_2" localSheetId="10">#REF!</definedName>
    <definedName name="GRUPO_2" localSheetId="9">#REF!</definedName>
    <definedName name="GRUPO_2">#REF!</definedName>
    <definedName name="GRUPO_3" localSheetId="3">#REF!</definedName>
    <definedName name="GRUPO_3" localSheetId="2">#REF!</definedName>
    <definedName name="GRUPO_3" localSheetId="5">#REF!</definedName>
    <definedName name="GRUPO_3" localSheetId="8">#REF!</definedName>
    <definedName name="GRUPO_3" localSheetId="10">#REF!</definedName>
    <definedName name="GRUPO_3" localSheetId="9">#REF!</definedName>
    <definedName name="GRUPO_3">#REF!</definedName>
    <definedName name="GRUPO_4" localSheetId="3">#REF!</definedName>
    <definedName name="GRUPO_4" localSheetId="2">#REF!</definedName>
    <definedName name="GRUPO_4" localSheetId="5">#REF!</definedName>
    <definedName name="GRUPO_4" localSheetId="8">#REF!</definedName>
    <definedName name="GRUPO_4" localSheetId="10">#REF!</definedName>
    <definedName name="GRUPO_4" localSheetId="9">#REF!</definedName>
    <definedName name="GRUPO_4">#REF!</definedName>
    <definedName name="GRUPO_5" localSheetId="3">#REF!</definedName>
    <definedName name="GRUPO_5" localSheetId="2">#REF!</definedName>
    <definedName name="GRUPO_5" localSheetId="5">#REF!</definedName>
    <definedName name="GRUPO_5" localSheetId="8">#REF!</definedName>
    <definedName name="GRUPO_5" localSheetId="10">#REF!</definedName>
    <definedName name="GRUPO_5" localSheetId="9">#REF!</definedName>
    <definedName name="GRUPO_5">#REF!</definedName>
    <definedName name="GRUPO_6" localSheetId="3">#REF!</definedName>
    <definedName name="GRUPO_6" localSheetId="2">#REF!</definedName>
    <definedName name="GRUPO_6" localSheetId="5">#REF!</definedName>
    <definedName name="GRUPO_6" localSheetId="8">#REF!</definedName>
    <definedName name="GRUPO_6" localSheetId="10">#REF!</definedName>
    <definedName name="GRUPO_6" localSheetId="9">#REF!</definedName>
    <definedName name="GRUPO_6">#REF!</definedName>
    <definedName name="GRUPO_7" localSheetId="3">#REF!</definedName>
    <definedName name="GRUPO_7" localSheetId="2">#REF!</definedName>
    <definedName name="GRUPO_7" localSheetId="5">#REF!</definedName>
    <definedName name="GRUPO_7" localSheetId="8">#REF!</definedName>
    <definedName name="GRUPO_7" localSheetId="10">#REF!</definedName>
    <definedName name="GRUPO_7" localSheetId="9">#REF!</definedName>
    <definedName name="GRUPO_7">#REF!</definedName>
    <definedName name="GRUPO_8" localSheetId="3">#REF!</definedName>
    <definedName name="GRUPO_8" localSheetId="2">#REF!</definedName>
    <definedName name="GRUPO_8" localSheetId="5">#REF!</definedName>
    <definedName name="GRUPO_8" localSheetId="8">#REF!</definedName>
    <definedName name="GRUPO_8" localSheetId="10">#REF!</definedName>
    <definedName name="GRUPO_8" localSheetId="9">#REF!</definedName>
    <definedName name="GRUPO_8">#REF!</definedName>
    <definedName name="GS" localSheetId="3" hidden="1">#REF!</definedName>
    <definedName name="GS" localSheetId="2" hidden="1">#REF!</definedName>
    <definedName name="GS" localSheetId="5" hidden="1">#REF!</definedName>
    <definedName name="GS" localSheetId="8" hidden="1">#REF!</definedName>
    <definedName name="GS" localSheetId="10" hidden="1">#REF!</definedName>
    <definedName name="GS" localSheetId="9" hidden="1">#REF!</definedName>
    <definedName name="GS" hidden="1">#REF!</definedName>
    <definedName name="hdahkjsakF" hidden="1">{#N/A,#N/A,FALSE,"Aging Summary";#N/A,#N/A,FALSE,"Ratio Analysis";#N/A,#N/A,FALSE,"Test 120 Day Accts";#N/A,#N/A,FALSE,"Tickmarks"}</definedName>
    <definedName name="hfhf" localSheetId="3">[18]Lead!#REF!</definedName>
    <definedName name="hfhf" localSheetId="2">[18]Lead!#REF!</definedName>
    <definedName name="hfhf" localSheetId="5">[18]Lead!#REF!</definedName>
    <definedName name="hfhf" localSheetId="8">[18]Lead!#REF!</definedName>
    <definedName name="hfhf" localSheetId="10">[18]Lead!#REF!</definedName>
    <definedName name="hfhf" localSheetId="9">[18]Lead!#REF!</definedName>
    <definedName name="hfhf">[18]Lead!#REF!</definedName>
    <definedName name="hfhof" localSheetId="3">[18]Lead!#REF!</definedName>
    <definedName name="hfhof" localSheetId="2">[18]Lead!#REF!</definedName>
    <definedName name="hfhof" localSheetId="5">[18]Lead!#REF!</definedName>
    <definedName name="hfhof" localSheetId="8">[18]Lead!#REF!</definedName>
    <definedName name="hfhof" localSheetId="10">[18]Lead!#REF!</definedName>
    <definedName name="hfhof" localSheetId="9">[18]Lead!#REF!</definedName>
    <definedName name="hfhof">[18]Lead!#REF!</definedName>
    <definedName name="HH" localSheetId="3">#REF!</definedName>
    <definedName name="HH" localSheetId="2">#REF!</definedName>
    <definedName name="HH" localSheetId="5">#REF!</definedName>
    <definedName name="HH" localSheetId="8">#REF!</definedName>
    <definedName name="HH" localSheetId="10">#REF!</definedName>
    <definedName name="HH" localSheetId="9">#REF!</definedName>
    <definedName name="HH">#REF!</definedName>
    <definedName name="hsd" localSheetId="3">'[19]Summary Information'!#REF!</definedName>
    <definedName name="hsd" localSheetId="2">'[19]Summary Information'!#REF!</definedName>
    <definedName name="hsd" localSheetId="5">'[19]Summary Information'!#REF!</definedName>
    <definedName name="hsd" localSheetId="8">'[19]Summary Information'!#REF!</definedName>
    <definedName name="hsd" localSheetId="10">'[19]Summary Information'!#REF!</definedName>
    <definedName name="hsd" localSheetId="9">'[19]Summary Information'!#REF!</definedName>
    <definedName name="hsd">'[19]Summary Information'!#REF!</definedName>
    <definedName name="I" localSheetId="3">#REF!</definedName>
    <definedName name="I" localSheetId="2">#REF!</definedName>
    <definedName name="I" localSheetId="5">#REF!</definedName>
    <definedName name="I" localSheetId="8">#REF!</definedName>
    <definedName name="I" localSheetId="10">#REF!</definedName>
    <definedName name="I" localSheetId="9">#REF!</definedName>
    <definedName name="I">#REF!</definedName>
    <definedName name="II" localSheetId="3">#REF!</definedName>
    <definedName name="II" localSheetId="2">#REF!</definedName>
    <definedName name="II" localSheetId="5">#REF!</definedName>
    <definedName name="II" localSheetId="8">#REF!</definedName>
    <definedName name="II" localSheetId="10">#REF!</definedName>
    <definedName name="II" localSheetId="9">#REF!</definedName>
    <definedName name="II">#REF!</definedName>
    <definedName name="IMOBILIZA01" localSheetId="3">#REF!</definedName>
    <definedName name="IMOBILIZA01" localSheetId="2">#REF!</definedName>
    <definedName name="IMOBILIZA01" localSheetId="5">#REF!</definedName>
    <definedName name="IMOBILIZA01" localSheetId="8">#REF!</definedName>
    <definedName name="IMOBILIZA01" localSheetId="10">#REF!</definedName>
    <definedName name="IMOBILIZA01" localSheetId="9">#REF!</definedName>
    <definedName name="IMOBILIZA01">#REF!</definedName>
    <definedName name="IMOBILIZA02" localSheetId="3">#REF!</definedName>
    <definedName name="IMOBILIZA02" localSheetId="2">#REF!</definedName>
    <definedName name="IMOBILIZA02" localSheetId="5">#REF!</definedName>
    <definedName name="IMOBILIZA02" localSheetId="8">#REF!</definedName>
    <definedName name="IMOBILIZA02" localSheetId="10">#REF!</definedName>
    <definedName name="IMOBILIZA02" localSheetId="9">#REF!</definedName>
    <definedName name="IMOBILIZA02">#REF!</definedName>
    <definedName name="IMOBILIZADO" localSheetId="3">#REF!</definedName>
    <definedName name="IMOBILIZADO" localSheetId="2">#REF!</definedName>
    <definedName name="IMOBILIZADO" localSheetId="5">#REF!</definedName>
    <definedName name="IMOBILIZADO" localSheetId="8">#REF!</definedName>
    <definedName name="IMOBILIZADO" localSheetId="10">#REF!</definedName>
    <definedName name="IMOBILIZADO" localSheetId="9">#REF!</definedName>
    <definedName name="IMOBILIZADO">#REF!</definedName>
    <definedName name="IMPATUAL" localSheetId="3">#REF!</definedName>
    <definedName name="IMPATUAL" localSheetId="2">#REF!</definedName>
    <definedName name="IMPATUAL" localSheetId="5">#REF!</definedName>
    <definedName name="IMPATUAL" localSheetId="8">#REF!</definedName>
    <definedName name="IMPATUAL" localSheetId="10">#REF!</definedName>
    <definedName name="IMPATUAL" localSheetId="9">#REF!</definedName>
    <definedName name="IMPATUAL">#REF!</definedName>
    <definedName name="INCENTIVOS" localSheetId="3">#REF!</definedName>
    <definedName name="INCENTIVOS" localSheetId="2">#REF!</definedName>
    <definedName name="INCENTIVOS" localSheetId="5">#REF!</definedName>
    <definedName name="INCENTIVOS" localSheetId="8">#REF!</definedName>
    <definedName name="INCENTIVOS" localSheetId="10">#REF!</definedName>
    <definedName name="INCENTIVOS" localSheetId="9">#REF!</definedName>
    <definedName name="INCENTIVOS">#REF!</definedName>
    <definedName name="Indicador" localSheetId="3">#REF!</definedName>
    <definedName name="Indicador" localSheetId="4">#REF!</definedName>
    <definedName name="Indicador" localSheetId="2">#REF!</definedName>
    <definedName name="Indicador" localSheetId="5">#REF!</definedName>
    <definedName name="Indicador" localSheetId="1">#REF!</definedName>
    <definedName name="Indicador" localSheetId="8">#REF!</definedName>
    <definedName name="Indicador" localSheetId="10">#REF!</definedName>
    <definedName name="Indicador" localSheetId="6">#REF!</definedName>
    <definedName name="Indicador" localSheetId="7">#REF!</definedName>
    <definedName name="Indicador" localSheetId="9">#REF!</definedName>
    <definedName name="Indicador">#REF!</definedName>
    <definedName name="Indicador1" localSheetId="3">#REF!</definedName>
    <definedName name="Indicador1" localSheetId="4">#REF!</definedName>
    <definedName name="Indicador1" localSheetId="2">#REF!</definedName>
    <definedName name="Indicador1" localSheetId="5">#REF!</definedName>
    <definedName name="Indicador1" localSheetId="1">#REF!</definedName>
    <definedName name="Indicador1" localSheetId="8">#REF!</definedName>
    <definedName name="Indicador1" localSheetId="10">#REF!</definedName>
    <definedName name="Indicador1" localSheetId="6">#REF!</definedName>
    <definedName name="Indicador1" localSheetId="7">#REF!</definedName>
    <definedName name="Indicador1" localSheetId="9">#REF!</definedName>
    <definedName name="Indicador1">#REF!</definedName>
    <definedName name="Indicador1_Tri" localSheetId="3">#REF!</definedName>
    <definedName name="Indicador1_Tri" localSheetId="4">#REF!</definedName>
    <definedName name="Indicador1_Tri" localSheetId="2">#REF!</definedName>
    <definedName name="Indicador1_Tri" localSheetId="5">#REF!</definedName>
    <definedName name="Indicador1_Tri" localSheetId="1">#REF!</definedName>
    <definedName name="Indicador1_Tri" localSheetId="8">#REF!</definedName>
    <definedName name="Indicador1_Tri" localSheetId="10">#REF!</definedName>
    <definedName name="Indicador1_Tri" localSheetId="6">#REF!</definedName>
    <definedName name="Indicador1_Tri" localSheetId="7">#REF!</definedName>
    <definedName name="Indicador1_Tri" localSheetId="9">#REF!</definedName>
    <definedName name="Indicador1_Tri">#REF!</definedName>
    <definedName name="Indicador2" localSheetId="3">#REF!</definedName>
    <definedName name="Indicador2" localSheetId="4">#REF!</definedName>
    <definedName name="Indicador2" localSheetId="2">#REF!</definedName>
    <definedName name="Indicador2" localSheetId="5">#REF!</definedName>
    <definedName name="Indicador2" localSheetId="1">#REF!</definedName>
    <definedName name="Indicador2" localSheetId="8">#REF!</definedName>
    <definedName name="Indicador2" localSheetId="10">#REF!</definedName>
    <definedName name="Indicador2" localSheetId="6">#REF!</definedName>
    <definedName name="Indicador2" localSheetId="7">#REF!</definedName>
    <definedName name="Indicador2" localSheetId="9">#REF!</definedName>
    <definedName name="Indicador2">#REF!</definedName>
    <definedName name="Indicador2_Tri" localSheetId="3">#REF!</definedName>
    <definedName name="Indicador2_Tri" localSheetId="4">#REF!</definedName>
    <definedName name="Indicador2_Tri" localSheetId="2">#REF!</definedName>
    <definedName name="Indicador2_Tri" localSheetId="5">#REF!</definedName>
    <definedName name="Indicador2_Tri" localSheetId="1">#REF!</definedName>
    <definedName name="Indicador2_Tri" localSheetId="8">#REF!</definedName>
    <definedName name="Indicador2_Tri" localSheetId="10">#REF!</definedName>
    <definedName name="Indicador2_Tri" localSheetId="6">#REF!</definedName>
    <definedName name="Indicador2_Tri" localSheetId="7">#REF!</definedName>
    <definedName name="Indicador2_Tri" localSheetId="9">#REF!</definedName>
    <definedName name="Indicador2_Tri">#REF!</definedName>
    <definedName name="initialdate">[5]Plan1!$D$8</definedName>
    <definedName name="INPUT" localSheetId="3">'[20]Financimentos CP'!#REF!</definedName>
    <definedName name="INPUT" localSheetId="2">'[20]Financimentos CP'!#REF!</definedName>
    <definedName name="INPUT" localSheetId="5">'[20]Financimentos CP'!#REF!</definedName>
    <definedName name="INPUT" localSheetId="8">'[20]Financimentos CP'!#REF!</definedName>
    <definedName name="INPUT" localSheetId="10">'[20]Financimentos CP'!#REF!</definedName>
    <definedName name="INPUT" localSheetId="9">'[20]Financimentos CP'!#REF!</definedName>
    <definedName name="INPUT">'[20]Financimentos CP'!#REF!</definedName>
    <definedName name="interm_level">'[11]Tabela de Parâmetros'!$D$6:$F$11</definedName>
    <definedName name="INVESCOLIG" localSheetId="3">#REF!</definedName>
    <definedName name="INVESCOLIG" localSheetId="2">#REF!</definedName>
    <definedName name="INVESCOLIG" localSheetId="5">#REF!</definedName>
    <definedName name="INVESCOLIG" localSheetId="8">#REF!</definedName>
    <definedName name="INVESCOLIG" localSheetId="10">#REF!</definedName>
    <definedName name="INVESCOLIG" localSheetId="9">#REF!</definedName>
    <definedName name="INVESCOLIG">#REF!</definedName>
    <definedName name="INVESTIOUTROS" localSheetId="3">#REF!</definedName>
    <definedName name="INVESTIOUTROS" localSheetId="2">#REF!</definedName>
    <definedName name="INVESTIOUTROS" localSheetId="5">#REF!</definedName>
    <definedName name="INVESTIOUTROS" localSheetId="8">#REF!</definedName>
    <definedName name="INVESTIOUTROS" localSheetId="10">#REF!</definedName>
    <definedName name="INVESTIOUTROS" localSheetId="9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RF" localSheetId="3" hidden="1">#REF!</definedName>
    <definedName name="irRF" localSheetId="2" hidden="1">#REF!</definedName>
    <definedName name="irRF" localSheetId="5" hidden="1">#REF!</definedName>
    <definedName name="irRF" localSheetId="8" hidden="1">#REF!</definedName>
    <definedName name="irRF" localSheetId="10" hidden="1">#REF!</definedName>
    <definedName name="irRF" localSheetId="9" hidden="1">#REF!</definedName>
    <definedName name="irRF" hidden="1">#REF!</definedName>
    <definedName name="ISP_Profit_and_Loss" localSheetId="3">'[12]Canbras TVA'!#REF!</definedName>
    <definedName name="ISP_Profit_and_Loss" localSheetId="2">'[12]Canbras TVA'!#REF!</definedName>
    <definedName name="ISP_Profit_and_Loss" localSheetId="5">'[12]Canbras TVA'!#REF!</definedName>
    <definedName name="ISP_Profit_and_Loss" localSheetId="8">'[12]Canbras TVA'!#REF!</definedName>
    <definedName name="ISP_Profit_and_Loss" localSheetId="10">'[12]Canbras TVA'!#REF!</definedName>
    <definedName name="ISP_Profit_and_Loss" localSheetId="9">'[12]Canbras TVA'!#REF!</definedName>
    <definedName name="ISP_Profit_and_Loss">'[12]Canbras TVA'!#REF!</definedName>
    <definedName name="iui" hidden="1">[21]XREF!$A$3:$IV$3</definedName>
    <definedName name="jajifai" hidden="1">{#N/A,#N/A,FALSE,"Aging Summary";#N/A,#N/A,FALSE,"Ratio Analysis";#N/A,#N/A,FALSE,"Test 120 Day Accts";#N/A,#N/A,FALSE,"Tickmarks"}</definedName>
    <definedName name="Jesus" localSheetId="3">#REF!</definedName>
    <definedName name="Jesus" localSheetId="2">#REF!</definedName>
    <definedName name="Jesus" localSheetId="5">#REF!</definedName>
    <definedName name="Jesus" localSheetId="8">#REF!</definedName>
    <definedName name="Jesus" localSheetId="10">#REF!</definedName>
    <definedName name="Jesus" localSheetId="9">#REF!</definedName>
    <definedName name="Jesus">#REF!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UDICIAIS" localSheetId="3">#REF!</definedName>
    <definedName name="JUDICIAIS" localSheetId="2">#REF!</definedName>
    <definedName name="JUDICIAIS" localSheetId="5">#REF!</definedName>
    <definedName name="JUDICIAIS" localSheetId="8">#REF!</definedName>
    <definedName name="JUDICIAIS" localSheetId="10">#REF!</definedName>
    <definedName name="JUDICIAIS" localSheetId="9">#REF!</definedName>
    <definedName name="JUDICIAIS">#REF!</definedName>
    <definedName name="jul" localSheetId="3">[6]RLP!#REF!</definedName>
    <definedName name="jul" localSheetId="2">[6]RLP!#REF!</definedName>
    <definedName name="jul" localSheetId="5">[6]RLP!#REF!</definedName>
    <definedName name="jul" localSheetId="8">[6]RLP!#REF!</definedName>
    <definedName name="jul" localSheetId="10">[6]RLP!#REF!</definedName>
    <definedName name="jul" localSheetId="9">[6]RLP!#REF!</definedName>
    <definedName name="jul">[6]RLP!#REF!</definedName>
    <definedName name="jun" localSheetId="3">[6]RLP!#REF!</definedName>
    <definedName name="jun" localSheetId="2">[6]RLP!#REF!</definedName>
    <definedName name="jun" localSheetId="5">[6]RLP!#REF!</definedName>
    <definedName name="jun" localSheetId="8">[6]RLP!#REF!</definedName>
    <definedName name="jun" localSheetId="10">[6]RLP!#REF!</definedName>
    <definedName name="jun" localSheetId="9">[6]RLP!#REF!</definedName>
    <definedName name="jun">[6]RLP!#REF!</definedName>
    <definedName name="kjfkjsalkhdk" hidden="1">{#N/A,#N/A,FALSE,"Aging Summary";#N/A,#N/A,FALSE,"Ratio Analysis";#N/A,#N/A,FALSE,"Test 120 Day Accts";#N/A,#N/A,FALSE,"Tickmarks"}</definedName>
    <definedName name="KJHFDKJHAIU">[22]UFIR!$A$14:$C$2255</definedName>
    <definedName name="kk" localSheetId="3" hidden="1">#REF!</definedName>
    <definedName name="kk" localSheetId="2" hidden="1">#REF!</definedName>
    <definedName name="kk" localSheetId="5" hidden="1">#REF!</definedName>
    <definedName name="kk" localSheetId="8" hidden="1">#REF!</definedName>
    <definedName name="kk" localSheetId="10" hidden="1">#REF!</definedName>
    <definedName name="kk" localSheetId="9" hidden="1">#REF!</definedName>
    <definedName name="kk" hidden="1">#REF!</definedName>
    <definedName name="L." localSheetId="3">#REF!</definedName>
    <definedName name="L." localSheetId="2">#REF!</definedName>
    <definedName name="L." localSheetId="5">#REF!</definedName>
    <definedName name="L." localSheetId="8">#REF!</definedName>
    <definedName name="L." localSheetId="10">#REF!</definedName>
    <definedName name="L." localSheetId="9">#REF!</definedName>
    <definedName name="L.">#REF!</definedName>
    <definedName name="L_Adjust">[23]Links!$H$1:$H$65536</definedName>
    <definedName name="L_AJE_Tot">[24]Links!$G$1:$G$65536</definedName>
    <definedName name="L_CY_Beg">[25]Links!$F$1:$F$65536</definedName>
    <definedName name="L_CY_End">[23]Links!$J$1:$J$65536</definedName>
    <definedName name="L_PY_E">[26]Links!$K$1:$K$65536</definedName>
    <definedName name="L_PY_End">[25]Links!$K$1:$K$65536</definedName>
    <definedName name="L_RJE_Tot">[23]Links!$I$1:$I$65536</definedName>
    <definedName name="ldfsaiow" hidden="1">{#N/A,#N/A,FALSE,"Aging Summary";#N/A,#N/A,FALSE,"Ratio Analysis";#N/A,#N/A,FALSE,"Test 120 Day Accts";#N/A,#N/A,FALSE,"Tickmarks"}</definedName>
    <definedName name="LEASING" localSheetId="3">'[25]MELHORIAS E OPÇÕES'!#REF!</definedName>
    <definedName name="LEASING" localSheetId="2">'[25]MELHORIAS E OPÇÕES'!#REF!</definedName>
    <definedName name="LEASING" localSheetId="5">'[25]MELHORIAS E OPÇÕES'!#REF!</definedName>
    <definedName name="LEASING" localSheetId="8">'[25]MELHORIAS E OPÇÕES'!#REF!</definedName>
    <definedName name="LEASING" localSheetId="10">'[25]MELHORIAS E OPÇÕES'!#REF!</definedName>
    <definedName name="LEASING" localSheetId="9">'[25]MELHORIAS E OPÇÕES'!#REF!</definedName>
    <definedName name="LEASING">'[25]MELHORIAS E OPÇÕES'!#REF!</definedName>
    <definedName name="LL" localSheetId="3">OFFSET(#REF!,#REF!,0,13,1)</definedName>
    <definedName name="LL" localSheetId="2">OFFSET(#REF!,#REF!,0,13,1)</definedName>
    <definedName name="LL" localSheetId="5">OFFSET(#REF!,#REF!,0,13,1)</definedName>
    <definedName name="LL" localSheetId="8">OFFSET(#REF!,#REF!,0,13,1)</definedName>
    <definedName name="LL" localSheetId="10">OFFSET(#REF!,#REF!,0,13,1)</definedName>
    <definedName name="LL" localSheetId="9">OFFSET(#REF!,#REF!,0,13,1)</definedName>
    <definedName name="LL">OFFSET(#REF!,#REF!,0,13,1)</definedName>
    <definedName name="lllllllll" localSheetId="3" hidden="1">#REF!</definedName>
    <definedName name="lllllllll" localSheetId="2" hidden="1">#REF!</definedName>
    <definedName name="lllllllll" localSheetId="5" hidden="1">#REF!</definedName>
    <definedName name="lllllllll" localSheetId="8" hidden="1">#REF!</definedName>
    <definedName name="lllllllll" localSheetId="10" hidden="1">#REF!</definedName>
    <definedName name="lllllllll" localSheetId="9" hidden="1">#REF!</definedName>
    <definedName name="lllllllll" hidden="1">#REF!</definedName>
    <definedName name="LO_D_PI" localSheetId="3">#REF!</definedName>
    <definedName name="LO_D_PI" localSheetId="2">#REF!</definedName>
    <definedName name="LO_D_PI" localSheetId="5">#REF!</definedName>
    <definedName name="LO_D_PI" localSheetId="8">#REF!</definedName>
    <definedName name="LO_D_PI" localSheetId="10">#REF!</definedName>
    <definedName name="LO_D_PI" localSheetId="9">#REF!</definedName>
    <definedName name="LO_D_PI">#REF!</definedName>
    <definedName name="LO_T_PI" localSheetId="3">#REF!</definedName>
    <definedName name="LO_T_PI" localSheetId="2">#REF!</definedName>
    <definedName name="LO_T_PI" localSheetId="5">#REF!</definedName>
    <definedName name="LO_T_PI" localSheetId="8">#REF!</definedName>
    <definedName name="LO_T_PI" localSheetId="10">#REF!</definedName>
    <definedName name="LO_T_PI" localSheetId="9">#REF!</definedName>
    <definedName name="LO_T_PI">#REF!</definedName>
    <definedName name="luciano" localSheetId="3" hidden="1">#REF!</definedName>
    <definedName name="luciano" localSheetId="2" hidden="1">#REF!</definedName>
    <definedName name="luciano" localSheetId="5" hidden="1">#REF!</definedName>
    <definedName name="luciano" localSheetId="8" hidden="1">#REF!</definedName>
    <definedName name="luciano" localSheetId="10" hidden="1">#REF!</definedName>
    <definedName name="luciano" localSheetId="9" hidden="1">#REF!</definedName>
    <definedName name="luciano" hidden="1">#REF!</definedName>
    <definedName name="Luiz" localSheetId="3">#REF!</definedName>
    <definedName name="Luiz" localSheetId="2">#REF!</definedName>
    <definedName name="Luiz" localSheetId="5">#REF!</definedName>
    <definedName name="Luiz" localSheetId="8">#REF!</definedName>
    <definedName name="Luiz" localSheetId="10">#REF!</definedName>
    <definedName name="Luiz" localSheetId="9">#REF!</definedName>
    <definedName name="Luiz">#REF!</definedName>
    <definedName name="Macro2" localSheetId="3">'[27]Plano de Contas'!#REF!</definedName>
    <definedName name="Macro2" localSheetId="2">'[27]Plano de Contas'!#REF!</definedName>
    <definedName name="Macro2" localSheetId="5">'[27]Plano de Contas'!#REF!</definedName>
    <definedName name="Macro2" localSheetId="8">'[27]Plano de Contas'!#REF!</definedName>
    <definedName name="Macro2" localSheetId="10">'[27]Plano de Contas'!#REF!</definedName>
    <definedName name="Macro2" localSheetId="9">'[27]Plano de Contas'!#REF!</definedName>
    <definedName name="Macro2">'[27]Plano de Contas'!#REF!</definedName>
    <definedName name="mai" localSheetId="3">[6]RLP!#REF!</definedName>
    <definedName name="mai" localSheetId="2">[6]RLP!#REF!</definedName>
    <definedName name="mai" localSheetId="5">[6]RLP!#REF!</definedName>
    <definedName name="mai" localSheetId="8">[6]RLP!#REF!</definedName>
    <definedName name="mai" localSheetId="10">[6]RLP!#REF!</definedName>
    <definedName name="mai" localSheetId="9">[6]RLP!#REF!</definedName>
    <definedName name="mai">[6]RLP!#REF!</definedName>
    <definedName name="Manganês" localSheetId="3">#REF!</definedName>
    <definedName name="Manganês" localSheetId="2">#REF!</definedName>
    <definedName name="Manganês" localSheetId="5">#REF!</definedName>
    <definedName name="Manganês" localSheetId="8">#REF!</definedName>
    <definedName name="Manganês" localSheetId="10">#REF!</definedName>
    <definedName name="Manganês" localSheetId="9">#REF!</definedName>
    <definedName name="Manganês">#REF!</definedName>
    <definedName name="manoel" localSheetId="3">#REF!</definedName>
    <definedName name="manoel" localSheetId="2">#REF!</definedName>
    <definedName name="manoel" localSheetId="5">#REF!</definedName>
    <definedName name="manoel" localSheetId="8">#REF!</definedName>
    <definedName name="manoel" localSheetId="10">#REF!</definedName>
    <definedName name="manoel" localSheetId="9">#REF!</definedName>
    <definedName name="manoel">#REF!</definedName>
    <definedName name="mar" localSheetId="3">[6]RLP!#REF!</definedName>
    <definedName name="mar" localSheetId="2">[6]RLP!#REF!</definedName>
    <definedName name="mar" localSheetId="5">[6]RLP!#REF!</definedName>
    <definedName name="mar" localSheetId="8">[6]RLP!#REF!</definedName>
    <definedName name="mar" localSheetId="10">[6]RLP!#REF!</definedName>
    <definedName name="mar" localSheetId="9">[6]RLP!#REF!</definedName>
    <definedName name="mar">[6]RLP!#REF!</definedName>
    <definedName name="marcelo" localSheetId="3">#REF!</definedName>
    <definedName name="marcelo" localSheetId="2">#REF!</definedName>
    <definedName name="marcelo" localSheetId="5">#REF!</definedName>
    <definedName name="marcelo" localSheetId="8">#REF!</definedName>
    <definedName name="marcelo" localSheetId="10">#REF!</definedName>
    <definedName name="marcelo" localSheetId="9">#REF!</definedName>
    <definedName name="marcelo">#REF!</definedName>
    <definedName name="Margem_75" localSheetId="3">OFFSET(#REF!,#REF!,0,13,1)</definedName>
    <definedName name="Margem_75" localSheetId="2">OFFSET(#REF!,#REF!,0,13,1)</definedName>
    <definedName name="Margem_75" localSheetId="5">OFFSET(#REF!,#REF!,0,13,1)</definedName>
    <definedName name="Margem_75" localSheetId="8">OFFSET(#REF!,#REF!,0,13,1)</definedName>
    <definedName name="Margem_75" localSheetId="10">OFFSET(#REF!,#REF!,0,13,1)</definedName>
    <definedName name="Margem_75" localSheetId="9">OFFSET(#REF!,#REF!,0,13,1)</definedName>
    <definedName name="Margem_75">OFFSET(#REF!,#REF!,0,13,1)</definedName>
    <definedName name="Margem_AC" localSheetId="3">OFFSET(#REF!,#REF!,0,13,1)</definedName>
    <definedName name="Margem_AC" localSheetId="2">OFFSET(#REF!,#REF!,0,13,1)</definedName>
    <definedName name="Margem_AC" localSheetId="5">OFFSET(#REF!,#REF!,0,13,1)</definedName>
    <definedName name="Margem_AC" localSheetId="8">OFFSET(#REF!,#REF!,0,13,1)</definedName>
    <definedName name="Margem_AC" localSheetId="10">OFFSET(#REF!,#REF!,0,13,1)</definedName>
    <definedName name="Margem_AC" localSheetId="9">OFFSET(#REF!,#REF!,0,13,1)</definedName>
    <definedName name="Margem_AC">OFFSET(#REF!,#REF!,0,13,1)</definedName>
    <definedName name="Margem_BC" localSheetId="3">OFFSET(#REF!,#REF!,0,13,1)</definedName>
    <definedName name="Margem_BC" localSheetId="2">OFFSET(#REF!,#REF!,0,13,1)</definedName>
    <definedName name="Margem_BC" localSheetId="5">OFFSET(#REF!,#REF!,0,13,1)</definedName>
    <definedName name="Margem_BC" localSheetId="8">OFFSET(#REF!,#REF!,0,13,1)</definedName>
    <definedName name="Margem_BC" localSheetId="10">OFFSET(#REF!,#REF!,0,13,1)</definedName>
    <definedName name="Margem_BC" localSheetId="9">OFFSET(#REF!,#REF!,0,13,1)</definedName>
    <definedName name="Margem_BC">OFFSET(#REF!,#REF!,0,13,1)</definedName>
    <definedName name="marrr">[28]Lead!$F$1:$F$65536</definedName>
    <definedName name="MaTRIZ">[5]Plan1!$A$1:$G$412</definedName>
    <definedName name="ME" localSheetId="3">OFFSET(#REF!,#REF!,0,13,1)</definedName>
    <definedName name="ME" localSheetId="2">OFFSET(#REF!,#REF!,0,13,1)</definedName>
    <definedName name="ME" localSheetId="5">OFFSET(#REF!,#REF!,0,13,1)</definedName>
    <definedName name="ME" localSheetId="8">OFFSET(#REF!,#REF!,0,13,1)</definedName>
    <definedName name="ME" localSheetId="10">OFFSET(#REF!,#REF!,0,13,1)</definedName>
    <definedName name="ME" localSheetId="9">OFFSET(#REF!,#REF!,0,13,1)</definedName>
    <definedName name="ME">OFFSET(#REF!,#REF!,0,13,1)</definedName>
    <definedName name="MEMO" localSheetId="3" hidden="1">#REF!</definedName>
    <definedName name="MEMO" localSheetId="2" hidden="1">#REF!</definedName>
    <definedName name="MEMO" localSheetId="5" hidden="1">#REF!</definedName>
    <definedName name="MEMO" localSheetId="8" hidden="1">#REF!</definedName>
    <definedName name="MEMO" localSheetId="10" hidden="1">#REF!</definedName>
    <definedName name="MEMO" localSheetId="9" hidden="1">#REF!</definedName>
    <definedName name="MEMO" hidden="1">#REF!</definedName>
    <definedName name="MEMORIA" hidden="1">{#N/A,#N/A,FALSE,"Aging Summary";#N/A,#N/A,FALSE,"Ratio Analysis";#N/A,#N/A,FALSE,"Test 120 Day Accts";#N/A,#N/A,FALSE,"Tickmarks"}</definedName>
    <definedName name="MENU" localSheetId="3">#REF!</definedName>
    <definedName name="MENU" localSheetId="2">#REF!</definedName>
    <definedName name="MENU" localSheetId="5">#REF!</definedName>
    <definedName name="MENU" localSheetId="8">#REF!</definedName>
    <definedName name="MENU" localSheetId="10">#REF!</definedName>
    <definedName name="MENU" localSheetId="9">#REF!</definedName>
    <definedName name="MENU">#REF!</definedName>
    <definedName name="MI" localSheetId="3">OFFSET(#REF!,#REF!,0,13,1)</definedName>
    <definedName name="MI" localSheetId="2">OFFSET(#REF!,#REF!,0,13,1)</definedName>
    <definedName name="MI" localSheetId="5">OFFSET(#REF!,#REF!,0,13,1)</definedName>
    <definedName name="MI" localSheetId="8">OFFSET(#REF!,#REF!,0,13,1)</definedName>
    <definedName name="MI" localSheetId="10">OFFSET(#REF!,#REF!,0,13,1)</definedName>
    <definedName name="MI" localSheetId="9">OFFSET(#REF!,#REF!,0,13,1)</definedName>
    <definedName name="MI">OFFSET(#REF!,#REF!,0,13,1)</definedName>
    <definedName name="Milhão1" localSheetId="3">#REF!</definedName>
    <definedName name="Milhão1" localSheetId="4">#REF!</definedName>
    <definedName name="Milhão1" localSheetId="2">#REF!</definedName>
    <definedName name="Milhão1" localSheetId="5">#REF!</definedName>
    <definedName name="Milhão1" localSheetId="1">#REF!</definedName>
    <definedName name="Milhão1" localSheetId="8">#REF!</definedName>
    <definedName name="Milhão1" localSheetId="10">#REF!</definedName>
    <definedName name="Milhão1" localSheetId="6">#REF!</definedName>
    <definedName name="Milhão1" localSheetId="7">#REF!</definedName>
    <definedName name="Milhão1" localSheetId="9">#REF!</definedName>
    <definedName name="Milhão1">#REF!</definedName>
    <definedName name="Milhão2" localSheetId="3">#REF!</definedName>
    <definedName name="Milhão2" localSheetId="4">#REF!</definedName>
    <definedName name="Milhão2" localSheetId="2">#REF!</definedName>
    <definedName name="Milhão2" localSheetId="5">#REF!</definedName>
    <definedName name="Milhão2" localSheetId="1">#REF!</definedName>
    <definedName name="Milhão2" localSheetId="8">#REF!</definedName>
    <definedName name="Milhão2" localSheetId="10">#REF!</definedName>
    <definedName name="Milhão2" localSheetId="6">#REF!</definedName>
    <definedName name="Milhão2" localSheetId="7">#REF!</definedName>
    <definedName name="Milhão2" localSheetId="9">#REF!</definedName>
    <definedName name="Milhão2">#REF!</definedName>
    <definedName name="Milhar1" localSheetId="3">#REF!</definedName>
    <definedName name="Milhar1" localSheetId="4">#REF!</definedName>
    <definedName name="Milhar1" localSheetId="2">#REF!</definedName>
    <definedName name="Milhar1" localSheetId="5">#REF!</definedName>
    <definedName name="Milhar1" localSheetId="1">#REF!</definedName>
    <definedName name="Milhar1" localSheetId="8">#REF!</definedName>
    <definedName name="Milhar1" localSheetId="10">#REF!</definedName>
    <definedName name="Milhar1" localSheetId="6">#REF!</definedName>
    <definedName name="Milhar1" localSheetId="7">#REF!</definedName>
    <definedName name="Milhar1" localSheetId="9">#REF!</definedName>
    <definedName name="Milhar1">#REF!</definedName>
    <definedName name="Milhar2" localSheetId="3">#REF!</definedName>
    <definedName name="Milhar2" localSheetId="4">#REF!</definedName>
    <definedName name="Milhar2" localSheetId="2">#REF!</definedName>
    <definedName name="Milhar2" localSheetId="5">#REF!</definedName>
    <definedName name="Milhar2" localSheetId="1">#REF!</definedName>
    <definedName name="Milhar2" localSheetId="8">#REF!</definedName>
    <definedName name="Milhar2" localSheetId="10">#REF!</definedName>
    <definedName name="Milhar2" localSheetId="6">#REF!</definedName>
    <definedName name="Milhar2" localSheetId="7">#REF!</definedName>
    <definedName name="Milhar2" localSheetId="9">#REF!</definedName>
    <definedName name="Milhar2">#REF!</definedName>
    <definedName name="MM" localSheetId="3">#REF!</definedName>
    <definedName name="MM" localSheetId="2">#REF!</definedName>
    <definedName name="MM" localSheetId="5">#REF!</definedName>
    <definedName name="MM" localSheetId="8">#REF!</definedName>
    <definedName name="MM" localSheetId="10">#REF!</definedName>
    <definedName name="MM" localSheetId="9">#REF!</definedName>
    <definedName name="MM">#REF!</definedName>
    <definedName name="MM_1" localSheetId="3">#REF!</definedName>
    <definedName name="MM_1" localSheetId="2">#REF!</definedName>
    <definedName name="MM_1" localSheetId="5">#REF!</definedName>
    <definedName name="MM_1" localSheetId="8">#REF!</definedName>
    <definedName name="MM_1" localSheetId="10">#REF!</definedName>
    <definedName name="MM_1" localSheetId="9">#REF!</definedName>
    <definedName name="MM_1">#REF!</definedName>
    <definedName name="mmm">[4]Lead!$I$38</definedName>
    <definedName name="mmreeee" localSheetId="3" hidden="1">#REF!</definedName>
    <definedName name="mmreeee" localSheetId="2" hidden="1">#REF!</definedName>
    <definedName name="mmreeee" localSheetId="5" hidden="1">#REF!</definedName>
    <definedName name="mmreeee" localSheetId="8" hidden="1">#REF!</definedName>
    <definedName name="mmreeee" localSheetId="10" hidden="1">#REF!</definedName>
    <definedName name="mmreeee" localSheetId="9" hidden="1">#REF!</definedName>
    <definedName name="mmreeee" hidden="1">#REF!</definedName>
    <definedName name="Monetary_Precision" localSheetId="3">#REF!</definedName>
    <definedName name="Monetary_Precision" localSheetId="2">#REF!</definedName>
    <definedName name="Monetary_Precision" localSheetId="5">#REF!</definedName>
    <definedName name="Monetary_Precision" localSheetId="8">#REF!</definedName>
    <definedName name="Monetary_Precision" localSheetId="10">#REF!</definedName>
    <definedName name="Monetary_Precision" localSheetId="9">#REF!</definedName>
    <definedName name="Monetary_Precision">#REF!</definedName>
    <definedName name="MP" localSheetId="3">#REF!</definedName>
    <definedName name="MP" localSheetId="2">#REF!</definedName>
    <definedName name="MP" localSheetId="5">#REF!</definedName>
    <definedName name="MP" localSheetId="8">#REF!</definedName>
    <definedName name="MP" localSheetId="10">#REF!</definedName>
    <definedName name="MP" localSheetId="9">#REF!</definedName>
    <definedName name="MP">#REF!</definedName>
    <definedName name="mrirrr" localSheetId="3">#REF!</definedName>
    <definedName name="mrirrr" localSheetId="2">#REF!</definedName>
    <definedName name="mrirrr" localSheetId="5">#REF!</definedName>
    <definedName name="mrirrr" localSheetId="8">#REF!</definedName>
    <definedName name="mrirrr" localSheetId="10">#REF!</definedName>
    <definedName name="mrirrr" localSheetId="9">#REF!</definedName>
    <definedName name="mrirrr">#REF!</definedName>
    <definedName name="MU_D_PI" localSheetId="3">#REF!</definedName>
    <definedName name="MU_D_PI" localSheetId="2">#REF!</definedName>
    <definedName name="MU_D_PI" localSheetId="5">#REF!</definedName>
    <definedName name="MU_D_PI" localSheetId="8">#REF!</definedName>
    <definedName name="MU_D_PI" localSheetId="10">#REF!</definedName>
    <definedName name="MU_D_PI" localSheetId="9">#REF!</definedName>
    <definedName name="MU_D_PI">#REF!</definedName>
    <definedName name="MU_D_PP" localSheetId="3">#REF!</definedName>
    <definedName name="MU_D_PP" localSheetId="2">#REF!</definedName>
    <definedName name="MU_D_PP" localSheetId="5">#REF!</definedName>
    <definedName name="MU_D_PP" localSheetId="8">#REF!</definedName>
    <definedName name="MU_D_PP" localSheetId="10">#REF!</definedName>
    <definedName name="MU_D_PP" localSheetId="9">#REF!</definedName>
    <definedName name="MU_D_PP">#REF!</definedName>
    <definedName name="MU_T_PI" localSheetId="3">#REF!</definedName>
    <definedName name="MU_T_PI" localSheetId="2">#REF!</definedName>
    <definedName name="MU_T_PI" localSheetId="5">#REF!</definedName>
    <definedName name="MU_T_PI" localSheetId="8">#REF!</definedName>
    <definedName name="MU_T_PI" localSheetId="10">#REF!</definedName>
    <definedName name="MU_T_PI" localSheetId="9">#REF!</definedName>
    <definedName name="MU_T_PI">#REF!</definedName>
    <definedName name="MU_T_PP" localSheetId="3">#REF!</definedName>
    <definedName name="MU_T_PP" localSheetId="2">#REF!</definedName>
    <definedName name="MU_T_PP" localSheetId="5">#REF!</definedName>
    <definedName name="MU_T_PP" localSheetId="8">#REF!</definedName>
    <definedName name="MU_T_PP" localSheetId="10">#REF!</definedName>
    <definedName name="MU_T_PP" localSheetId="9">#REF!</definedName>
    <definedName name="MU_T_PP">#REF!</definedName>
    <definedName name="N">[5]Plan1!$C$17:$V$17</definedName>
    <definedName name="NN" localSheetId="3">#REF!</definedName>
    <definedName name="NN" localSheetId="2">#REF!</definedName>
    <definedName name="NN" localSheetId="5">#REF!</definedName>
    <definedName name="NN" localSheetId="8">#REF!</definedName>
    <definedName name="NN" localSheetId="10">#REF!</definedName>
    <definedName name="NN" localSheetId="9">#REF!</definedName>
    <definedName name="NN">#REF!</definedName>
    <definedName name="nov" localSheetId="3">[6]RLP!#REF!</definedName>
    <definedName name="nov" localSheetId="2">[6]RLP!#REF!</definedName>
    <definedName name="nov" localSheetId="5">[6]RLP!#REF!</definedName>
    <definedName name="nov" localSheetId="8">[6]RLP!#REF!</definedName>
    <definedName name="nov" localSheetId="10">[6]RLP!#REF!</definedName>
    <definedName name="nov" localSheetId="9">[6]RLP!#REF!</definedName>
    <definedName name="nov">[6]RLP!#REF!</definedName>
    <definedName name="nova" hidden="1">{#N/A,#N/A,FALSE,"Aging Summary";#N/A,#N/A,FALSE,"Ratio Analysis";#N/A,#N/A,FALSE,"Test 120 Day Accts";#N/A,#N/A,FALSE,"Tickmarks"}</definedName>
    <definedName name="ok" hidden="1">{#N/A,#N/A,FALSE,"Aging Summary";#N/A,#N/A,FALSE,"Ratio Analysis";#N/A,#N/A,FALSE,"Test 120 Day Accts";#N/A,#N/A,FALSE,"Tickmarks"}</definedName>
    <definedName name="OPTICAL_EQUIPMENTS">[5]Plan1!$A$2:$F$248</definedName>
    <definedName name="OUCTASLP" localSheetId="3">#REF!</definedName>
    <definedName name="OUCTASLP" localSheetId="2">#REF!</definedName>
    <definedName name="OUCTASLP" localSheetId="5">#REF!</definedName>
    <definedName name="OUCTASLP" localSheetId="8">#REF!</definedName>
    <definedName name="OUCTASLP" localSheetId="10">#REF!</definedName>
    <definedName name="OUCTASLP" localSheetId="9">#REF!</definedName>
    <definedName name="OUCTASLP">#REF!</definedName>
    <definedName name="out" localSheetId="3">[6]RLP!#REF!</definedName>
    <definedName name="out" localSheetId="2">[6]RLP!#REF!</definedName>
    <definedName name="out" localSheetId="5">[6]RLP!#REF!</definedName>
    <definedName name="out" localSheetId="8">[6]RLP!#REF!</definedName>
    <definedName name="out" localSheetId="10">[6]RLP!#REF!</definedName>
    <definedName name="out" localSheetId="9">[6]RLP!#REF!</definedName>
    <definedName name="out">[6]RLP!#REF!</definedName>
    <definedName name="OUT_INFORM" localSheetId="3">#REF!</definedName>
    <definedName name="OUT_INFORM" localSheetId="2">#REF!</definedName>
    <definedName name="OUT_INFORM" localSheetId="5">#REF!</definedName>
    <definedName name="OUT_INFORM" localSheetId="8">#REF!</definedName>
    <definedName name="OUT_INFORM" localSheetId="10">#REF!</definedName>
    <definedName name="OUT_INFORM" localSheetId="9">#REF!</definedName>
    <definedName name="OUT_INFORM">#REF!</definedName>
    <definedName name="OUTRASRECEBER" localSheetId="3">#REF!</definedName>
    <definedName name="OUTRASRECEBER" localSheetId="2">#REF!</definedName>
    <definedName name="OUTRASRECEBER" localSheetId="5">#REF!</definedName>
    <definedName name="OUTRASRECEBER" localSheetId="8">#REF!</definedName>
    <definedName name="OUTRASRECEBER" localSheetId="10">#REF!</definedName>
    <definedName name="OUTRASRECEBER" localSheetId="9">#REF!</definedName>
    <definedName name="OUTRASRECEBER">#REF!</definedName>
    <definedName name="OUTROS2" localSheetId="3">#REF!</definedName>
    <definedName name="OUTROS2" localSheetId="2">#REF!</definedName>
    <definedName name="OUTROS2" localSheetId="5">#REF!</definedName>
    <definedName name="OUTROS2" localSheetId="8">#REF!</definedName>
    <definedName name="OUTROS2" localSheetId="10">#REF!</definedName>
    <definedName name="OUTROS2" localSheetId="9">#REF!</definedName>
    <definedName name="OUTROS2">#REF!</definedName>
    <definedName name="OUTROS3" localSheetId="3">#REF!</definedName>
    <definedName name="OUTROS3" localSheetId="2">#REF!</definedName>
    <definedName name="OUTROS3" localSheetId="5">#REF!</definedName>
    <definedName name="OUTROS3" localSheetId="8">#REF!</definedName>
    <definedName name="OUTROS3" localSheetId="10">#REF!</definedName>
    <definedName name="OUTROS3" localSheetId="9">#REF!</definedName>
    <definedName name="OUTROS3">#REF!</definedName>
    <definedName name="OUTROS4" localSheetId="3">#REF!</definedName>
    <definedName name="OUTROS4" localSheetId="2">#REF!</definedName>
    <definedName name="OUTROS4" localSheetId="5">#REF!</definedName>
    <definedName name="OUTROS4" localSheetId="8">#REF!</definedName>
    <definedName name="OUTROS4" localSheetId="10">#REF!</definedName>
    <definedName name="OUTROS4" localSheetId="9">#REF!</definedName>
    <definedName name="OUTROS4">#REF!</definedName>
    <definedName name="OUTROSCRED" localSheetId="3">#REF!</definedName>
    <definedName name="OUTROSCRED" localSheetId="2">#REF!</definedName>
    <definedName name="OUTROSCRED" localSheetId="5">#REF!</definedName>
    <definedName name="OUTROSCRED" localSheetId="8">#REF!</definedName>
    <definedName name="OUTROSCRED" localSheetId="10">#REF!</definedName>
    <definedName name="OUTROSCRED" localSheetId="9">#REF!</definedName>
    <definedName name="OUTROSCRED">#REF!</definedName>
    <definedName name="OUTROSIMOBIL" localSheetId="3">#REF!</definedName>
    <definedName name="OUTROSIMOBIL" localSheetId="2">#REF!</definedName>
    <definedName name="OUTROSIMOBIL" localSheetId="5">#REF!</definedName>
    <definedName name="OUTROSIMOBIL" localSheetId="8">#REF!</definedName>
    <definedName name="OUTROSIMOBIL" localSheetId="10">#REF!</definedName>
    <definedName name="OUTROSIMOBIL" localSheetId="9">#REF!</definedName>
    <definedName name="OUTROSIMOBIL">#REF!</definedName>
    <definedName name="OUTROSLP" localSheetId="3">#REF!</definedName>
    <definedName name="OUTROSLP" localSheetId="2">#REF!</definedName>
    <definedName name="OUTROSLP" localSheetId="5">#REF!</definedName>
    <definedName name="OUTROSLP" localSheetId="8">#REF!</definedName>
    <definedName name="OUTROSLP" localSheetId="10">#REF!</definedName>
    <definedName name="OUTROSLP" localSheetId="9">#REF!</definedName>
    <definedName name="OUTROSLP">#REF!</definedName>
    <definedName name="PAGE1" localSheetId="3">#REF!</definedName>
    <definedName name="PAGE1" localSheetId="2">#REF!</definedName>
    <definedName name="PAGE1" localSheetId="5">#REF!</definedName>
    <definedName name="PAGE1" localSheetId="8">#REF!</definedName>
    <definedName name="PAGE1" localSheetId="10">#REF!</definedName>
    <definedName name="PAGE1" localSheetId="9">#REF!</definedName>
    <definedName name="PAGE1">#REF!</definedName>
    <definedName name="PASSIVO" localSheetId="3">#REF!</definedName>
    <definedName name="PASSIVO" localSheetId="2">#REF!</definedName>
    <definedName name="PASSIVO" localSheetId="5">#REF!</definedName>
    <definedName name="PASSIVO" localSheetId="8">#REF!</definedName>
    <definedName name="PASSIVO" localSheetId="10">#REF!</definedName>
    <definedName name="PASSIVO" localSheetId="9">#REF!</definedName>
    <definedName name="PASSIVO">#REF!</definedName>
    <definedName name="PatrimônioLíquido">[29]cálculos!$C$23</definedName>
    <definedName name="Período" localSheetId="3">#REF!</definedName>
    <definedName name="Período" localSheetId="4">#REF!</definedName>
    <definedName name="Período" localSheetId="2">#REF!</definedName>
    <definedName name="Período" localSheetId="5">#REF!</definedName>
    <definedName name="Período" localSheetId="1">#REF!</definedName>
    <definedName name="Período" localSheetId="8">#REF!</definedName>
    <definedName name="Período" localSheetId="10">#REF!</definedName>
    <definedName name="Período" localSheetId="6">#REF!</definedName>
    <definedName name="Período" localSheetId="7">#REF!</definedName>
    <definedName name="Período" localSheetId="9">#REF!</definedName>
    <definedName name="Período">OFFSET(#REF!,#REF!,0,13,1)</definedName>
    <definedName name="Período_75" localSheetId="3">OFFSET(#REF!,#REF!,0,13,1)</definedName>
    <definedName name="Período_75" localSheetId="2">OFFSET(#REF!,#REF!,0,13,1)</definedName>
    <definedName name="Período_75" localSheetId="5">OFFSET(#REF!,#REF!,0,13,1)</definedName>
    <definedName name="Período_75" localSheetId="8">OFFSET(#REF!,#REF!,0,13,1)</definedName>
    <definedName name="Período_75" localSheetId="10">OFFSET(#REF!,#REF!,0,13,1)</definedName>
    <definedName name="Período_75" localSheetId="9">OFFSET(#REF!,#REF!,0,13,1)</definedName>
    <definedName name="Período_75">OFFSET(#REF!,#REF!,0,13,1)</definedName>
    <definedName name="Período_AC" localSheetId="3">OFFSET(#REF!,#REF!,0,13,1)</definedName>
    <definedName name="Período_AC" localSheetId="2">OFFSET(#REF!,#REF!,0,13,1)</definedName>
    <definedName name="Período_AC" localSheetId="5">OFFSET(#REF!,#REF!,0,13,1)</definedName>
    <definedName name="Período_AC" localSheetId="8">OFFSET(#REF!,#REF!,0,13,1)</definedName>
    <definedName name="Período_AC" localSheetId="10">OFFSET(#REF!,#REF!,0,13,1)</definedName>
    <definedName name="Período_AC" localSheetId="9">OFFSET(#REF!,#REF!,0,13,1)</definedName>
    <definedName name="Período_AC">OFFSET(#REF!,#REF!,0,13,1)</definedName>
    <definedName name="Período_BC" localSheetId="3">OFFSET(#REF!,#REF!,0,13,1)</definedName>
    <definedName name="Período_BC" localSheetId="2">OFFSET(#REF!,#REF!,0,13,1)</definedName>
    <definedName name="Período_BC" localSheetId="5">OFFSET(#REF!,#REF!,0,13,1)</definedName>
    <definedName name="Período_BC" localSheetId="8">OFFSET(#REF!,#REF!,0,13,1)</definedName>
    <definedName name="Período_BC" localSheetId="10">OFFSET(#REF!,#REF!,0,13,1)</definedName>
    <definedName name="Período_BC" localSheetId="9">OFFSET(#REF!,#REF!,0,13,1)</definedName>
    <definedName name="Período_BC">OFFSET(#REF!,#REF!,0,13,1)</definedName>
    <definedName name="Período_Fat" localSheetId="3">OFFSET(#REF!,#REF!,0,13,1)</definedName>
    <definedName name="Período_Fat" localSheetId="2">OFFSET(#REF!,#REF!,0,13,1)</definedName>
    <definedName name="Período_Fat" localSheetId="5">OFFSET(#REF!,#REF!,0,13,1)</definedName>
    <definedName name="Período_Fat" localSheetId="8">OFFSET(#REF!,#REF!,0,13,1)</definedName>
    <definedName name="Período_Fat" localSheetId="10">OFFSET(#REF!,#REF!,0,13,1)</definedName>
    <definedName name="Período_Fat" localSheetId="9">OFFSET(#REF!,#REF!,0,13,1)</definedName>
    <definedName name="Período_Fat">OFFSET(#REF!,#REF!,0,13,1)</definedName>
    <definedName name="pessoal" localSheetId="3">#REF!</definedName>
    <definedName name="pessoal" localSheetId="2">#REF!</definedName>
    <definedName name="pessoal" localSheetId="5">#REF!</definedName>
    <definedName name="pessoal" localSheetId="8">#REF!</definedName>
    <definedName name="pessoal" localSheetId="10">#REF!</definedName>
    <definedName name="pessoal" localSheetId="9">#REF!</definedName>
    <definedName name="pessoal">#REF!</definedName>
    <definedName name="PI_PF" localSheetId="3">#REF!</definedName>
    <definedName name="PI_PF" localSheetId="2">#REF!</definedName>
    <definedName name="PI_PF" localSheetId="5">#REF!</definedName>
    <definedName name="PI_PF" localSheetId="8">#REF!</definedName>
    <definedName name="PI_PF" localSheetId="10">#REF!</definedName>
    <definedName name="PI_PF" localSheetId="9">#REF!</definedName>
    <definedName name="PI_PF">#REF!</definedName>
    <definedName name="PI_PP" localSheetId="3">#REF!</definedName>
    <definedName name="PI_PP" localSheetId="2">#REF!</definedName>
    <definedName name="PI_PP" localSheetId="5">#REF!</definedName>
    <definedName name="PI_PP" localSheetId="8">#REF!</definedName>
    <definedName name="PI_PP" localSheetId="10">#REF!</definedName>
    <definedName name="PI_PP" localSheetId="9">#REF!</definedName>
    <definedName name="PI_PP">#REF!</definedName>
    <definedName name="pIS" localSheetId="3" hidden="1">#REF!</definedName>
    <definedName name="pIS" localSheetId="2" hidden="1">#REF!</definedName>
    <definedName name="pIS" localSheetId="5" hidden="1">#REF!</definedName>
    <definedName name="pIS" localSheetId="8" hidden="1">#REF!</definedName>
    <definedName name="pIS" localSheetId="10" hidden="1">#REF!</definedName>
    <definedName name="pIS" localSheetId="9" hidden="1">#REF!</definedName>
    <definedName name="pIS" hidden="1">#REF!</definedName>
    <definedName name="PP_PF" localSheetId="3">#REF!</definedName>
    <definedName name="PP_PF" localSheetId="2">#REF!</definedName>
    <definedName name="PP_PF" localSheetId="5">#REF!</definedName>
    <definedName name="PP_PF" localSheetId="8">#REF!</definedName>
    <definedName name="PP_PF" localSheetId="10">#REF!</definedName>
    <definedName name="PP_PF" localSheetId="9">#REF!</definedName>
    <definedName name="PP_PF">#REF!</definedName>
    <definedName name="PRINT_AR01" localSheetId="3">#REF!</definedName>
    <definedName name="PRINT_AR01" localSheetId="2">#REF!</definedName>
    <definedName name="PRINT_AR01" localSheetId="5">#REF!</definedName>
    <definedName name="PRINT_AR01" localSheetId="8">#REF!</definedName>
    <definedName name="PRINT_AR01" localSheetId="10">#REF!</definedName>
    <definedName name="PRINT_AR01" localSheetId="9">#REF!</definedName>
    <definedName name="PRINT_AR01">#REF!</definedName>
    <definedName name="PRINT_AR03" localSheetId="3">#REF!</definedName>
    <definedName name="PRINT_AR03" localSheetId="2">#REF!</definedName>
    <definedName name="PRINT_AR03" localSheetId="5">#REF!</definedName>
    <definedName name="PRINT_AR03" localSheetId="8">#REF!</definedName>
    <definedName name="PRINT_AR03" localSheetId="10">#REF!</definedName>
    <definedName name="PRINT_AR03" localSheetId="9">#REF!</definedName>
    <definedName name="PRINT_AR03">#REF!</definedName>
    <definedName name="PRINT_AR04" localSheetId="3">#REF!</definedName>
    <definedName name="PRINT_AR04" localSheetId="2">#REF!</definedName>
    <definedName name="PRINT_AR04" localSheetId="5">#REF!</definedName>
    <definedName name="PRINT_AR04" localSheetId="8">#REF!</definedName>
    <definedName name="PRINT_AR04" localSheetId="10">#REF!</definedName>
    <definedName name="PRINT_AR04" localSheetId="9">#REF!</definedName>
    <definedName name="PRINT_AR04">#REF!</definedName>
    <definedName name="PRINT_AR05" localSheetId="3">#REF!</definedName>
    <definedName name="PRINT_AR05" localSheetId="2">#REF!</definedName>
    <definedName name="PRINT_AR05" localSheetId="5">#REF!</definedName>
    <definedName name="PRINT_AR05" localSheetId="8">#REF!</definedName>
    <definedName name="PRINT_AR05" localSheetId="10">#REF!</definedName>
    <definedName name="PRINT_AR05" localSheetId="9">#REF!</definedName>
    <definedName name="PRINT_AR05">#REF!</definedName>
    <definedName name="PRINT_AR06" localSheetId="3">#REF!</definedName>
    <definedName name="PRINT_AR06" localSheetId="2">#REF!</definedName>
    <definedName name="PRINT_AR06" localSheetId="5">#REF!</definedName>
    <definedName name="PRINT_AR06" localSheetId="8">#REF!</definedName>
    <definedName name="PRINT_AR06" localSheetId="10">#REF!</definedName>
    <definedName name="PRINT_AR06" localSheetId="9">#REF!</definedName>
    <definedName name="PRINT_AR06">#REF!</definedName>
    <definedName name="PRINT_AR07" localSheetId="3">#REF!</definedName>
    <definedName name="PRINT_AR07" localSheetId="2">#REF!</definedName>
    <definedName name="PRINT_AR07" localSheetId="5">#REF!</definedName>
    <definedName name="PRINT_AR07" localSheetId="8">#REF!</definedName>
    <definedName name="PRINT_AR07" localSheetId="10">#REF!</definedName>
    <definedName name="PRINT_AR07" localSheetId="9">#REF!</definedName>
    <definedName name="PRINT_AR07">#REF!</definedName>
    <definedName name="PRINT_AR08" localSheetId="3">#REF!</definedName>
    <definedName name="PRINT_AR08" localSheetId="2">#REF!</definedName>
    <definedName name="PRINT_AR08" localSheetId="5">#REF!</definedName>
    <definedName name="PRINT_AR08" localSheetId="8">#REF!</definedName>
    <definedName name="PRINT_AR08" localSheetId="10">#REF!</definedName>
    <definedName name="PRINT_AR08" localSheetId="9">#REF!</definedName>
    <definedName name="PRINT_AR08">#REF!</definedName>
    <definedName name="PRINT_AR09" localSheetId="3">#REF!</definedName>
    <definedName name="PRINT_AR09" localSheetId="2">#REF!</definedName>
    <definedName name="PRINT_AR09" localSheetId="5">#REF!</definedName>
    <definedName name="PRINT_AR09" localSheetId="8">#REF!</definedName>
    <definedName name="PRINT_AR09" localSheetId="10">#REF!</definedName>
    <definedName name="PRINT_AR09" localSheetId="9">#REF!</definedName>
    <definedName name="PRINT_AR09">#REF!</definedName>
    <definedName name="PRINT_AR10" localSheetId="3">#REF!</definedName>
    <definedName name="PRINT_AR10" localSheetId="2">#REF!</definedName>
    <definedName name="PRINT_AR10" localSheetId="5">#REF!</definedName>
    <definedName name="PRINT_AR10" localSheetId="8">#REF!</definedName>
    <definedName name="PRINT_AR10" localSheetId="10">#REF!</definedName>
    <definedName name="PRINT_AR10" localSheetId="9">#REF!</definedName>
    <definedName name="PRINT_AR10">#REF!</definedName>
    <definedName name="PRINT_AR11" localSheetId="3">#REF!</definedName>
    <definedName name="PRINT_AR11" localSheetId="2">#REF!</definedName>
    <definedName name="PRINT_AR11" localSheetId="5">#REF!</definedName>
    <definedName name="PRINT_AR11" localSheetId="8">#REF!</definedName>
    <definedName name="PRINT_AR11" localSheetId="10">#REF!</definedName>
    <definedName name="PRINT_AR11" localSheetId="9">#REF!</definedName>
    <definedName name="PRINT_AR11">#REF!</definedName>
    <definedName name="PRINT_AR14" localSheetId="3">#REF!</definedName>
    <definedName name="PRINT_AR14" localSheetId="2">#REF!</definedName>
    <definedName name="PRINT_AR14" localSheetId="5">#REF!</definedName>
    <definedName name="PRINT_AR14" localSheetId="8">#REF!</definedName>
    <definedName name="PRINT_AR14" localSheetId="10">#REF!</definedName>
    <definedName name="PRINT_AR14" localSheetId="9">#REF!</definedName>
    <definedName name="PRINT_AR14">#REF!</definedName>
    <definedName name="Print_Area_MI" localSheetId="3">#REF!</definedName>
    <definedName name="Print_Area_MI" localSheetId="2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9">#REF!</definedName>
    <definedName name="Print_Area_MI">#REF!</definedName>
    <definedName name="PRINT_TITL01" localSheetId="3">#REF!</definedName>
    <definedName name="PRINT_TITL01" localSheetId="2">#REF!</definedName>
    <definedName name="PRINT_TITL01" localSheetId="5">#REF!</definedName>
    <definedName name="PRINT_TITL01" localSheetId="8">#REF!</definedName>
    <definedName name="PRINT_TITL01" localSheetId="10">#REF!</definedName>
    <definedName name="PRINT_TITL01" localSheetId="9">#REF!</definedName>
    <definedName name="PRINT_TITL01">#REF!</definedName>
    <definedName name="Profit_and_Loss" localSheetId="3">'[12]Canbras TVA'!#REF!</definedName>
    <definedName name="Profit_and_Loss" localSheetId="2">'[12]Canbras TVA'!#REF!</definedName>
    <definedName name="Profit_and_Loss" localSheetId="5">'[12]Canbras TVA'!#REF!</definedName>
    <definedName name="Profit_and_Loss" localSheetId="8">'[12]Canbras TVA'!#REF!</definedName>
    <definedName name="Profit_and_Loss" localSheetId="10">'[12]Canbras TVA'!#REF!</definedName>
    <definedName name="Profit_and_Loss" localSheetId="9">'[12]Canbras TVA'!#REF!</definedName>
    <definedName name="Profit_and_Loss">'[12]Canbras TVA'!#REF!</definedName>
    <definedName name="proll" localSheetId="3">#REF!</definedName>
    <definedName name="proll" localSheetId="2">#REF!</definedName>
    <definedName name="proll" localSheetId="5">#REF!</definedName>
    <definedName name="proll" localSheetId="8">#REF!</definedName>
    <definedName name="proll" localSheetId="10">#REF!</definedName>
    <definedName name="proll" localSheetId="9">#REF!</definedName>
    <definedName name="proll">#REF!</definedName>
    <definedName name="PTS" localSheetId="3">#REF!</definedName>
    <definedName name="PTS" localSheetId="2">#REF!</definedName>
    <definedName name="PTS" localSheetId="5">#REF!</definedName>
    <definedName name="PTS" localSheetId="8">#REF!</definedName>
    <definedName name="PTS" localSheetId="10">#REF!</definedName>
    <definedName name="PTS" localSheetId="9">#REF!</definedName>
    <definedName name="PTS">#REF!</definedName>
    <definedName name="PY_all_Income" localSheetId="3">#REF!</definedName>
    <definedName name="PY_all_Income" localSheetId="2">#REF!</definedName>
    <definedName name="PY_all_Income" localSheetId="5">#REF!</definedName>
    <definedName name="PY_all_Income" localSheetId="8">#REF!</definedName>
    <definedName name="PY_all_Income" localSheetId="10">#REF!</definedName>
    <definedName name="PY_all_Income" localSheetId="9">#REF!</definedName>
    <definedName name="PY_all_Income">#REF!</definedName>
    <definedName name="PY_all_RetEarn" localSheetId="3">#REF!</definedName>
    <definedName name="PY_all_RetEarn" localSheetId="2">#REF!</definedName>
    <definedName name="PY_all_RetEarn" localSheetId="5">#REF!</definedName>
    <definedName name="PY_all_RetEarn" localSheetId="8">#REF!</definedName>
    <definedName name="PY_all_RetEarn" localSheetId="10">#REF!</definedName>
    <definedName name="PY_all_RetEarn" localSheetId="9">#REF!</definedName>
    <definedName name="PY_all_RetEarn">#REF!</definedName>
    <definedName name="PY_knw_Income" localSheetId="3">#REF!</definedName>
    <definedName name="PY_knw_Income" localSheetId="2">#REF!</definedName>
    <definedName name="PY_knw_Income" localSheetId="5">#REF!</definedName>
    <definedName name="PY_knw_Income" localSheetId="8">#REF!</definedName>
    <definedName name="PY_knw_Income" localSheetId="10">#REF!</definedName>
    <definedName name="PY_knw_Income" localSheetId="9">#REF!</definedName>
    <definedName name="PY_knw_Income">#REF!</definedName>
    <definedName name="PY_knw_RetEarn" localSheetId="3">#REF!</definedName>
    <definedName name="PY_knw_RetEarn" localSheetId="2">#REF!</definedName>
    <definedName name="PY_knw_RetEarn" localSheetId="5">#REF!</definedName>
    <definedName name="PY_knw_RetEarn" localSheetId="8">#REF!</definedName>
    <definedName name="PY_knw_RetEarn" localSheetId="10">#REF!</definedName>
    <definedName name="PY_knw_RetEarn" localSheetId="9">#REF!</definedName>
    <definedName name="PY_knw_RetEarn">#REF!</definedName>
    <definedName name="PY_tx_all_Income" localSheetId="3">#REF!</definedName>
    <definedName name="PY_tx_all_Income" localSheetId="2">#REF!</definedName>
    <definedName name="PY_tx_all_Income" localSheetId="5">#REF!</definedName>
    <definedName name="PY_tx_all_Income" localSheetId="8">#REF!</definedName>
    <definedName name="PY_tx_all_Income" localSheetId="10">#REF!</definedName>
    <definedName name="PY_tx_all_Income" localSheetId="9">#REF!</definedName>
    <definedName name="PY_tx_all_Income">#REF!</definedName>
    <definedName name="PY_tx_all_RetEarn" localSheetId="3">#REF!</definedName>
    <definedName name="PY_tx_all_RetEarn" localSheetId="2">#REF!</definedName>
    <definedName name="PY_tx_all_RetEarn" localSheetId="5">#REF!</definedName>
    <definedName name="PY_tx_all_RetEarn" localSheetId="8">#REF!</definedName>
    <definedName name="PY_tx_all_RetEarn" localSheetId="10">#REF!</definedName>
    <definedName name="PY_tx_all_RetEarn" localSheetId="9">#REF!</definedName>
    <definedName name="PY_tx_all_RetEarn">#REF!</definedName>
    <definedName name="PY_tx_knw_Income" localSheetId="3">#REF!</definedName>
    <definedName name="PY_tx_knw_Income" localSheetId="2">#REF!</definedName>
    <definedName name="PY_tx_knw_Income" localSheetId="5">#REF!</definedName>
    <definedName name="PY_tx_knw_Income" localSheetId="8">#REF!</definedName>
    <definedName name="PY_tx_knw_Income" localSheetId="10">#REF!</definedName>
    <definedName name="PY_tx_knw_Income" localSheetId="9">#REF!</definedName>
    <definedName name="PY_tx_knw_Income">#REF!</definedName>
    <definedName name="PY_tx_knw_RetEarn" localSheetId="3">#REF!</definedName>
    <definedName name="PY_tx_knw_RetEarn" localSheetId="2">#REF!</definedName>
    <definedName name="PY_tx_knw_RetEarn" localSheetId="5">#REF!</definedName>
    <definedName name="PY_tx_knw_RetEarn" localSheetId="8">#REF!</definedName>
    <definedName name="PY_tx_knw_RetEarn" localSheetId="10">#REF!</definedName>
    <definedName name="PY_tx_knw_RetEarn" localSheetId="9">#REF!</definedName>
    <definedName name="PY_tx_knw_RetEarn">#REF!</definedName>
    <definedName name="qq">{#N/A,#N/A,FALSE,"Aging Summary";#N/A,#N/A,FALSE,"Ratio Analysis";#N/A,#N/A,FALSE,"Test 120 Day Accts";#N/A,#N/A,FALSE,"Tickmarks"}</definedName>
    <definedName name="qqqqqqqqqqqqq" localSheetId="3" hidden="1">#REF!</definedName>
    <definedName name="qqqqqqqqqqqqq" localSheetId="2" hidden="1">#REF!</definedName>
    <definedName name="qqqqqqqqqqqqq" localSheetId="5" hidden="1">#REF!</definedName>
    <definedName name="qqqqqqqqqqqqq" localSheetId="8" hidden="1">#REF!</definedName>
    <definedName name="qqqqqqqqqqqqq" localSheetId="10" hidden="1">#REF!</definedName>
    <definedName name="qqqqqqqqqqqqq" localSheetId="9" hidden="1">#REF!</definedName>
    <definedName name="qqqqqqqqqqqqq" hidden="1">#REF!</definedName>
    <definedName name="R_Factor" localSheetId="3">#REF!</definedName>
    <definedName name="R_Factor" localSheetId="2">#REF!</definedName>
    <definedName name="R_Factor" localSheetId="5">#REF!</definedName>
    <definedName name="R_Factor" localSheetId="8">#REF!</definedName>
    <definedName name="R_Factor" localSheetId="10">#REF!</definedName>
    <definedName name="R_Factor" localSheetId="9">#REF!</definedName>
    <definedName name="R_Factor">#REF!</definedName>
    <definedName name="Reais98" localSheetId="3">#REF!</definedName>
    <definedName name="Reais98" localSheetId="2">#REF!</definedName>
    <definedName name="Reais98" localSheetId="5">#REF!</definedName>
    <definedName name="Reais98" localSheetId="8">#REF!</definedName>
    <definedName name="Reais98" localSheetId="10">#REF!</definedName>
    <definedName name="Reais98" localSheetId="9">#REF!</definedName>
    <definedName name="Reais98">#REF!</definedName>
    <definedName name="Reais99" localSheetId="3">[7]Consolidate!#REF!</definedName>
    <definedName name="Reais99" localSheetId="2">[7]Consolidate!#REF!</definedName>
    <definedName name="Reais99" localSheetId="5">[7]Consolidate!#REF!</definedName>
    <definedName name="Reais99" localSheetId="8">[7]Consolidate!#REF!</definedName>
    <definedName name="Reais99" localSheetId="10">[7]Consolidate!#REF!</definedName>
    <definedName name="Reais99" localSheetId="9">[7]Consolidate!#REF!</definedName>
    <definedName name="Reais99">[7]Consolidate!#REF!</definedName>
    <definedName name="REAL" localSheetId="3">#REF!</definedName>
    <definedName name="REAL" localSheetId="2">#REF!</definedName>
    <definedName name="REAL" localSheetId="5">#REF!</definedName>
    <definedName name="REAL" localSheetId="8">#REF!</definedName>
    <definedName name="REAL" localSheetId="10">#REF!</definedName>
    <definedName name="REAL" localSheetId="9">#REF!</definedName>
    <definedName name="REAL">#REF!</definedName>
    <definedName name="RECUPERAR" localSheetId="3">#REF!</definedName>
    <definedName name="RECUPERAR" localSheetId="2">#REF!</definedName>
    <definedName name="RECUPERAR" localSheetId="5">#REF!</definedName>
    <definedName name="RECUPERAR" localSheetId="8">#REF!</definedName>
    <definedName name="RECUPERAR" localSheetId="10">#REF!</definedName>
    <definedName name="RECUPERAR" localSheetId="9">#REF!</definedName>
    <definedName name="RECUPERAR">#REF!</definedName>
    <definedName name="REF" localSheetId="3">#REF!</definedName>
    <definedName name="REF" localSheetId="2">#REF!</definedName>
    <definedName name="REF" localSheetId="5">#REF!</definedName>
    <definedName name="REF" localSheetId="8">#REF!</definedName>
    <definedName name="REF" localSheetId="10">#REF!</definedName>
    <definedName name="REF" localSheetId="9">#REF!</definedName>
    <definedName name="REF">#REF!</definedName>
    <definedName name="Ref_1" localSheetId="3">#REF!</definedName>
    <definedName name="Ref_1" localSheetId="2">#REF!</definedName>
    <definedName name="Ref_1" localSheetId="5">#REF!</definedName>
    <definedName name="Ref_1" localSheetId="8">#REF!</definedName>
    <definedName name="Ref_1" localSheetId="10">#REF!</definedName>
    <definedName name="Ref_1" localSheetId="9">#REF!</definedName>
    <definedName name="Ref_1">#REF!</definedName>
    <definedName name="Ref_10" localSheetId="3">'[30]Medições a faturar'!#REF!</definedName>
    <definedName name="Ref_10" localSheetId="2">'[30]Medições a faturar'!#REF!</definedName>
    <definedName name="Ref_10" localSheetId="5">'[30]Medições a faturar'!#REF!</definedName>
    <definedName name="Ref_10" localSheetId="8">'[30]Medições a faturar'!#REF!</definedName>
    <definedName name="Ref_10" localSheetId="10">'[30]Medições a faturar'!#REF!</definedName>
    <definedName name="Ref_10" localSheetId="9">'[30]Medições a faturar'!#REF!</definedName>
    <definedName name="Ref_10">'[30]Medições a faturar'!#REF!</definedName>
    <definedName name="Ref_11" localSheetId="3">#REF!</definedName>
    <definedName name="Ref_11" localSheetId="2">#REF!</definedName>
    <definedName name="Ref_11" localSheetId="5">#REF!</definedName>
    <definedName name="Ref_11" localSheetId="8">#REF!</definedName>
    <definedName name="Ref_11" localSheetId="10">#REF!</definedName>
    <definedName name="Ref_11" localSheetId="9">#REF!</definedName>
    <definedName name="Ref_11">#REF!</definedName>
    <definedName name="Ref_12" localSheetId="3">#REF!</definedName>
    <definedName name="Ref_12" localSheetId="2">#REF!</definedName>
    <definedName name="Ref_12" localSheetId="5">#REF!</definedName>
    <definedName name="Ref_12" localSheetId="8">#REF!</definedName>
    <definedName name="Ref_12" localSheetId="10">#REF!</definedName>
    <definedName name="Ref_12" localSheetId="9">#REF!</definedName>
    <definedName name="Ref_12">#REF!</definedName>
    <definedName name="Ref_13" localSheetId="3">#REF!</definedName>
    <definedName name="Ref_13" localSheetId="2">#REF!</definedName>
    <definedName name="Ref_13" localSheetId="5">#REF!</definedName>
    <definedName name="Ref_13" localSheetId="8">#REF!</definedName>
    <definedName name="Ref_13" localSheetId="10">#REF!</definedName>
    <definedName name="Ref_13" localSheetId="9">#REF!</definedName>
    <definedName name="Ref_13">#REF!</definedName>
    <definedName name="Ref_14" localSheetId="3">#REF!</definedName>
    <definedName name="Ref_14" localSheetId="2">#REF!</definedName>
    <definedName name="Ref_14" localSheetId="5">#REF!</definedName>
    <definedName name="Ref_14" localSheetId="8">#REF!</definedName>
    <definedName name="Ref_14" localSheetId="10">#REF!</definedName>
    <definedName name="Ref_14" localSheetId="9">#REF!</definedName>
    <definedName name="Ref_14">#REF!</definedName>
    <definedName name="Ref_15" localSheetId="3">#REF!</definedName>
    <definedName name="Ref_15" localSheetId="2">#REF!</definedName>
    <definedName name="Ref_15" localSheetId="5">#REF!</definedName>
    <definedName name="Ref_15" localSheetId="8">#REF!</definedName>
    <definedName name="Ref_15" localSheetId="10">#REF!</definedName>
    <definedName name="Ref_15" localSheetId="9">#REF!</definedName>
    <definedName name="Ref_15">#REF!</definedName>
    <definedName name="Ref_2" localSheetId="3">#REF!</definedName>
    <definedName name="Ref_2" localSheetId="2">#REF!</definedName>
    <definedName name="Ref_2" localSheetId="5">#REF!</definedName>
    <definedName name="Ref_2" localSheetId="8">#REF!</definedName>
    <definedName name="Ref_2" localSheetId="10">#REF!</definedName>
    <definedName name="Ref_2" localSheetId="9">#REF!</definedName>
    <definedName name="Ref_2">#REF!</definedName>
    <definedName name="Ref_3" localSheetId="3">#REF!</definedName>
    <definedName name="Ref_3" localSheetId="2">#REF!</definedName>
    <definedName name="Ref_3" localSheetId="5">#REF!</definedName>
    <definedName name="Ref_3" localSheetId="8">#REF!</definedName>
    <definedName name="Ref_3" localSheetId="10">#REF!</definedName>
    <definedName name="Ref_3" localSheetId="9">#REF!</definedName>
    <definedName name="Ref_3">#REF!</definedName>
    <definedName name="Ref_4" localSheetId="3">#REF!</definedName>
    <definedName name="Ref_4" localSheetId="2">#REF!</definedName>
    <definedName name="Ref_4" localSheetId="5">#REF!</definedName>
    <definedName name="Ref_4" localSheetId="8">#REF!</definedName>
    <definedName name="Ref_4" localSheetId="10">#REF!</definedName>
    <definedName name="Ref_4" localSheetId="9">#REF!</definedName>
    <definedName name="Ref_4">#REF!</definedName>
    <definedName name="Ref_5" localSheetId="3">#REF!</definedName>
    <definedName name="Ref_5" localSheetId="2">#REF!</definedName>
    <definedName name="Ref_5" localSheetId="5">#REF!</definedName>
    <definedName name="Ref_5" localSheetId="8">#REF!</definedName>
    <definedName name="Ref_5" localSheetId="10">#REF!</definedName>
    <definedName name="Ref_5" localSheetId="9">#REF!</definedName>
    <definedName name="Ref_5">#REF!</definedName>
    <definedName name="Ref_6" localSheetId="3">#REF!</definedName>
    <definedName name="Ref_6" localSheetId="2">#REF!</definedName>
    <definedName name="Ref_6" localSheetId="5">#REF!</definedName>
    <definedName name="Ref_6" localSheetId="8">#REF!</definedName>
    <definedName name="Ref_6" localSheetId="10">#REF!</definedName>
    <definedName name="Ref_6" localSheetId="9">#REF!</definedName>
    <definedName name="Ref_6">#REF!</definedName>
    <definedName name="Ref_7" localSheetId="3">#REF!</definedName>
    <definedName name="Ref_7" localSheetId="2">#REF!</definedName>
    <definedName name="Ref_7" localSheetId="5">#REF!</definedName>
    <definedName name="Ref_7" localSheetId="8">#REF!</definedName>
    <definedName name="Ref_7" localSheetId="10">#REF!</definedName>
    <definedName name="Ref_7" localSheetId="9">#REF!</definedName>
    <definedName name="Ref_7">#REF!</definedName>
    <definedName name="Ref_8" localSheetId="3">#REF!</definedName>
    <definedName name="Ref_8" localSheetId="2">#REF!</definedName>
    <definedName name="Ref_8" localSheetId="5">#REF!</definedName>
    <definedName name="Ref_8" localSheetId="8">#REF!</definedName>
    <definedName name="Ref_8" localSheetId="10">#REF!</definedName>
    <definedName name="Ref_8" localSheetId="9">#REF!</definedName>
    <definedName name="Ref_8">#REF!</definedName>
    <definedName name="Ref_9" localSheetId="3">#REF!</definedName>
    <definedName name="Ref_9" localSheetId="2">#REF!</definedName>
    <definedName name="Ref_9" localSheetId="5">#REF!</definedName>
    <definedName name="Ref_9" localSheetId="8">#REF!</definedName>
    <definedName name="Ref_9" localSheetId="10">#REF!</definedName>
    <definedName name="Ref_9" localSheetId="9">#REF!</definedName>
    <definedName name="Ref_9">#REF!</definedName>
    <definedName name="refis" hidden="1">{#N/A,#N/A,FALSE,"Aging Summary";#N/A,#N/A,FALSE,"Ratio Analysis";#N/A,#N/A,FALSE,"Test 120 Day Accts";#N/A,#N/A,FALSE,"Tickmarks"}</definedName>
    <definedName name="Relacao_de_UFIR" localSheetId="3">#REF!</definedName>
    <definedName name="Relacao_de_UFIR" localSheetId="2">#REF!</definedName>
    <definedName name="Relacao_de_UFIR" localSheetId="5">#REF!</definedName>
    <definedName name="Relacao_de_UFIR" localSheetId="8">#REF!</definedName>
    <definedName name="Relacao_de_UFIR" localSheetId="10">#REF!</definedName>
    <definedName name="Relacao_de_UFIR" localSheetId="9">#REF!</definedName>
    <definedName name="Relacao_de_UFIR">#REF!</definedName>
    <definedName name="Residual_difference" localSheetId="3">#REF!</definedName>
    <definedName name="Residual_difference" localSheetId="2">#REF!</definedName>
    <definedName name="Residual_difference" localSheetId="5">#REF!</definedName>
    <definedName name="Residual_difference" localSheetId="8">#REF!</definedName>
    <definedName name="Residual_difference" localSheetId="10">#REF!</definedName>
    <definedName name="Residual_difference" localSheetId="9">#REF!</definedName>
    <definedName name="Residual_difference">#REF!</definedName>
    <definedName name="RESSSI" hidden="1">{#N/A,#N/A,FALSE,"Aging Summary";#N/A,#N/A,FALSE,"Ratio Analysis";#N/A,#N/A,FALSE,"Test 120 Day Accts";#N/A,#N/A,FALSE,"Tickmarks"}</definedName>
    <definedName name="RESU" localSheetId="3">#REF!</definedName>
    <definedName name="RESU" localSheetId="2">#REF!</definedName>
    <definedName name="RESU" localSheetId="5">#REF!</definedName>
    <definedName name="RESU" localSheetId="8">#REF!</definedName>
    <definedName name="RESU" localSheetId="10">#REF!</definedName>
    <definedName name="RESU" localSheetId="9">#REF!</definedName>
    <definedName name="RESU">#REF!</definedName>
    <definedName name="RESULTADO" localSheetId="3">#REF!</definedName>
    <definedName name="RESULTADO" localSheetId="2">#REF!</definedName>
    <definedName name="RESULTADO" localSheetId="5">#REF!</definedName>
    <definedName name="RESULTADO" localSheetId="8">#REF!</definedName>
    <definedName name="RESULTADO" localSheetId="10">#REF!</definedName>
    <definedName name="RESULTADO" localSheetId="9">#REF!</definedName>
    <definedName name="RESULTADO">#REF!</definedName>
    <definedName name="RESULTADO1" localSheetId="3">#REF!</definedName>
    <definedName name="RESULTADO1" localSheetId="2">#REF!</definedName>
    <definedName name="RESULTADO1" localSheetId="5">#REF!</definedName>
    <definedName name="RESULTADO1" localSheetId="8">#REF!</definedName>
    <definedName name="RESULTADO1" localSheetId="10">#REF!</definedName>
    <definedName name="RESULTADO1" localSheetId="9">#REF!</definedName>
    <definedName name="RESULTADO1">#REF!</definedName>
    <definedName name="RESULTADO5" localSheetId="3">#REF!</definedName>
    <definedName name="RESULTADO5" localSheetId="2">#REF!</definedName>
    <definedName name="RESULTADO5" localSheetId="5">#REF!</definedName>
    <definedName name="RESULTADO5" localSheetId="8">#REF!</definedName>
    <definedName name="RESULTADO5" localSheetId="10">#REF!</definedName>
    <definedName name="RESULTADO5" localSheetId="9">#REF!</definedName>
    <definedName name="RESULTADO5">#REF!</definedName>
    <definedName name="RESUMO" localSheetId="3">#REF!</definedName>
    <definedName name="RESUMO" localSheetId="2">#REF!</definedName>
    <definedName name="RESUMO" localSheetId="5">#REF!</definedName>
    <definedName name="RESUMO" localSheetId="8">#REF!</definedName>
    <definedName name="RESUMO" localSheetId="10">#REF!</definedName>
    <definedName name="RESUMO" localSheetId="9">#REF!</definedName>
    <definedName name="RESUMO">#REF!</definedName>
    <definedName name="RESUNO" hidden="1">{#N/A,#N/A,FALSE,"Aging Summary";#N/A,#N/A,FALSE,"Ratio Analysis";#N/A,#N/A,FALSE,"Test 120 Day Accts";#N/A,#N/A,FALSE,"Tickmarks"}</definedName>
    <definedName name="RL" localSheetId="3">OFFSET(#REF!,#REF!,0,13,1)</definedName>
    <definedName name="RL" localSheetId="2">OFFSET(#REF!,#REF!,0,13,1)</definedName>
    <definedName name="RL" localSheetId="5">OFFSET(#REF!,#REF!,0,13,1)</definedName>
    <definedName name="RL" localSheetId="8">OFFSET(#REF!,#REF!,0,13,1)</definedName>
    <definedName name="RL" localSheetId="10">OFFSET(#REF!,#REF!,0,13,1)</definedName>
    <definedName name="RL" localSheetId="9">OFFSET(#REF!,#REF!,0,13,1)</definedName>
    <definedName name="RL">OFFSET(#REF!,#REF!,0,13,1)</definedName>
    <definedName name="RL_75" localSheetId="3">OFFSET(#REF!,#REF!,0,13,1)</definedName>
    <definedName name="RL_75" localSheetId="2">OFFSET(#REF!,#REF!,0,13,1)</definedName>
    <definedName name="RL_75" localSheetId="5">OFFSET(#REF!,#REF!,0,13,1)</definedName>
    <definedName name="RL_75" localSheetId="8">OFFSET(#REF!,#REF!,0,13,1)</definedName>
    <definedName name="RL_75" localSheetId="10">OFFSET(#REF!,#REF!,0,13,1)</definedName>
    <definedName name="RL_75" localSheetId="9">OFFSET(#REF!,#REF!,0,13,1)</definedName>
    <definedName name="RL_75">OFFSET(#REF!,#REF!,0,13,1)</definedName>
    <definedName name="RL_AC" localSheetId="3">OFFSET(#REF!,#REF!,0,13,1)</definedName>
    <definedName name="RL_AC" localSheetId="2">OFFSET(#REF!,#REF!,0,13,1)</definedName>
    <definedName name="RL_AC" localSheetId="5">OFFSET(#REF!,#REF!,0,13,1)</definedName>
    <definedName name="RL_AC" localSheetId="8">OFFSET(#REF!,#REF!,0,13,1)</definedName>
    <definedName name="RL_AC" localSheetId="10">OFFSET(#REF!,#REF!,0,13,1)</definedName>
    <definedName name="RL_AC" localSheetId="9">OFFSET(#REF!,#REF!,0,13,1)</definedName>
    <definedName name="RL_AC">OFFSET(#REF!,#REF!,0,13,1)</definedName>
    <definedName name="RL_BC" localSheetId="3">OFFSET(#REF!,#REF!,0,13,1)</definedName>
    <definedName name="RL_BC" localSheetId="2">OFFSET(#REF!,#REF!,0,13,1)</definedName>
    <definedName name="RL_BC" localSheetId="5">OFFSET(#REF!,#REF!,0,13,1)</definedName>
    <definedName name="RL_BC" localSheetId="8">OFFSET(#REF!,#REF!,0,13,1)</definedName>
    <definedName name="RL_BC" localSheetId="10">OFFSET(#REF!,#REF!,0,13,1)</definedName>
    <definedName name="RL_BC" localSheetId="9">OFFSET(#REF!,#REF!,0,13,1)</definedName>
    <definedName name="RL_BC">OFFSET(#REF!,#REF!,0,13,1)</definedName>
    <definedName name="s">{#N/A,#N/A,FALSE,"Aging Summary";#N/A,#N/A,FALSE,"Ratio Analysis";#N/A,#N/A,FALSE,"Test 120 Day Accts";#N/A,#N/A,FALSE,"Tickmarks"}</definedName>
    <definedName name="S_AcctDes" localSheetId="3">#REF!</definedName>
    <definedName name="S_AcctDes" localSheetId="2">#REF!</definedName>
    <definedName name="S_AcctDes" localSheetId="5">#REF!</definedName>
    <definedName name="S_AcctDes" localSheetId="8">#REF!</definedName>
    <definedName name="S_AcctDes" localSheetId="10">#REF!</definedName>
    <definedName name="S_AcctDes" localSheetId="9">#REF!</definedName>
    <definedName name="S_AcctDes">#REF!</definedName>
    <definedName name="S_Adjust" localSheetId="3">#REF!</definedName>
    <definedName name="S_Adjust" localSheetId="2">#REF!</definedName>
    <definedName name="S_Adjust" localSheetId="5">#REF!</definedName>
    <definedName name="S_Adjust" localSheetId="8">#REF!</definedName>
    <definedName name="S_Adjust" localSheetId="10">#REF!</definedName>
    <definedName name="S_Adjust" localSheetId="9">#REF!</definedName>
    <definedName name="S_Adjust">#REF!</definedName>
    <definedName name="S_Adjust_Data" localSheetId="3">#REF!</definedName>
    <definedName name="S_Adjust_Data" localSheetId="2">#REF!</definedName>
    <definedName name="S_Adjust_Data" localSheetId="5">#REF!</definedName>
    <definedName name="S_Adjust_Data" localSheetId="8">#REF!</definedName>
    <definedName name="S_Adjust_Data" localSheetId="10">#REF!</definedName>
    <definedName name="S_Adjust_Data" localSheetId="9">#REF!</definedName>
    <definedName name="S_Adjust_Data">#REF!</definedName>
    <definedName name="S_Adjust_GT" localSheetId="3">#REF!</definedName>
    <definedName name="S_Adjust_GT" localSheetId="2">#REF!</definedName>
    <definedName name="S_Adjust_GT" localSheetId="5">#REF!</definedName>
    <definedName name="S_Adjust_GT" localSheetId="8">#REF!</definedName>
    <definedName name="S_Adjust_GT" localSheetId="10">#REF!</definedName>
    <definedName name="S_Adjust_GT" localSheetId="9">#REF!</definedName>
    <definedName name="S_Adjust_GT">#REF!</definedName>
    <definedName name="S_AJE_Tot" localSheetId="3">#REF!</definedName>
    <definedName name="S_AJE_Tot" localSheetId="2">#REF!</definedName>
    <definedName name="S_AJE_Tot" localSheetId="5">#REF!</definedName>
    <definedName name="S_AJE_Tot" localSheetId="8">#REF!</definedName>
    <definedName name="S_AJE_Tot" localSheetId="10">#REF!</definedName>
    <definedName name="S_AJE_Tot" localSheetId="9">#REF!</definedName>
    <definedName name="S_AJE_Tot">#REF!</definedName>
    <definedName name="S_AJE_Tot_Data" localSheetId="3">#REF!</definedName>
    <definedName name="S_AJE_Tot_Data" localSheetId="2">#REF!</definedName>
    <definedName name="S_AJE_Tot_Data" localSheetId="5">#REF!</definedName>
    <definedName name="S_AJE_Tot_Data" localSheetId="8">#REF!</definedName>
    <definedName name="S_AJE_Tot_Data" localSheetId="10">#REF!</definedName>
    <definedName name="S_AJE_Tot_Data" localSheetId="9">#REF!</definedName>
    <definedName name="S_AJE_Tot_Data">#REF!</definedName>
    <definedName name="S_AJE_Tot_GT" localSheetId="3">#REF!</definedName>
    <definedName name="S_AJE_Tot_GT" localSheetId="2">#REF!</definedName>
    <definedName name="S_AJE_Tot_GT" localSheetId="5">#REF!</definedName>
    <definedName name="S_AJE_Tot_GT" localSheetId="8">#REF!</definedName>
    <definedName name="S_AJE_Tot_GT" localSheetId="10">#REF!</definedName>
    <definedName name="S_AJE_Tot_GT" localSheetId="9">#REF!</definedName>
    <definedName name="S_AJE_Tot_GT">#REF!</definedName>
    <definedName name="S_CompNum" localSheetId="3">#REF!</definedName>
    <definedName name="S_CompNum" localSheetId="2">#REF!</definedName>
    <definedName name="S_CompNum" localSheetId="5">#REF!</definedName>
    <definedName name="S_CompNum" localSheetId="8">#REF!</definedName>
    <definedName name="S_CompNum" localSheetId="10">#REF!</definedName>
    <definedName name="S_CompNum" localSheetId="9">#REF!</definedName>
    <definedName name="S_CompNum">#REF!</definedName>
    <definedName name="S_CY_Beg" localSheetId="3">#REF!</definedName>
    <definedName name="S_CY_Beg" localSheetId="2">#REF!</definedName>
    <definedName name="S_CY_Beg" localSheetId="5">#REF!</definedName>
    <definedName name="S_CY_Beg" localSheetId="8">#REF!</definedName>
    <definedName name="S_CY_Beg" localSheetId="10">#REF!</definedName>
    <definedName name="S_CY_Beg" localSheetId="9">#REF!</definedName>
    <definedName name="S_CY_Beg">#REF!</definedName>
    <definedName name="S_CY_Beg_Data" localSheetId="3">#REF!</definedName>
    <definedName name="S_CY_Beg_Data" localSheetId="2">#REF!</definedName>
    <definedName name="S_CY_Beg_Data" localSheetId="5">#REF!</definedName>
    <definedName name="S_CY_Beg_Data" localSheetId="8">#REF!</definedName>
    <definedName name="S_CY_Beg_Data" localSheetId="10">#REF!</definedName>
    <definedName name="S_CY_Beg_Data" localSheetId="9">#REF!</definedName>
    <definedName name="S_CY_Beg_Data">#REF!</definedName>
    <definedName name="S_CY_Beg_GT" localSheetId="3">#REF!</definedName>
    <definedName name="S_CY_Beg_GT" localSheetId="2">#REF!</definedName>
    <definedName name="S_CY_Beg_GT" localSheetId="5">#REF!</definedName>
    <definedName name="S_CY_Beg_GT" localSheetId="8">#REF!</definedName>
    <definedName name="S_CY_Beg_GT" localSheetId="10">#REF!</definedName>
    <definedName name="S_CY_Beg_GT" localSheetId="9">#REF!</definedName>
    <definedName name="S_CY_Beg_GT">#REF!</definedName>
    <definedName name="S_CY_End" localSheetId="3">#REF!</definedName>
    <definedName name="S_CY_End" localSheetId="2">#REF!</definedName>
    <definedName name="S_CY_End" localSheetId="5">#REF!</definedName>
    <definedName name="S_CY_End" localSheetId="8">#REF!</definedName>
    <definedName name="S_CY_End" localSheetId="10">#REF!</definedName>
    <definedName name="S_CY_End" localSheetId="9">#REF!</definedName>
    <definedName name="S_CY_End">#REF!</definedName>
    <definedName name="S_CY_End_Data" localSheetId="3">#REF!</definedName>
    <definedName name="S_CY_End_Data" localSheetId="2">#REF!</definedName>
    <definedName name="S_CY_End_Data" localSheetId="5">#REF!</definedName>
    <definedName name="S_CY_End_Data" localSheetId="8">#REF!</definedName>
    <definedName name="S_CY_End_Data" localSheetId="10">#REF!</definedName>
    <definedName name="S_CY_End_Data" localSheetId="9">#REF!</definedName>
    <definedName name="S_CY_End_Data">#REF!</definedName>
    <definedName name="S_CY_End_GT" localSheetId="3">#REF!</definedName>
    <definedName name="S_CY_End_GT" localSheetId="2">#REF!</definedName>
    <definedName name="S_CY_End_GT" localSheetId="5">#REF!</definedName>
    <definedName name="S_CY_End_GT" localSheetId="8">#REF!</definedName>
    <definedName name="S_CY_End_GT" localSheetId="10">#REF!</definedName>
    <definedName name="S_CY_End_GT" localSheetId="9">#REF!</definedName>
    <definedName name="S_CY_End_GT">#REF!</definedName>
    <definedName name="S_Diff_Amt" localSheetId="3">#REF!</definedName>
    <definedName name="S_Diff_Amt" localSheetId="2">#REF!</definedName>
    <definedName name="S_Diff_Amt" localSheetId="5">#REF!</definedName>
    <definedName name="S_Diff_Amt" localSheetId="8">#REF!</definedName>
    <definedName name="S_Diff_Amt" localSheetId="10">#REF!</definedName>
    <definedName name="S_Diff_Amt" localSheetId="9">#REF!</definedName>
    <definedName name="S_Diff_Amt">#REF!</definedName>
    <definedName name="S_Diff_Pct" localSheetId="3">#REF!</definedName>
    <definedName name="S_Diff_Pct" localSheetId="2">#REF!</definedName>
    <definedName name="S_Diff_Pct" localSheetId="5">#REF!</definedName>
    <definedName name="S_Diff_Pct" localSheetId="8">#REF!</definedName>
    <definedName name="S_Diff_Pct" localSheetId="10">#REF!</definedName>
    <definedName name="S_Diff_Pct" localSheetId="9">#REF!</definedName>
    <definedName name="S_Diff_Pct">#REF!</definedName>
    <definedName name="S_GrpNum" localSheetId="3">#REF!</definedName>
    <definedName name="S_GrpNum" localSheetId="2">#REF!</definedName>
    <definedName name="S_GrpNum" localSheetId="5">#REF!</definedName>
    <definedName name="S_GrpNum" localSheetId="8">#REF!</definedName>
    <definedName name="S_GrpNum" localSheetId="10">#REF!</definedName>
    <definedName name="S_GrpNum" localSheetId="9">#REF!</definedName>
    <definedName name="S_GrpNum">#REF!</definedName>
    <definedName name="S_Headings" localSheetId="3">#REF!</definedName>
    <definedName name="S_Headings" localSheetId="2">#REF!</definedName>
    <definedName name="S_Headings" localSheetId="5">#REF!</definedName>
    <definedName name="S_Headings" localSheetId="8">#REF!</definedName>
    <definedName name="S_Headings" localSheetId="10">#REF!</definedName>
    <definedName name="S_Headings" localSheetId="9">#REF!</definedName>
    <definedName name="S_Headings">#REF!</definedName>
    <definedName name="S_KeyValue" localSheetId="3">#REF!</definedName>
    <definedName name="S_KeyValue" localSheetId="2">#REF!</definedName>
    <definedName name="S_KeyValue" localSheetId="5">#REF!</definedName>
    <definedName name="S_KeyValue" localSheetId="8">#REF!</definedName>
    <definedName name="S_KeyValue" localSheetId="10">#REF!</definedName>
    <definedName name="S_KeyValue" localSheetId="9">#REF!</definedName>
    <definedName name="S_KeyValue">#REF!</definedName>
    <definedName name="S_PY_End" localSheetId="3">#REF!</definedName>
    <definedName name="S_PY_End" localSheetId="2">#REF!</definedName>
    <definedName name="S_PY_End" localSheetId="5">#REF!</definedName>
    <definedName name="S_PY_End" localSheetId="8">#REF!</definedName>
    <definedName name="S_PY_End" localSheetId="10">#REF!</definedName>
    <definedName name="S_PY_End" localSheetId="9">#REF!</definedName>
    <definedName name="S_PY_End">#REF!</definedName>
    <definedName name="S_PY_End_Data" localSheetId="3">#REF!</definedName>
    <definedName name="S_PY_End_Data" localSheetId="2">#REF!</definedName>
    <definedName name="S_PY_End_Data" localSheetId="5">#REF!</definedName>
    <definedName name="S_PY_End_Data" localSheetId="8">#REF!</definedName>
    <definedName name="S_PY_End_Data" localSheetId="10">#REF!</definedName>
    <definedName name="S_PY_End_Data" localSheetId="9">#REF!</definedName>
    <definedName name="S_PY_End_Data">#REF!</definedName>
    <definedName name="S_PY_End_GT" localSheetId="3">#REF!</definedName>
    <definedName name="S_PY_End_GT" localSheetId="2">#REF!</definedName>
    <definedName name="S_PY_End_GT" localSheetId="5">#REF!</definedName>
    <definedName name="S_PY_End_GT" localSheetId="8">#REF!</definedName>
    <definedName name="S_PY_End_GT" localSheetId="10">#REF!</definedName>
    <definedName name="S_PY_End_GT" localSheetId="9">#REF!</definedName>
    <definedName name="S_PY_End_GT">#REF!</definedName>
    <definedName name="S_RJE_Tot" localSheetId="3">#REF!</definedName>
    <definedName name="S_RJE_Tot" localSheetId="2">#REF!</definedName>
    <definedName name="S_RJE_Tot" localSheetId="5">#REF!</definedName>
    <definedName name="S_RJE_Tot" localSheetId="8">#REF!</definedName>
    <definedName name="S_RJE_Tot" localSheetId="10">#REF!</definedName>
    <definedName name="S_RJE_Tot" localSheetId="9">#REF!</definedName>
    <definedName name="S_RJE_Tot">#REF!</definedName>
    <definedName name="S_RJE_Tot_Data" localSheetId="3">#REF!</definedName>
    <definedName name="S_RJE_Tot_Data" localSheetId="2">#REF!</definedName>
    <definedName name="S_RJE_Tot_Data" localSheetId="5">#REF!</definedName>
    <definedName name="S_RJE_Tot_Data" localSheetId="8">#REF!</definedName>
    <definedName name="S_RJE_Tot_Data" localSheetId="10">#REF!</definedName>
    <definedName name="S_RJE_Tot_Data" localSheetId="9">#REF!</definedName>
    <definedName name="S_RJE_Tot_Data">#REF!</definedName>
    <definedName name="S_RJE_Tot_GT" localSheetId="3">#REF!</definedName>
    <definedName name="S_RJE_Tot_GT" localSheetId="2">#REF!</definedName>
    <definedName name="S_RJE_Tot_GT" localSheetId="5">#REF!</definedName>
    <definedName name="S_RJE_Tot_GT" localSheetId="8">#REF!</definedName>
    <definedName name="S_RJE_Tot_GT" localSheetId="10">#REF!</definedName>
    <definedName name="S_RJE_Tot_GT" localSheetId="9">#REF!</definedName>
    <definedName name="S_RJE_Tot_GT">#REF!</definedName>
    <definedName name="S_RowNum" localSheetId="3">#REF!</definedName>
    <definedName name="S_RowNum" localSheetId="2">#REF!</definedName>
    <definedName name="S_RowNum" localSheetId="5">#REF!</definedName>
    <definedName name="S_RowNum" localSheetId="8">#REF!</definedName>
    <definedName name="S_RowNum" localSheetId="10">#REF!</definedName>
    <definedName name="S_RowNum" localSheetId="9">#REF!</definedName>
    <definedName name="S_RowNum">#REF!</definedName>
    <definedName name="se" hidden="1">{#N/A,#N/A,FALSE,"Aging Summary";#N/A,#N/A,FALSE,"Ratio Analysis";#N/A,#N/A,FALSE,"Test 120 Day Accts";#N/A,#N/A,FALSE,"Tickmarks"}</definedName>
    <definedName name="SELIC" localSheetId="3">#REF!</definedName>
    <definedName name="SELIC" localSheetId="2">#REF!</definedName>
    <definedName name="SELIC" localSheetId="5">#REF!</definedName>
    <definedName name="SELIC" localSheetId="8">#REF!</definedName>
    <definedName name="SELIC" localSheetId="10">#REF!</definedName>
    <definedName name="SELIC" localSheetId="9">#REF!</definedName>
    <definedName name="SELIC">#REF!</definedName>
    <definedName name="SERVIÇOS" localSheetId="3">#REF!</definedName>
    <definedName name="SERVIÇOS" localSheetId="2">#REF!</definedName>
    <definedName name="SERVIÇOS" localSheetId="5">#REF!</definedName>
    <definedName name="SERVIÇOS" localSheetId="8">#REF!</definedName>
    <definedName name="SERVIÇOS" localSheetId="10">#REF!</definedName>
    <definedName name="SERVIÇOS" localSheetId="9">#REF!</definedName>
    <definedName name="SERVIÇOS">#REF!</definedName>
    <definedName name="set" localSheetId="3">[6]RLP!#REF!</definedName>
    <definedName name="set" localSheetId="2">[6]RLP!#REF!</definedName>
    <definedName name="set" localSheetId="5">[6]RLP!#REF!</definedName>
    <definedName name="set" localSheetId="8">[6]RLP!#REF!</definedName>
    <definedName name="set" localSheetId="10">[6]RLP!#REF!</definedName>
    <definedName name="set" localSheetId="9">[6]RLP!#REF!</definedName>
    <definedName name="set">[6]RLP!#REF!</definedName>
    <definedName name="SetTopCost">[5]Plan1!$F$17</definedName>
    <definedName name="sksjk" localSheetId="3">#REF!</definedName>
    <definedName name="sksjk" localSheetId="2">#REF!</definedName>
    <definedName name="sksjk" localSheetId="5">#REF!</definedName>
    <definedName name="sksjk" localSheetId="8">#REF!</definedName>
    <definedName name="sksjk" localSheetId="10">#REF!</definedName>
    <definedName name="sksjk" localSheetId="9">#REF!</definedName>
    <definedName name="sksjk">#REF!</definedName>
    <definedName name="SS" localSheetId="3">#REF!</definedName>
    <definedName name="SS" localSheetId="2">#REF!</definedName>
    <definedName name="SS" localSheetId="5">#REF!</definedName>
    <definedName name="SS" localSheetId="8">#REF!</definedName>
    <definedName name="SS" localSheetId="10">#REF!</definedName>
    <definedName name="SS" localSheetId="9">#REF!</definedName>
    <definedName name="SS">#REF!</definedName>
    <definedName name="sssssssssssssssssss" localSheetId="3" hidden="1">#REF!</definedName>
    <definedName name="sssssssssssssssssss" localSheetId="2" hidden="1">#REF!</definedName>
    <definedName name="sssssssssssssssssss" localSheetId="5" hidden="1">#REF!</definedName>
    <definedName name="sssssssssssssssssss" localSheetId="8" hidden="1">#REF!</definedName>
    <definedName name="sssssssssssssssssss" localSheetId="10" hidden="1">#REF!</definedName>
    <definedName name="sssssssssssssssssss" localSheetId="9" hidden="1">#REF!</definedName>
    <definedName name="sssssssssssssssssss" hidden="1">#REF!</definedName>
    <definedName name="ssssssssssssssssssssss" localSheetId="3" hidden="1">#REF!</definedName>
    <definedName name="ssssssssssssssssssssss" localSheetId="2" hidden="1">#REF!</definedName>
    <definedName name="ssssssssssssssssssssss" localSheetId="5" hidden="1">#REF!</definedName>
    <definedName name="ssssssssssssssssssssss" localSheetId="8" hidden="1">#REF!</definedName>
    <definedName name="ssssssssssssssssssssss" localSheetId="10" hidden="1">#REF!</definedName>
    <definedName name="ssssssssssssssssssssss" localSheetId="9" hidden="1">#REF!</definedName>
    <definedName name="ssssssssssssssssssssss" hidden="1">#REF!</definedName>
    <definedName name="SU_D_PI" localSheetId="3">#REF!</definedName>
    <definedName name="SU_D_PI" localSheetId="2">#REF!</definedName>
    <definedName name="SU_D_PI" localSheetId="5">#REF!</definedName>
    <definedName name="SU_D_PI" localSheetId="8">#REF!</definedName>
    <definedName name="SU_D_PI" localSheetId="10">#REF!</definedName>
    <definedName name="SU_D_PI" localSheetId="9">#REF!</definedName>
    <definedName name="SU_D_PI">#REF!</definedName>
    <definedName name="SU_T_PI" localSheetId="3">#REF!</definedName>
    <definedName name="SU_T_PI" localSheetId="2">#REF!</definedName>
    <definedName name="SU_T_PI" localSheetId="5">#REF!</definedName>
    <definedName name="SU_T_PI" localSheetId="8">#REF!</definedName>
    <definedName name="SU_T_PI" localSheetId="10">#REF!</definedName>
    <definedName name="SU_T_PI" localSheetId="9">#REF!</definedName>
    <definedName name="SU_T_PI">#REF!</definedName>
    <definedName name="Subgrupo" localSheetId="3">#REF!</definedName>
    <definedName name="Subgrupo" localSheetId="4">#REF!</definedName>
    <definedName name="Subgrupo" localSheetId="2">#REF!</definedName>
    <definedName name="Subgrupo" localSheetId="5">#REF!</definedName>
    <definedName name="Subgrupo" localSheetId="1">#REF!</definedName>
    <definedName name="Subgrupo" localSheetId="8">#REF!</definedName>
    <definedName name="Subgrupo" localSheetId="10">#REF!</definedName>
    <definedName name="Subgrupo" localSheetId="6">#REF!</definedName>
    <definedName name="Subgrupo" localSheetId="7">#REF!</definedName>
    <definedName name="Subgrupo" localSheetId="9">#REF!</definedName>
    <definedName name="Subgrupo">#REF!</definedName>
    <definedName name="T_GTM_1111">[31]Lead2!$K$11</definedName>
    <definedName name="T_GTM_1311">[31]Lead2!$M$11</definedName>
    <definedName name="T_GTM_811">[31]Lead2!$H$11</definedName>
    <definedName name="T_MOD_1110">[31]Lead2!$K$10</definedName>
    <definedName name="T_MOD_114">[31]Lead2!$K$4</definedName>
    <definedName name="T_MOD_115">[31]Lead2!$K$5</definedName>
    <definedName name="T_MOD_117">[31]Lead2!$K$7</definedName>
    <definedName name="T_MOD_1310">[31]Lead2!$M$10</definedName>
    <definedName name="T_MOD_134">[31]Lead2!$M$4</definedName>
    <definedName name="T_MOD_135">[31]Lead2!$M$5</definedName>
    <definedName name="T_MOD_137">[31]Lead2!$M$7</definedName>
    <definedName name="T_MOD_810">[31]Lead2!$H$10</definedName>
    <definedName name="T_MOD_84">[31]Lead2!$H$4</definedName>
    <definedName name="T_MOD_85">[31]Lead2!$H$5</definedName>
    <definedName name="T_MOD_87">[31]Lead2!$H$7</definedName>
    <definedName name="tabela" localSheetId="3">#REF!</definedName>
    <definedName name="tabela" localSheetId="2">#REF!</definedName>
    <definedName name="tabela" localSheetId="5">#REF!</definedName>
    <definedName name="tabela" localSheetId="8">#REF!</definedName>
    <definedName name="tabela" localSheetId="10">#REF!</definedName>
    <definedName name="tabela" localSheetId="9">#REF!</definedName>
    <definedName name="tabela">#REF!</definedName>
    <definedName name="TABELA1" localSheetId="3">#REF!</definedName>
    <definedName name="TABELA1" localSheetId="2">#REF!</definedName>
    <definedName name="TABELA1" localSheetId="5">#REF!</definedName>
    <definedName name="TABELA1" localSheetId="8">#REF!</definedName>
    <definedName name="TABELA1" localSheetId="10">#REF!</definedName>
    <definedName name="TABELA1" localSheetId="9">#REF!</definedName>
    <definedName name="TABELA1">#REF!</definedName>
    <definedName name="TABLE" localSheetId="3">#REF!</definedName>
    <definedName name="TABLE" localSheetId="2">#REF!</definedName>
    <definedName name="TABLE" localSheetId="5">#REF!</definedName>
    <definedName name="TABLE" localSheetId="8">#REF!</definedName>
    <definedName name="TABLE" localSheetId="10">#REF!</definedName>
    <definedName name="TABLE" localSheetId="9">#REF!</definedName>
    <definedName name="TABLE">#REF!</definedName>
    <definedName name="TATAT" hidden="1">{#N/A,#N/A,FALSE,"Aging Summary";#N/A,#N/A,FALSE,"Ratio Analysis";#N/A,#N/A,FALSE,"Test 120 Day Accts";#N/A,#N/A,FALSE,"Tickmarks"}</definedName>
    <definedName name="Tax_Effect_Liabs" localSheetId="3">#REF!</definedName>
    <definedName name="Tax_Effect_Liabs" localSheetId="2">#REF!</definedName>
    <definedName name="Tax_Effect_Liabs" localSheetId="5">#REF!</definedName>
    <definedName name="Tax_Effect_Liabs" localSheetId="8">#REF!</definedName>
    <definedName name="Tax_Effect_Liabs" localSheetId="10">#REF!</definedName>
    <definedName name="Tax_Effect_Liabs" localSheetId="9">#REF!</definedName>
    <definedName name="Tax_Effect_Liabs">#REF!</definedName>
    <definedName name="Tax_Rate" localSheetId="3">#REF!</definedName>
    <definedName name="Tax_Rate" localSheetId="2">#REF!</definedName>
    <definedName name="Tax_Rate" localSheetId="5">#REF!</definedName>
    <definedName name="Tax_Rate" localSheetId="8">#REF!</definedName>
    <definedName name="Tax_Rate" localSheetId="10">#REF!</definedName>
    <definedName name="Tax_Rate" localSheetId="9">#REF!</definedName>
    <definedName name="Tax_Rate">#REF!</definedName>
    <definedName name="TAXAS" localSheetId="3">#REF!</definedName>
    <definedName name="TAXAS" localSheetId="2">#REF!</definedName>
    <definedName name="TAXAS" localSheetId="5">#REF!</definedName>
    <definedName name="TAXAS" localSheetId="8">#REF!</definedName>
    <definedName name="TAXAS" localSheetId="10">#REF!</definedName>
    <definedName name="TAXAS" localSheetId="9">#REF!</definedName>
    <definedName name="TAXAS">#REF!</definedName>
    <definedName name="TextRefCopy1" localSheetId="3">#REF!</definedName>
    <definedName name="TextRefCopy1" localSheetId="2">#REF!</definedName>
    <definedName name="TextRefCopy1" localSheetId="5">#REF!</definedName>
    <definedName name="TextRefCopy1" localSheetId="8">#REF!</definedName>
    <definedName name="TextRefCopy1" localSheetId="10">#REF!</definedName>
    <definedName name="TextRefCopy1" localSheetId="9">#REF!</definedName>
    <definedName name="TextRefCopy1">#REF!</definedName>
    <definedName name="TextRefCopy10" localSheetId="3">#REF!</definedName>
    <definedName name="TextRefCopy10" localSheetId="2">#REF!</definedName>
    <definedName name="TextRefCopy10" localSheetId="5">#REF!</definedName>
    <definedName name="TextRefCopy10" localSheetId="8">#REF!</definedName>
    <definedName name="TextRefCopy10" localSheetId="10">#REF!</definedName>
    <definedName name="TextRefCopy10" localSheetId="9">#REF!</definedName>
    <definedName name="TextRefCopy10">#REF!</definedName>
    <definedName name="TextRefCopy11" localSheetId="3">#REF!</definedName>
    <definedName name="TextRefCopy11" localSheetId="2">#REF!</definedName>
    <definedName name="TextRefCopy11" localSheetId="5">#REF!</definedName>
    <definedName name="TextRefCopy11" localSheetId="8">#REF!</definedName>
    <definedName name="TextRefCopy11" localSheetId="10">#REF!</definedName>
    <definedName name="TextRefCopy11" localSheetId="9">#REF!</definedName>
    <definedName name="TextRefCopy11">#REF!</definedName>
    <definedName name="TextRefCopy12" localSheetId="3">#REF!</definedName>
    <definedName name="TextRefCopy12" localSheetId="2">#REF!</definedName>
    <definedName name="TextRefCopy12" localSheetId="5">#REF!</definedName>
    <definedName name="TextRefCopy12" localSheetId="8">#REF!</definedName>
    <definedName name="TextRefCopy12" localSheetId="10">#REF!</definedName>
    <definedName name="TextRefCopy12" localSheetId="9">#REF!</definedName>
    <definedName name="TextRefCopy12">#REF!</definedName>
    <definedName name="TextRefCopy13" localSheetId="3">#REF!</definedName>
    <definedName name="TextRefCopy13" localSheetId="2">#REF!</definedName>
    <definedName name="TextRefCopy13" localSheetId="5">#REF!</definedName>
    <definedName name="TextRefCopy13" localSheetId="8">#REF!</definedName>
    <definedName name="TextRefCopy13" localSheetId="10">#REF!</definedName>
    <definedName name="TextRefCopy13" localSheetId="9">#REF!</definedName>
    <definedName name="TextRefCopy13">#REF!</definedName>
    <definedName name="TextRefCopy14" localSheetId="3">#REF!</definedName>
    <definedName name="TextRefCopy14" localSheetId="2">#REF!</definedName>
    <definedName name="TextRefCopy14" localSheetId="5">#REF!</definedName>
    <definedName name="TextRefCopy14" localSheetId="8">#REF!</definedName>
    <definedName name="TextRefCopy14" localSheetId="10">#REF!</definedName>
    <definedName name="TextRefCopy14" localSheetId="9">#REF!</definedName>
    <definedName name="TextRefCopy14">#REF!</definedName>
    <definedName name="TextRefCopy15" localSheetId="3">#REF!</definedName>
    <definedName name="TextRefCopy15" localSheetId="2">#REF!</definedName>
    <definedName name="TextRefCopy15" localSheetId="5">#REF!</definedName>
    <definedName name="TextRefCopy15" localSheetId="8">#REF!</definedName>
    <definedName name="TextRefCopy15" localSheetId="10">#REF!</definedName>
    <definedName name="TextRefCopy15" localSheetId="9">#REF!</definedName>
    <definedName name="TextRefCopy15">#REF!</definedName>
    <definedName name="TextRefCopy16" localSheetId="3">#REF!</definedName>
    <definedName name="TextRefCopy16" localSheetId="2">#REF!</definedName>
    <definedName name="TextRefCopy16" localSheetId="5">#REF!</definedName>
    <definedName name="TextRefCopy16" localSheetId="8">#REF!</definedName>
    <definedName name="TextRefCopy16" localSheetId="10">#REF!</definedName>
    <definedName name="TextRefCopy16" localSheetId="9">#REF!</definedName>
    <definedName name="TextRefCopy16">#REF!</definedName>
    <definedName name="TextRefCopy17" localSheetId="3">#REF!</definedName>
    <definedName name="TextRefCopy17" localSheetId="2">#REF!</definedName>
    <definedName name="TextRefCopy17" localSheetId="5">#REF!</definedName>
    <definedName name="TextRefCopy17" localSheetId="8">#REF!</definedName>
    <definedName name="TextRefCopy17" localSheetId="10">#REF!</definedName>
    <definedName name="TextRefCopy17" localSheetId="9">#REF!</definedName>
    <definedName name="TextRefCopy17">#REF!</definedName>
    <definedName name="TextRefCopy18" localSheetId="3">#REF!</definedName>
    <definedName name="TextRefCopy18" localSheetId="2">#REF!</definedName>
    <definedName name="TextRefCopy18" localSheetId="5">#REF!</definedName>
    <definedName name="TextRefCopy18" localSheetId="8">#REF!</definedName>
    <definedName name="TextRefCopy18" localSheetId="10">#REF!</definedName>
    <definedName name="TextRefCopy18" localSheetId="9">#REF!</definedName>
    <definedName name="TextRefCopy18">#REF!</definedName>
    <definedName name="TextRefCopy19" localSheetId="3">#REF!</definedName>
    <definedName name="TextRefCopy19" localSheetId="2">#REF!</definedName>
    <definedName name="TextRefCopy19" localSheetId="5">#REF!</definedName>
    <definedName name="TextRefCopy19" localSheetId="8">#REF!</definedName>
    <definedName name="TextRefCopy19" localSheetId="10">#REF!</definedName>
    <definedName name="TextRefCopy19" localSheetId="9">#REF!</definedName>
    <definedName name="TextRefCopy19">#REF!</definedName>
    <definedName name="TextRefCopy2" localSheetId="3">#REF!</definedName>
    <definedName name="TextRefCopy2" localSheetId="2">#REF!</definedName>
    <definedName name="TextRefCopy2" localSheetId="5">#REF!</definedName>
    <definedName name="TextRefCopy2" localSheetId="8">#REF!</definedName>
    <definedName name="TextRefCopy2" localSheetId="10">#REF!</definedName>
    <definedName name="TextRefCopy2" localSheetId="9">#REF!</definedName>
    <definedName name="TextRefCopy2">#REF!</definedName>
    <definedName name="TextRefCopy20" localSheetId="3">#REF!</definedName>
    <definedName name="TextRefCopy20" localSheetId="2">#REF!</definedName>
    <definedName name="TextRefCopy20" localSheetId="5">#REF!</definedName>
    <definedName name="TextRefCopy20" localSheetId="8">#REF!</definedName>
    <definedName name="TextRefCopy20" localSheetId="10">#REF!</definedName>
    <definedName name="TextRefCopy20" localSheetId="9">#REF!</definedName>
    <definedName name="TextRefCopy20">#REF!</definedName>
    <definedName name="TextRefCopy21" localSheetId="3">#REF!</definedName>
    <definedName name="TextRefCopy21" localSheetId="2">#REF!</definedName>
    <definedName name="TextRefCopy21" localSheetId="5">#REF!</definedName>
    <definedName name="TextRefCopy21" localSheetId="8">#REF!</definedName>
    <definedName name="TextRefCopy21" localSheetId="10">#REF!</definedName>
    <definedName name="TextRefCopy21" localSheetId="9">#REF!</definedName>
    <definedName name="TextRefCopy21">#REF!</definedName>
    <definedName name="TextRefCopy22" localSheetId="3">#REF!</definedName>
    <definedName name="TextRefCopy22" localSheetId="2">#REF!</definedName>
    <definedName name="TextRefCopy22" localSheetId="5">#REF!</definedName>
    <definedName name="TextRefCopy22" localSheetId="8">#REF!</definedName>
    <definedName name="TextRefCopy22" localSheetId="10">#REF!</definedName>
    <definedName name="TextRefCopy22" localSheetId="9">#REF!</definedName>
    <definedName name="TextRefCopy22">#REF!</definedName>
    <definedName name="TextRefCopy23" localSheetId="3">#REF!</definedName>
    <definedName name="TextRefCopy23" localSheetId="2">#REF!</definedName>
    <definedName name="TextRefCopy23" localSheetId="5">#REF!</definedName>
    <definedName name="TextRefCopy23" localSheetId="8">#REF!</definedName>
    <definedName name="TextRefCopy23" localSheetId="10">#REF!</definedName>
    <definedName name="TextRefCopy23" localSheetId="9">#REF!</definedName>
    <definedName name="TextRefCopy23">#REF!</definedName>
    <definedName name="TextRefCopy24" localSheetId="3">#REF!</definedName>
    <definedName name="TextRefCopy24" localSheetId="2">#REF!</definedName>
    <definedName name="TextRefCopy24" localSheetId="5">#REF!</definedName>
    <definedName name="TextRefCopy24" localSheetId="8">#REF!</definedName>
    <definedName name="TextRefCopy24" localSheetId="10">#REF!</definedName>
    <definedName name="TextRefCopy24" localSheetId="9">#REF!</definedName>
    <definedName name="TextRefCopy24">#REF!</definedName>
    <definedName name="TextRefCopy25" localSheetId="3">#REF!</definedName>
    <definedName name="TextRefCopy25" localSheetId="2">#REF!</definedName>
    <definedName name="TextRefCopy25" localSheetId="5">#REF!</definedName>
    <definedName name="TextRefCopy25" localSheetId="8">#REF!</definedName>
    <definedName name="TextRefCopy25" localSheetId="10">#REF!</definedName>
    <definedName name="TextRefCopy25" localSheetId="9">#REF!</definedName>
    <definedName name="TextRefCopy25">#REF!</definedName>
    <definedName name="TextRefCopy26" localSheetId="3">#REF!</definedName>
    <definedName name="TextRefCopy26" localSheetId="2">#REF!</definedName>
    <definedName name="TextRefCopy26" localSheetId="5">#REF!</definedName>
    <definedName name="TextRefCopy26" localSheetId="8">#REF!</definedName>
    <definedName name="TextRefCopy26" localSheetId="10">#REF!</definedName>
    <definedName name="TextRefCopy26" localSheetId="9">#REF!</definedName>
    <definedName name="TextRefCopy26">#REF!</definedName>
    <definedName name="TextRefCopy27" localSheetId="3">#REF!</definedName>
    <definedName name="TextRefCopy27" localSheetId="2">#REF!</definedName>
    <definedName name="TextRefCopy27" localSheetId="5">#REF!</definedName>
    <definedName name="TextRefCopy27" localSheetId="8">#REF!</definedName>
    <definedName name="TextRefCopy27" localSheetId="10">#REF!</definedName>
    <definedName name="TextRefCopy27" localSheetId="9">#REF!</definedName>
    <definedName name="TextRefCopy27">#REF!</definedName>
    <definedName name="TextRefCopy28" localSheetId="3">#REF!</definedName>
    <definedName name="TextRefCopy28" localSheetId="2">#REF!</definedName>
    <definedName name="TextRefCopy28" localSheetId="5">#REF!</definedName>
    <definedName name="TextRefCopy28" localSheetId="8">#REF!</definedName>
    <definedName name="TextRefCopy28" localSheetId="10">#REF!</definedName>
    <definedName name="TextRefCopy28" localSheetId="9">#REF!</definedName>
    <definedName name="TextRefCopy28">#REF!</definedName>
    <definedName name="TextRefCopy29" localSheetId="3">#REF!</definedName>
    <definedName name="TextRefCopy29" localSheetId="2">#REF!</definedName>
    <definedName name="TextRefCopy29" localSheetId="5">#REF!</definedName>
    <definedName name="TextRefCopy29" localSheetId="8">#REF!</definedName>
    <definedName name="TextRefCopy29" localSheetId="10">#REF!</definedName>
    <definedName name="TextRefCopy29" localSheetId="9">#REF!</definedName>
    <definedName name="TextRefCopy29">#REF!</definedName>
    <definedName name="TextRefCopy3" localSheetId="3">#REF!</definedName>
    <definedName name="TextRefCopy3" localSheetId="2">#REF!</definedName>
    <definedName name="TextRefCopy3" localSheetId="5">#REF!</definedName>
    <definedName name="TextRefCopy3" localSheetId="8">#REF!</definedName>
    <definedName name="TextRefCopy3" localSheetId="10">#REF!</definedName>
    <definedName name="TextRefCopy3" localSheetId="9">#REF!</definedName>
    <definedName name="TextRefCopy3">#REF!</definedName>
    <definedName name="TextRefCopy30" localSheetId="3">#REF!</definedName>
    <definedName name="TextRefCopy30" localSheetId="2">#REF!</definedName>
    <definedName name="TextRefCopy30" localSheetId="5">#REF!</definedName>
    <definedName name="TextRefCopy30" localSheetId="8">#REF!</definedName>
    <definedName name="TextRefCopy30" localSheetId="10">#REF!</definedName>
    <definedName name="TextRefCopy30" localSheetId="9">#REF!</definedName>
    <definedName name="TextRefCopy30">#REF!</definedName>
    <definedName name="TextRefCopy31" localSheetId="3">#REF!</definedName>
    <definedName name="TextRefCopy31" localSheetId="2">#REF!</definedName>
    <definedName name="TextRefCopy31" localSheetId="5">#REF!</definedName>
    <definedName name="TextRefCopy31" localSheetId="8">#REF!</definedName>
    <definedName name="TextRefCopy31" localSheetId="10">#REF!</definedName>
    <definedName name="TextRefCopy31" localSheetId="9">#REF!</definedName>
    <definedName name="TextRefCopy31">#REF!</definedName>
    <definedName name="TextRefCopy32" localSheetId="3">#REF!</definedName>
    <definedName name="TextRefCopy32" localSheetId="2">#REF!</definedName>
    <definedName name="TextRefCopy32" localSheetId="5">#REF!</definedName>
    <definedName name="TextRefCopy32" localSheetId="8">#REF!</definedName>
    <definedName name="TextRefCopy32" localSheetId="10">#REF!</definedName>
    <definedName name="TextRefCopy32" localSheetId="9">#REF!</definedName>
    <definedName name="TextRefCopy32">#REF!</definedName>
    <definedName name="TextRefCopy33" localSheetId="3">#REF!</definedName>
    <definedName name="TextRefCopy33" localSheetId="2">#REF!</definedName>
    <definedName name="TextRefCopy33" localSheetId="5">#REF!</definedName>
    <definedName name="TextRefCopy33" localSheetId="8">#REF!</definedName>
    <definedName name="TextRefCopy33" localSheetId="10">#REF!</definedName>
    <definedName name="TextRefCopy33" localSheetId="9">#REF!</definedName>
    <definedName name="TextRefCopy33">#REF!</definedName>
    <definedName name="TextRefCopy34" localSheetId="3">#REF!</definedName>
    <definedName name="TextRefCopy34" localSheetId="2">#REF!</definedName>
    <definedName name="TextRefCopy34" localSheetId="5">#REF!</definedName>
    <definedName name="TextRefCopy34" localSheetId="8">#REF!</definedName>
    <definedName name="TextRefCopy34" localSheetId="10">#REF!</definedName>
    <definedName name="TextRefCopy34" localSheetId="9">#REF!</definedName>
    <definedName name="TextRefCopy34">#REF!</definedName>
    <definedName name="TextRefCopy35" localSheetId="3">#REF!</definedName>
    <definedName name="TextRefCopy35" localSheetId="2">#REF!</definedName>
    <definedName name="TextRefCopy35" localSheetId="5">#REF!</definedName>
    <definedName name="TextRefCopy35" localSheetId="8">#REF!</definedName>
    <definedName name="TextRefCopy35" localSheetId="10">#REF!</definedName>
    <definedName name="TextRefCopy35" localSheetId="9">#REF!</definedName>
    <definedName name="TextRefCopy35">#REF!</definedName>
    <definedName name="TextRefCopy36" localSheetId="3">#REF!</definedName>
    <definedName name="TextRefCopy36" localSheetId="2">#REF!</definedName>
    <definedName name="TextRefCopy36" localSheetId="5">#REF!</definedName>
    <definedName name="TextRefCopy36" localSheetId="8">#REF!</definedName>
    <definedName name="TextRefCopy36" localSheetId="10">#REF!</definedName>
    <definedName name="TextRefCopy36" localSheetId="9">#REF!</definedName>
    <definedName name="TextRefCopy36">#REF!</definedName>
    <definedName name="TextRefCopy37" localSheetId="3">#REF!</definedName>
    <definedName name="TextRefCopy37" localSheetId="2">#REF!</definedName>
    <definedName name="TextRefCopy37" localSheetId="5">#REF!</definedName>
    <definedName name="TextRefCopy37" localSheetId="8">#REF!</definedName>
    <definedName name="TextRefCopy37" localSheetId="10">#REF!</definedName>
    <definedName name="TextRefCopy37" localSheetId="9">#REF!</definedName>
    <definedName name="TextRefCopy37">#REF!</definedName>
    <definedName name="TextRefCopy38" localSheetId="3">#REF!</definedName>
    <definedName name="TextRefCopy38" localSheetId="2">#REF!</definedName>
    <definedName name="TextRefCopy38" localSheetId="5">#REF!</definedName>
    <definedName name="TextRefCopy38" localSheetId="8">#REF!</definedName>
    <definedName name="TextRefCopy38" localSheetId="10">#REF!</definedName>
    <definedName name="TextRefCopy38" localSheetId="9">#REF!</definedName>
    <definedName name="TextRefCopy38">#REF!</definedName>
    <definedName name="TextRefCopy39" localSheetId="3">#REF!</definedName>
    <definedName name="TextRefCopy39" localSheetId="2">#REF!</definedName>
    <definedName name="TextRefCopy39" localSheetId="5">#REF!</definedName>
    <definedName name="TextRefCopy39" localSheetId="8">#REF!</definedName>
    <definedName name="TextRefCopy39" localSheetId="10">#REF!</definedName>
    <definedName name="TextRefCopy39" localSheetId="9">#REF!</definedName>
    <definedName name="TextRefCopy39">#REF!</definedName>
    <definedName name="TextRefCopy4" localSheetId="3">#REF!</definedName>
    <definedName name="TextRefCopy4" localSheetId="2">#REF!</definedName>
    <definedName name="TextRefCopy4" localSheetId="5">#REF!</definedName>
    <definedName name="TextRefCopy4" localSheetId="8">#REF!</definedName>
    <definedName name="TextRefCopy4" localSheetId="10">#REF!</definedName>
    <definedName name="TextRefCopy4" localSheetId="9">#REF!</definedName>
    <definedName name="TextRefCopy4">#REF!</definedName>
    <definedName name="TextRefCopy40" localSheetId="3">#REF!</definedName>
    <definedName name="TextRefCopy40" localSheetId="2">#REF!</definedName>
    <definedName name="TextRefCopy40" localSheetId="5">#REF!</definedName>
    <definedName name="TextRefCopy40" localSheetId="8">#REF!</definedName>
    <definedName name="TextRefCopy40" localSheetId="10">#REF!</definedName>
    <definedName name="TextRefCopy40" localSheetId="9">#REF!</definedName>
    <definedName name="TextRefCopy40">#REF!</definedName>
    <definedName name="TextRefCopy41" localSheetId="3">#REF!</definedName>
    <definedName name="TextRefCopy41" localSheetId="2">#REF!</definedName>
    <definedName name="TextRefCopy41" localSheetId="5">#REF!</definedName>
    <definedName name="TextRefCopy41" localSheetId="8">#REF!</definedName>
    <definedName name="TextRefCopy41" localSheetId="10">#REF!</definedName>
    <definedName name="TextRefCopy41" localSheetId="9">#REF!</definedName>
    <definedName name="TextRefCopy41">#REF!</definedName>
    <definedName name="TextRefCopy42" localSheetId="3">#REF!</definedName>
    <definedName name="TextRefCopy42" localSheetId="2">#REF!</definedName>
    <definedName name="TextRefCopy42" localSheetId="5">#REF!</definedName>
    <definedName name="TextRefCopy42" localSheetId="8">#REF!</definedName>
    <definedName name="TextRefCopy42" localSheetId="10">#REF!</definedName>
    <definedName name="TextRefCopy42" localSheetId="9">#REF!</definedName>
    <definedName name="TextRefCopy42">#REF!</definedName>
    <definedName name="TextRefCopy43" localSheetId="3">#REF!</definedName>
    <definedName name="TextRefCopy43" localSheetId="2">#REF!</definedName>
    <definedName name="TextRefCopy43" localSheetId="5">#REF!</definedName>
    <definedName name="TextRefCopy43" localSheetId="8">#REF!</definedName>
    <definedName name="TextRefCopy43" localSheetId="10">#REF!</definedName>
    <definedName name="TextRefCopy43" localSheetId="9">#REF!</definedName>
    <definedName name="TextRefCopy43">#REF!</definedName>
    <definedName name="TextRefCopy44" localSheetId="3">#REF!</definedName>
    <definedName name="TextRefCopy44" localSheetId="2">#REF!</definedName>
    <definedName name="TextRefCopy44" localSheetId="5">#REF!</definedName>
    <definedName name="TextRefCopy44" localSheetId="8">#REF!</definedName>
    <definedName name="TextRefCopy44" localSheetId="10">#REF!</definedName>
    <definedName name="TextRefCopy44" localSheetId="9">#REF!</definedName>
    <definedName name="TextRefCopy44">#REF!</definedName>
    <definedName name="TextRefCopy45" localSheetId="3">#REF!</definedName>
    <definedName name="TextRefCopy45" localSheetId="2">#REF!</definedName>
    <definedName name="TextRefCopy45" localSheetId="5">#REF!</definedName>
    <definedName name="TextRefCopy45" localSheetId="8">#REF!</definedName>
    <definedName name="TextRefCopy45" localSheetId="10">#REF!</definedName>
    <definedName name="TextRefCopy45" localSheetId="9">#REF!</definedName>
    <definedName name="TextRefCopy45">#REF!</definedName>
    <definedName name="TextRefCopy46" localSheetId="3">#REF!</definedName>
    <definedName name="TextRefCopy46" localSheetId="2">#REF!</definedName>
    <definedName name="TextRefCopy46" localSheetId="5">#REF!</definedName>
    <definedName name="TextRefCopy46" localSheetId="8">#REF!</definedName>
    <definedName name="TextRefCopy46" localSheetId="10">#REF!</definedName>
    <definedName name="TextRefCopy46" localSheetId="9">#REF!</definedName>
    <definedName name="TextRefCopy46">#REF!</definedName>
    <definedName name="TextRefCopy47" localSheetId="3">#REF!</definedName>
    <definedName name="TextRefCopy47" localSheetId="2">#REF!</definedName>
    <definedName name="TextRefCopy47" localSheetId="5">#REF!</definedName>
    <definedName name="TextRefCopy47" localSheetId="8">#REF!</definedName>
    <definedName name="TextRefCopy47" localSheetId="10">#REF!</definedName>
    <definedName name="TextRefCopy47" localSheetId="9">#REF!</definedName>
    <definedName name="TextRefCopy47">#REF!</definedName>
    <definedName name="TextRefCopy48" localSheetId="3">#REF!</definedName>
    <definedName name="TextRefCopy48" localSheetId="2">#REF!</definedName>
    <definedName name="TextRefCopy48" localSheetId="5">#REF!</definedName>
    <definedName name="TextRefCopy48" localSheetId="8">#REF!</definedName>
    <definedName name="TextRefCopy48" localSheetId="10">#REF!</definedName>
    <definedName name="TextRefCopy48" localSheetId="9">#REF!</definedName>
    <definedName name="TextRefCopy48">#REF!</definedName>
    <definedName name="TextRefCopy49" localSheetId="3">#REF!</definedName>
    <definedName name="TextRefCopy49" localSheetId="2">#REF!</definedName>
    <definedName name="TextRefCopy49" localSheetId="5">#REF!</definedName>
    <definedName name="TextRefCopy49" localSheetId="8">#REF!</definedName>
    <definedName name="TextRefCopy49" localSheetId="10">#REF!</definedName>
    <definedName name="TextRefCopy49" localSheetId="9">#REF!</definedName>
    <definedName name="TextRefCopy49">#REF!</definedName>
    <definedName name="TextRefCopy5" localSheetId="3">#REF!</definedName>
    <definedName name="TextRefCopy5" localSheetId="2">#REF!</definedName>
    <definedName name="TextRefCopy5" localSheetId="5">#REF!</definedName>
    <definedName name="TextRefCopy5" localSheetId="8">#REF!</definedName>
    <definedName name="TextRefCopy5" localSheetId="10">#REF!</definedName>
    <definedName name="TextRefCopy5" localSheetId="9">#REF!</definedName>
    <definedName name="TextRefCopy5">#REF!</definedName>
    <definedName name="TextRefCopy50" localSheetId="3">#REF!</definedName>
    <definedName name="TextRefCopy50" localSheetId="2">#REF!</definedName>
    <definedName name="TextRefCopy50" localSheetId="5">#REF!</definedName>
    <definedName name="TextRefCopy50" localSheetId="8">#REF!</definedName>
    <definedName name="TextRefCopy50" localSheetId="10">#REF!</definedName>
    <definedName name="TextRefCopy50" localSheetId="9">#REF!</definedName>
    <definedName name="TextRefCopy50">#REF!</definedName>
    <definedName name="TextRefCopy51" localSheetId="3">#REF!</definedName>
    <definedName name="TextRefCopy51" localSheetId="2">#REF!</definedName>
    <definedName name="TextRefCopy51" localSheetId="5">#REF!</definedName>
    <definedName name="TextRefCopy51" localSheetId="8">#REF!</definedName>
    <definedName name="TextRefCopy51" localSheetId="10">#REF!</definedName>
    <definedName name="TextRefCopy51" localSheetId="9">#REF!</definedName>
    <definedName name="TextRefCopy51">#REF!</definedName>
    <definedName name="TextRefCopy52" localSheetId="3">#REF!</definedName>
    <definedName name="TextRefCopy52" localSheetId="2">#REF!</definedName>
    <definedName name="TextRefCopy52" localSheetId="5">#REF!</definedName>
    <definedName name="TextRefCopy52" localSheetId="8">#REF!</definedName>
    <definedName name="TextRefCopy52" localSheetId="10">#REF!</definedName>
    <definedName name="TextRefCopy52" localSheetId="9">#REF!</definedName>
    <definedName name="TextRefCopy52">#REF!</definedName>
    <definedName name="TextRefCopy53" localSheetId="3">#REF!</definedName>
    <definedName name="TextRefCopy53" localSheetId="2">#REF!</definedName>
    <definedName name="TextRefCopy53" localSheetId="5">#REF!</definedName>
    <definedName name="TextRefCopy53" localSheetId="8">#REF!</definedName>
    <definedName name="TextRefCopy53" localSheetId="10">#REF!</definedName>
    <definedName name="TextRefCopy53" localSheetId="9">#REF!</definedName>
    <definedName name="TextRefCopy53">#REF!</definedName>
    <definedName name="TextRefCopy54" localSheetId="3">#REF!</definedName>
    <definedName name="TextRefCopy54" localSheetId="2">#REF!</definedName>
    <definedName name="TextRefCopy54" localSheetId="5">#REF!</definedName>
    <definedName name="TextRefCopy54" localSheetId="8">#REF!</definedName>
    <definedName name="TextRefCopy54" localSheetId="10">#REF!</definedName>
    <definedName name="TextRefCopy54" localSheetId="9">#REF!</definedName>
    <definedName name="TextRefCopy54">#REF!</definedName>
    <definedName name="TextRefCopy55" localSheetId="3">#REF!</definedName>
    <definedName name="TextRefCopy55" localSheetId="2">#REF!</definedName>
    <definedName name="TextRefCopy55" localSheetId="5">#REF!</definedName>
    <definedName name="TextRefCopy55" localSheetId="8">#REF!</definedName>
    <definedName name="TextRefCopy55" localSheetId="10">#REF!</definedName>
    <definedName name="TextRefCopy55" localSheetId="9">#REF!</definedName>
    <definedName name="TextRefCopy55">#REF!</definedName>
    <definedName name="TextRefCopy56" localSheetId="3">#REF!</definedName>
    <definedName name="TextRefCopy56" localSheetId="2">#REF!</definedName>
    <definedName name="TextRefCopy56" localSheetId="5">#REF!</definedName>
    <definedName name="TextRefCopy56" localSheetId="8">#REF!</definedName>
    <definedName name="TextRefCopy56" localSheetId="10">#REF!</definedName>
    <definedName name="TextRefCopy56" localSheetId="9">#REF!</definedName>
    <definedName name="TextRefCopy56">#REF!</definedName>
    <definedName name="TextRefCopy57" localSheetId="3">#REF!</definedName>
    <definedName name="TextRefCopy57" localSheetId="2">#REF!</definedName>
    <definedName name="TextRefCopy57" localSheetId="5">#REF!</definedName>
    <definedName name="TextRefCopy57" localSheetId="8">#REF!</definedName>
    <definedName name="TextRefCopy57" localSheetId="10">#REF!</definedName>
    <definedName name="TextRefCopy57" localSheetId="9">#REF!</definedName>
    <definedName name="TextRefCopy57">#REF!</definedName>
    <definedName name="TextRefCopy58" localSheetId="3">#REF!</definedName>
    <definedName name="TextRefCopy58" localSheetId="2">#REF!</definedName>
    <definedName name="TextRefCopy58" localSheetId="5">#REF!</definedName>
    <definedName name="TextRefCopy58" localSheetId="8">#REF!</definedName>
    <definedName name="TextRefCopy58" localSheetId="10">#REF!</definedName>
    <definedName name="TextRefCopy58" localSheetId="9">#REF!</definedName>
    <definedName name="TextRefCopy58">#REF!</definedName>
    <definedName name="TextRefCopy59" localSheetId="3">#REF!</definedName>
    <definedName name="TextRefCopy59" localSheetId="2">#REF!</definedName>
    <definedName name="TextRefCopy59" localSheetId="5">#REF!</definedName>
    <definedName name="TextRefCopy59" localSheetId="8">#REF!</definedName>
    <definedName name="TextRefCopy59" localSheetId="10">#REF!</definedName>
    <definedName name="TextRefCopy59" localSheetId="9">#REF!</definedName>
    <definedName name="TextRefCopy59">#REF!</definedName>
    <definedName name="TextRefCopy6" localSheetId="3">#REF!</definedName>
    <definedName name="TextRefCopy6" localSheetId="2">#REF!</definedName>
    <definedName name="TextRefCopy6" localSheetId="5">#REF!</definedName>
    <definedName name="TextRefCopy6" localSheetId="8">#REF!</definedName>
    <definedName name="TextRefCopy6" localSheetId="10">#REF!</definedName>
    <definedName name="TextRefCopy6" localSheetId="9">#REF!</definedName>
    <definedName name="TextRefCopy6">#REF!</definedName>
    <definedName name="TextRefCopy60" localSheetId="3">#REF!</definedName>
    <definedName name="TextRefCopy60" localSheetId="2">#REF!</definedName>
    <definedName name="TextRefCopy60" localSheetId="5">#REF!</definedName>
    <definedName name="TextRefCopy60" localSheetId="8">#REF!</definedName>
    <definedName name="TextRefCopy60" localSheetId="10">#REF!</definedName>
    <definedName name="TextRefCopy60" localSheetId="9">#REF!</definedName>
    <definedName name="TextRefCopy60">#REF!</definedName>
    <definedName name="TextRefCopy62" localSheetId="3">#REF!</definedName>
    <definedName name="TextRefCopy62" localSheetId="2">#REF!</definedName>
    <definedName name="TextRefCopy62" localSheetId="5">#REF!</definedName>
    <definedName name="TextRefCopy62" localSheetId="8">#REF!</definedName>
    <definedName name="TextRefCopy62" localSheetId="10">#REF!</definedName>
    <definedName name="TextRefCopy62" localSheetId="9">#REF!</definedName>
    <definedName name="TextRefCopy62">#REF!</definedName>
    <definedName name="TextRefCopy63" localSheetId="3">#REF!</definedName>
    <definedName name="TextRefCopy63" localSheetId="2">#REF!</definedName>
    <definedName name="TextRefCopy63" localSheetId="5">#REF!</definedName>
    <definedName name="TextRefCopy63" localSheetId="8">#REF!</definedName>
    <definedName name="TextRefCopy63" localSheetId="10">#REF!</definedName>
    <definedName name="TextRefCopy63" localSheetId="9">#REF!</definedName>
    <definedName name="TextRefCopy63">#REF!</definedName>
    <definedName name="TextRefCopy64" localSheetId="3">#REF!</definedName>
    <definedName name="TextRefCopy64" localSheetId="2">#REF!</definedName>
    <definedName name="TextRefCopy64" localSheetId="5">#REF!</definedName>
    <definedName name="TextRefCopy64" localSheetId="8">#REF!</definedName>
    <definedName name="TextRefCopy64" localSheetId="10">#REF!</definedName>
    <definedName name="TextRefCopy64" localSheetId="9">#REF!</definedName>
    <definedName name="TextRefCopy64">#REF!</definedName>
    <definedName name="TextRefCopy65" localSheetId="3">#REF!</definedName>
    <definedName name="TextRefCopy65" localSheetId="2">#REF!</definedName>
    <definedName name="TextRefCopy65" localSheetId="5">#REF!</definedName>
    <definedName name="TextRefCopy65" localSheetId="8">#REF!</definedName>
    <definedName name="TextRefCopy65" localSheetId="10">#REF!</definedName>
    <definedName name="TextRefCopy65" localSheetId="9">#REF!</definedName>
    <definedName name="TextRefCopy65">#REF!</definedName>
    <definedName name="TextRefCopy66" localSheetId="3">#REF!</definedName>
    <definedName name="TextRefCopy66" localSheetId="2">#REF!</definedName>
    <definedName name="TextRefCopy66" localSheetId="5">#REF!</definedName>
    <definedName name="TextRefCopy66" localSheetId="8">#REF!</definedName>
    <definedName name="TextRefCopy66" localSheetId="10">#REF!</definedName>
    <definedName name="TextRefCopy66" localSheetId="9">#REF!</definedName>
    <definedName name="TextRefCopy66">#REF!</definedName>
    <definedName name="TextRefCopy7" localSheetId="3">#REF!</definedName>
    <definedName name="TextRefCopy7" localSheetId="2">#REF!</definedName>
    <definedName name="TextRefCopy7" localSheetId="5">#REF!</definedName>
    <definedName name="TextRefCopy7" localSheetId="8">#REF!</definedName>
    <definedName name="TextRefCopy7" localSheetId="10">#REF!</definedName>
    <definedName name="TextRefCopy7" localSheetId="9">#REF!</definedName>
    <definedName name="TextRefCopy7">#REF!</definedName>
    <definedName name="TextRefCopy78" localSheetId="3">'[32]Inventário PA'!#REF!</definedName>
    <definedName name="TextRefCopy78" localSheetId="2">'[32]Inventário PA'!#REF!</definedName>
    <definedName name="TextRefCopy78" localSheetId="5">'[32]Inventário PA'!#REF!</definedName>
    <definedName name="TextRefCopy78" localSheetId="8">'[32]Inventário PA'!#REF!</definedName>
    <definedName name="TextRefCopy78" localSheetId="10">'[32]Inventário PA'!#REF!</definedName>
    <definedName name="TextRefCopy78" localSheetId="9">'[32]Inventário PA'!#REF!</definedName>
    <definedName name="TextRefCopy78">'[32]Inventário PA'!#REF!</definedName>
    <definedName name="TextRefCopy8" localSheetId="3">#REF!</definedName>
    <definedName name="TextRefCopy8" localSheetId="2">#REF!</definedName>
    <definedName name="TextRefCopy8" localSheetId="5">#REF!</definedName>
    <definedName name="TextRefCopy8" localSheetId="8">#REF!</definedName>
    <definedName name="TextRefCopy8" localSheetId="10">#REF!</definedName>
    <definedName name="TextRefCopy8" localSheetId="9">#REF!</definedName>
    <definedName name="TextRefCopy8">#REF!</definedName>
    <definedName name="TextRefCopy82" localSheetId="3">#REF!</definedName>
    <definedName name="TextRefCopy82" localSheetId="2">#REF!</definedName>
    <definedName name="TextRefCopy82" localSheetId="5">#REF!</definedName>
    <definedName name="TextRefCopy82" localSheetId="8">#REF!</definedName>
    <definedName name="TextRefCopy82" localSheetId="10">#REF!</definedName>
    <definedName name="TextRefCopy82" localSheetId="9">#REF!</definedName>
    <definedName name="TextRefCopy82">#REF!</definedName>
    <definedName name="TextRefCopy9" localSheetId="3">#REF!</definedName>
    <definedName name="TextRefCopy9" localSheetId="2">#REF!</definedName>
    <definedName name="TextRefCopy9" localSheetId="5">#REF!</definedName>
    <definedName name="TextRefCopy9" localSheetId="8">#REF!</definedName>
    <definedName name="TextRefCopy9" localSheetId="10">#REF!</definedName>
    <definedName name="TextRefCopy9" localSheetId="9">#REF!</definedName>
    <definedName name="TextRefCopy9">#REF!</definedName>
    <definedName name="TextRefCopyRangeCount" hidden="1">33</definedName>
    <definedName name="Threshold" localSheetId="3">#REF!</definedName>
    <definedName name="Threshold" localSheetId="2">#REF!</definedName>
    <definedName name="Threshold" localSheetId="5">#REF!</definedName>
    <definedName name="Threshold" localSheetId="8">#REF!</definedName>
    <definedName name="Threshold" localSheetId="10">#REF!</definedName>
    <definedName name="Threshold" localSheetId="9">#REF!</definedName>
    <definedName name="Threshold">#REF!</definedName>
    <definedName name="title" localSheetId="3">'[19]Summary Information'!#REF!</definedName>
    <definedName name="title" localSheetId="2">'[19]Summary Information'!#REF!</definedName>
    <definedName name="title" localSheetId="5">'[19]Summary Information'!#REF!</definedName>
    <definedName name="title" localSheetId="8">'[19]Summary Information'!#REF!</definedName>
    <definedName name="title" localSheetId="10">'[19]Summary Information'!#REF!</definedName>
    <definedName name="title" localSheetId="9">'[19]Summary Information'!#REF!</definedName>
    <definedName name="title">'[19]Summary Information'!#REF!</definedName>
    <definedName name="_xlnm.Print_Titles" localSheetId="3">'Balanço patrimonial'!$B:$B,'Balanço patrimonial'!$3:$3</definedName>
    <definedName name="_xlnm.Print_Titles" localSheetId="4">DRE!$B:$B</definedName>
    <definedName name="_xlnm.Print_Titles" localSheetId="2">'Ebitda ajustado'!$B:$B</definedName>
    <definedName name="_xlnm.Print_Titles" localSheetId="5">'Fluxo de caixa'!$B:$B</definedName>
    <definedName name="_xlnm.Print_Titles" localSheetId="1">'Indicadores financeiros'!$B:$B,'Indicadores financeiros'!$2:$5</definedName>
    <definedName name="_xlnm.Print_Titles" localSheetId="8">'IRPJ e CSLL'!$B:$B</definedName>
    <definedName name="_xlnm.Print_Titles" localSheetId="10">'Produção (ton)'!$B:$B</definedName>
    <definedName name="_xlnm.Print_Titles" localSheetId="6">'Receita líquida'!$B:$B</definedName>
    <definedName name="_xlnm.Print_Titles" localSheetId="7">'Receita líquida por produto'!$B:$B</definedName>
    <definedName name="_xlnm.Print_Titles" localSheetId="9">'Vendas (ton)'!$B:$B</definedName>
    <definedName name="_xlnm.Print_Titles">#REF!</definedName>
    <definedName name="TotaldeAtivos">[29]cálculos!$C$15</definedName>
    <definedName name="TotaldePassivos">[29]cálculos!$C$20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IMESTRE" localSheetId="3">#REF!</definedName>
    <definedName name="TRIMESTRE" localSheetId="2">#REF!</definedName>
    <definedName name="TRIMESTRE" localSheetId="5">#REF!</definedName>
    <definedName name="TRIMESTRE" localSheetId="8">#REF!</definedName>
    <definedName name="TRIMESTRE" localSheetId="10">#REF!</definedName>
    <definedName name="TRIMESTRE" localSheetId="9">#REF!</definedName>
    <definedName name="TRIMESTRE">#REF!</definedName>
    <definedName name="tudo" localSheetId="3">#REF!</definedName>
    <definedName name="tudo" localSheetId="2">#REF!</definedName>
    <definedName name="tudo" localSheetId="5">#REF!</definedName>
    <definedName name="tudo" localSheetId="8">#REF!</definedName>
    <definedName name="tudo" localSheetId="10">#REF!</definedName>
    <definedName name="tudo" localSheetId="9">#REF!</definedName>
    <definedName name="tudo">#REF!</definedName>
    <definedName name="U" localSheetId="3">#REF!</definedName>
    <definedName name="U" localSheetId="2">#REF!</definedName>
    <definedName name="U" localSheetId="5">#REF!</definedName>
    <definedName name="U" localSheetId="8">#REF!</definedName>
    <definedName name="U" localSheetId="10">#REF!</definedName>
    <definedName name="U" localSheetId="9">#REF!</definedName>
    <definedName name="U">#REF!</definedName>
    <definedName name="UFIR" localSheetId="3">#REF!</definedName>
    <definedName name="UFIR" localSheetId="2">#REF!</definedName>
    <definedName name="UFIR" localSheetId="5">#REF!</definedName>
    <definedName name="UFIR" localSheetId="8">#REF!</definedName>
    <definedName name="UFIR" localSheetId="10">#REF!</definedName>
    <definedName name="UFIR" localSheetId="9">#REF!</definedName>
    <definedName name="UFIR">#REF!</definedName>
    <definedName name="UN_D_PI" localSheetId="3">#REF!</definedName>
    <definedName name="UN_D_PI" localSheetId="2">#REF!</definedName>
    <definedName name="UN_D_PI" localSheetId="5">#REF!</definedName>
    <definedName name="UN_D_PI" localSheetId="8">#REF!</definedName>
    <definedName name="UN_D_PI" localSheetId="10">#REF!</definedName>
    <definedName name="UN_D_PI" localSheetId="9">#REF!</definedName>
    <definedName name="UN_D_PI">#REF!</definedName>
    <definedName name="UN_D_PP" localSheetId="3">#REF!</definedName>
    <definedName name="UN_D_PP" localSheetId="2">#REF!</definedName>
    <definedName name="UN_D_PP" localSheetId="5">#REF!</definedName>
    <definedName name="UN_D_PP" localSheetId="8">#REF!</definedName>
    <definedName name="UN_D_PP" localSheetId="10">#REF!</definedName>
    <definedName name="UN_D_PP" localSheetId="9">#REF!</definedName>
    <definedName name="UN_D_PP">#REF!</definedName>
    <definedName name="UN_T_PI" localSheetId="3">#REF!</definedName>
    <definedName name="UN_T_PI" localSheetId="2">#REF!</definedName>
    <definedName name="UN_T_PI" localSheetId="5">#REF!</definedName>
    <definedName name="UN_T_PI" localSheetId="8">#REF!</definedName>
    <definedName name="UN_T_PI" localSheetId="10">#REF!</definedName>
    <definedName name="UN_T_PI" localSheetId="9">#REF!</definedName>
    <definedName name="UN_T_PI">#REF!</definedName>
    <definedName name="UN_T_PP" localSheetId="3">#REF!</definedName>
    <definedName name="UN_T_PP" localSheetId="2">#REF!</definedName>
    <definedName name="UN_T_PP" localSheetId="5">#REF!</definedName>
    <definedName name="UN_T_PP" localSheetId="8">#REF!</definedName>
    <definedName name="UN_T_PP" localSheetId="10">#REF!</definedName>
    <definedName name="UN_T_PP" localSheetId="9">#REF!</definedName>
    <definedName name="UN_T_PP">#REF!</definedName>
    <definedName name="values">'[33]Teste Drpc'!$W$36,'[33]Teste Drpc'!$W$37,'[33]Teste Drpc'!$W$48</definedName>
    <definedName name="verde" localSheetId="3">'[8]Quantidade vendida'!#REF!</definedName>
    <definedName name="verde" localSheetId="2">'[8]Quantidade vendida'!#REF!</definedName>
    <definedName name="verde" localSheetId="5">'[8]Quantidade vendida'!#REF!</definedName>
    <definedName name="verde" localSheetId="8">'[8]Quantidade vendida'!#REF!</definedName>
    <definedName name="verde" localSheetId="10">'[8]Quantidade vendida'!#REF!</definedName>
    <definedName name="verde" localSheetId="9">'[8]Quantidade vendida'!#REF!</definedName>
    <definedName name="verde">'[8]Quantidade vendida'!#REF!</definedName>
    <definedName name="VOLT_MENU" localSheetId="3">#REF!</definedName>
    <definedName name="VOLT_MENU" localSheetId="2">#REF!</definedName>
    <definedName name="VOLT_MENU" localSheetId="5">#REF!</definedName>
    <definedName name="VOLT_MENU" localSheetId="8">#REF!</definedName>
    <definedName name="VOLT_MENU" localSheetId="10">#REF!</definedName>
    <definedName name="VOLT_MENU" localSheetId="9">#REF!</definedName>
    <definedName name="VOLT_MENU">#REF!</definedName>
    <definedName name="vv" localSheetId="3">[1]Ativo!#REF!</definedName>
    <definedName name="vv" localSheetId="2">[1]Ativo!#REF!</definedName>
    <definedName name="vv" localSheetId="5">[1]Ativo!#REF!</definedName>
    <definedName name="vv" localSheetId="8">[1]Ativo!#REF!</definedName>
    <definedName name="vv" localSheetId="10">[1]Ativo!#REF!</definedName>
    <definedName name="vv" localSheetId="9">[1]Ativo!#REF!</definedName>
    <definedName name="vv">[1]Ativo!#REF!</definedName>
    <definedName name="vvv">'[34]#REF'!$A$1:$M$49</definedName>
    <definedName name="w" localSheetId="3" hidden="1">#REF!</definedName>
    <definedName name="w" localSheetId="2" hidden="1">#REF!</definedName>
    <definedName name="w" localSheetId="5" hidden="1">#REF!</definedName>
    <definedName name="w" localSheetId="8" hidden="1">#REF!</definedName>
    <definedName name="w" localSheetId="10" hidden="1">#REF!</definedName>
    <definedName name="w" localSheetId="9" hidden="1">#REF!</definedName>
    <definedName name="w" hidden="1">#REF!</definedName>
    <definedName name="we" localSheetId="3">#REF!</definedName>
    <definedName name="we" localSheetId="2">#REF!</definedName>
    <definedName name="we" localSheetId="5">#REF!</definedName>
    <definedName name="we" localSheetId="8">#REF!</definedName>
    <definedName name="we" localSheetId="10">#REF!</definedName>
    <definedName name="we" localSheetId="9">#REF!</definedName>
    <definedName name="we">#REF!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w" hidden="1">{#N/A,#N/A,FALSE,"Aging Summary";#N/A,#N/A,FALSE,"Ratio Analysis";#N/A,#N/A,FALSE,"Test 120 Day Accts";#N/A,#N/A,FALSE,"Tickmarks"}</definedName>
    <definedName name="x" localSheetId="3">#REF!</definedName>
    <definedName name="x" localSheetId="2">#REF!</definedName>
    <definedName name="x" localSheetId="5">#REF!</definedName>
    <definedName name="x" localSheetId="8">#REF!</definedName>
    <definedName name="x" localSheetId="10">#REF!</definedName>
    <definedName name="x" localSheetId="9">#REF!</definedName>
    <definedName name="x">#REF!</definedName>
    <definedName name="xpaste1" hidden="1">[35]aging!$I$9</definedName>
    <definedName name="xpaste4" localSheetId="3" hidden="1">#REF!</definedName>
    <definedName name="xpaste4" localSheetId="2" hidden="1">#REF!</definedName>
    <definedName name="xpaste4" localSheetId="5" hidden="1">#REF!</definedName>
    <definedName name="xpaste4" localSheetId="8" hidden="1">#REF!</definedName>
    <definedName name="xpaste4" localSheetId="10" hidden="1">#REF!</definedName>
    <definedName name="xpaste4" localSheetId="9" hidden="1">#REF!</definedName>
    <definedName name="xpaste4" hidden="1">#REF!</definedName>
    <definedName name="xref" localSheetId="3" hidden="1">'[13]Atual. cambial'!#REF!</definedName>
    <definedName name="xref" localSheetId="2" hidden="1">'[13]Atual. cambial'!#REF!</definedName>
    <definedName name="xref" localSheetId="5" hidden="1">'[13]Atual. cambial'!#REF!</definedName>
    <definedName name="xref" localSheetId="8" hidden="1">'[13]Atual. cambial'!#REF!</definedName>
    <definedName name="xref" localSheetId="10" hidden="1">'[13]Atual. cambial'!#REF!</definedName>
    <definedName name="xref" localSheetId="9" hidden="1">'[13]Atual. cambial'!#REF!</definedName>
    <definedName name="xref" hidden="1">'[13]Atual. cambial'!#REF!</definedName>
    <definedName name="XREF_COLUMN_1" localSheetId="3" hidden="1">#REF!</definedName>
    <definedName name="XREF_COLUMN_1" localSheetId="2" hidden="1">#REF!</definedName>
    <definedName name="XREF_COLUMN_1" localSheetId="5" hidden="1">#REF!</definedName>
    <definedName name="XREF_COLUMN_1" localSheetId="8" hidden="1">#REF!</definedName>
    <definedName name="XREF_COLUMN_1" localSheetId="10" hidden="1">#REF!</definedName>
    <definedName name="XREF_COLUMN_1" localSheetId="9" hidden="1">#REF!</definedName>
    <definedName name="XREF_COLUMN_1" hidden="1">#REF!</definedName>
    <definedName name="XREF_COLUMN_10" localSheetId="3" hidden="1">#REF!</definedName>
    <definedName name="XREF_COLUMN_10" localSheetId="2" hidden="1">#REF!</definedName>
    <definedName name="XREF_COLUMN_10" localSheetId="5" hidden="1">#REF!</definedName>
    <definedName name="XREF_COLUMN_10" localSheetId="8" hidden="1">#REF!</definedName>
    <definedName name="XREF_COLUMN_10" localSheetId="10" hidden="1">#REF!</definedName>
    <definedName name="XREF_COLUMN_10" localSheetId="9" hidden="1">#REF!</definedName>
    <definedName name="XREF_COLUMN_10" hidden="1">#REF!</definedName>
    <definedName name="XREF_COLUMN_11" localSheetId="3" hidden="1">#REF!</definedName>
    <definedName name="XREF_COLUMN_11" localSheetId="2" hidden="1">#REF!</definedName>
    <definedName name="XREF_COLUMN_11" localSheetId="5" hidden="1">#REF!</definedName>
    <definedName name="XREF_COLUMN_11" localSheetId="8" hidden="1">#REF!</definedName>
    <definedName name="XREF_COLUMN_11" localSheetId="10" hidden="1">#REF!</definedName>
    <definedName name="XREF_COLUMN_11" localSheetId="9" hidden="1">#REF!</definedName>
    <definedName name="XREF_COLUMN_11" hidden="1">#REF!</definedName>
    <definedName name="XREF_COLUMN_12" localSheetId="3" hidden="1">#REF!</definedName>
    <definedName name="XREF_COLUMN_12" localSheetId="2" hidden="1">#REF!</definedName>
    <definedName name="XREF_COLUMN_12" localSheetId="5" hidden="1">#REF!</definedName>
    <definedName name="XREF_COLUMN_12" localSheetId="8" hidden="1">#REF!</definedName>
    <definedName name="XREF_COLUMN_12" localSheetId="10" hidden="1">#REF!</definedName>
    <definedName name="XREF_COLUMN_12" localSheetId="9" hidden="1">#REF!</definedName>
    <definedName name="XREF_COLUMN_12" hidden="1">#REF!</definedName>
    <definedName name="XREF_COLUMN_13" localSheetId="3" hidden="1">#REF!</definedName>
    <definedName name="XREF_COLUMN_13" localSheetId="2" hidden="1">#REF!</definedName>
    <definedName name="XREF_COLUMN_13" localSheetId="5" hidden="1">#REF!</definedName>
    <definedName name="XREF_COLUMN_13" localSheetId="8" hidden="1">#REF!</definedName>
    <definedName name="XREF_COLUMN_13" localSheetId="10" hidden="1">#REF!</definedName>
    <definedName name="XREF_COLUMN_13" localSheetId="9" hidden="1">#REF!</definedName>
    <definedName name="XREF_COLUMN_13" hidden="1">#REF!</definedName>
    <definedName name="XREF_COLUMN_14" localSheetId="3" hidden="1">#REF!</definedName>
    <definedName name="XREF_COLUMN_14" localSheetId="2" hidden="1">#REF!</definedName>
    <definedName name="XREF_COLUMN_14" localSheetId="5" hidden="1">#REF!</definedName>
    <definedName name="XREF_COLUMN_14" localSheetId="8" hidden="1">#REF!</definedName>
    <definedName name="XREF_COLUMN_14" localSheetId="10" hidden="1">#REF!</definedName>
    <definedName name="XREF_COLUMN_14" localSheetId="9" hidden="1">#REF!</definedName>
    <definedName name="XREF_COLUMN_14" hidden="1">#REF!</definedName>
    <definedName name="XREF_COLUMN_15" localSheetId="3" hidden="1">#REF!</definedName>
    <definedName name="XREF_COLUMN_15" localSheetId="2" hidden="1">#REF!</definedName>
    <definedName name="XREF_COLUMN_15" localSheetId="5" hidden="1">#REF!</definedName>
    <definedName name="XREF_COLUMN_15" localSheetId="8" hidden="1">#REF!</definedName>
    <definedName name="XREF_COLUMN_15" localSheetId="10" hidden="1">#REF!</definedName>
    <definedName name="XREF_COLUMN_15" localSheetId="9" hidden="1">#REF!</definedName>
    <definedName name="XREF_COLUMN_15" hidden="1">#REF!</definedName>
    <definedName name="XREF_COLUMN_16" localSheetId="3" hidden="1">#REF!</definedName>
    <definedName name="XREF_COLUMN_16" localSheetId="2" hidden="1">#REF!</definedName>
    <definedName name="XREF_COLUMN_16" localSheetId="5" hidden="1">#REF!</definedName>
    <definedName name="XREF_COLUMN_16" localSheetId="8" hidden="1">#REF!</definedName>
    <definedName name="XREF_COLUMN_16" localSheetId="10" hidden="1">#REF!</definedName>
    <definedName name="XREF_COLUMN_16" localSheetId="9" hidden="1">#REF!</definedName>
    <definedName name="XREF_COLUMN_16" hidden="1">#REF!</definedName>
    <definedName name="XREF_COLUMN_17" localSheetId="3" hidden="1">#REF!</definedName>
    <definedName name="XREF_COLUMN_17" localSheetId="2" hidden="1">#REF!</definedName>
    <definedName name="XREF_COLUMN_17" localSheetId="5" hidden="1">#REF!</definedName>
    <definedName name="XREF_COLUMN_17" localSheetId="8" hidden="1">#REF!</definedName>
    <definedName name="XREF_COLUMN_17" localSheetId="10" hidden="1">#REF!</definedName>
    <definedName name="XREF_COLUMN_17" localSheetId="9" hidden="1">#REF!</definedName>
    <definedName name="XREF_COLUMN_17" hidden="1">#REF!</definedName>
    <definedName name="XREF_COLUMN_18" localSheetId="3" hidden="1">#REF!</definedName>
    <definedName name="XREF_COLUMN_18" localSheetId="2" hidden="1">#REF!</definedName>
    <definedName name="XREF_COLUMN_18" localSheetId="5" hidden="1">#REF!</definedName>
    <definedName name="XREF_COLUMN_18" localSheetId="8" hidden="1">#REF!</definedName>
    <definedName name="XREF_COLUMN_18" localSheetId="10" hidden="1">#REF!</definedName>
    <definedName name="XREF_COLUMN_18" localSheetId="9" hidden="1">#REF!</definedName>
    <definedName name="XREF_COLUMN_18" hidden="1">#REF!</definedName>
    <definedName name="XREF_COLUMN_19" localSheetId="3" hidden="1">[36]PDD!#REF!</definedName>
    <definedName name="XREF_COLUMN_19" localSheetId="2" hidden="1">[36]PDD!#REF!</definedName>
    <definedName name="XREF_COLUMN_19" localSheetId="5" hidden="1">[36]PDD!#REF!</definedName>
    <definedName name="XREF_COLUMN_19" localSheetId="8" hidden="1">[36]PDD!#REF!</definedName>
    <definedName name="XREF_COLUMN_19" localSheetId="10" hidden="1">[36]PDD!#REF!</definedName>
    <definedName name="XREF_COLUMN_19" localSheetId="9" hidden="1">[36]PDD!#REF!</definedName>
    <definedName name="XREF_COLUMN_19" hidden="1">[36]PDD!#REF!</definedName>
    <definedName name="XREF_COLUMN_2" localSheetId="3" hidden="1">[37]Depreciação!#REF!</definedName>
    <definedName name="XREF_COLUMN_2" localSheetId="2" hidden="1">[37]Depreciação!#REF!</definedName>
    <definedName name="XREF_COLUMN_2" localSheetId="5" hidden="1">[37]Depreciação!#REF!</definedName>
    <definedName name="XREF_COLUMN_2" localSheetId="8" hidden="1">[37]Depreciação!#REF!</definedName>
    <definedName name="XREF_COLUMN_2" localSheetId="10" hidden="1">[37]Depreciação!#REF!</definedName>
    <definedName name="XREF_COLUMN_2" localSheetId="9" hidden="1">[37]Depreciação!#REF!</definedName>
    <definedName name="XREF_COLUMN_2" hidden="1">[37]Depreciação!#REF!</definedName>
    <definedName name="XREF_COLUMN_20" localSheetId="3" hidden="1">#REF!</definedName>
    <definedName name="XREF_COLUMN_20" localSheetId="2" hidden="1">#REF!</definedName>
    <definedName name="XREF_COLUMN_20" localSheetId="5" hidden="1">#REF!</definedName>
    <definedName name="XREF_COLUMN_20" localSheetId="8" hidden="1">#REF!</definedName>
    <definedName name="XREF_COLUMN_20" localSheetId="10" hidden="1">#REF!</definedName>
    <definedName name="XREF_COLUMN_20" localSheetId="9" hidden="1">#REF!</definedName>
    <definedName name="XREF_COLUMN_20" hidden="1">#REF!</definedName>
    <definedName name="XREF_COLUMN_21" localSheetId="3" hidden="1">#REF!</definedName>
    <definedName name="XREF_COLUMN_21" localSheetId="2" hidden="1">#REF!</definedName>
    <definedName name="XREF_COLUMN_21" localSheetId="5" hidden="1">#REF!</definedName>
    <definedName name="XREF_COLUMN_21" localSheetId="8" hidden="1">#REF!</definedName>
    <definedName name="XREF_COLUMN_21" localSheetId="10" hidden="1">#REF!</definedName>
    <definedName name="XREF_COLUMN_21" localSheetId="9" hidden="1">#REF!</definedName>
    <definedName name="XREF_COLUMN_21" hidden="1">#REF!</definedName>
    <definedName name="XREF_COLUMN_22" localSheetId="3" hidden="1">#REF!</definedName>
    <definedName name="XREF_COLUMN_22" localSheetId="2" hidden="1">#REF!</definedName>
    <definedName name="XREF_COLUMN_22" localSheetId="5" hidden="1">#REF!</definedName>
    <definedName name="XREF_COLUMN_22" localSheetId="8" hidden="1">#REF!</definedName>
    <definedName name="XREF_COLUMN_22" localSheetId="10" hidden="1">#REF!</definedName>
    <definedName name="XREF_COLUMN_22" localSheetId="9" hidden="1">#REF!</definedName>
    <definedName name="XREF_COLUMN_22" hidden="1">#REF!</definedName>
    <definedName name="XREF_COLUMN_23" localSheetId="3" hidden="1">#REF!</definedName>
    <definedName name="XREF_COLUMN_23" localSheetId="2" hidden="1">#REF!</definedName>
    <definedName name="XREF_COLUMN_23" localSheetId="5" hidden="1">#REF!</definedName>
    <definedName name="XREF_COLUMN_23" localSheetId="8" hidden="1">#REF!</definedName>
    <definedName name="XREF_COLUMN_23" localSheetId="10" hidden="1">#REF!</definedName>
    <definedName name="XREF_COLUMN_23" localSheetId="9" hidden="1">#REF!</definedName>
    <definedName name="XREF_COLUMN_23" hidden="1">#REF!</definedName>
    <definedName name="XREF_COLUMN_24" localSheetId="3" hidden="1">[38]circularização!#REF!</definedName>
    <definedName name="XREF_COLUMN_24" localSheetId="2" hidden="1">[38]circularização!#REF!</definedName>
    <definedName name="XREF_COLUMN_24" localSheetId="5" hidden="1">[38]circularização!#REF!</definedName>
    <definedName name="XREF_COLUMN_24" localSheetId="8" hidden="1">[38]circularização!#REF!</definedName>
    <definedName name="XREF_COLUMN_24" localSheetId="10" hidden="1">[38]circularização!#REF!</definedName>
    <definedName name="XREF_COLUMN_24" localSheetId="9" hidden="1">[38]circularização!#REF!</definedName>
    <definedName name="XREF_COLUMN_24" hidden="1">[38]circularização!#REF!</definedName>
    <definedName name="XREF_COLUMN_25" localSheetId="3" hidden="1">#REF!</definedName>
    <definedName name="XREF_COLUMN_25" localSheetId="2" hidden="1">#REF!</definedName>
    <definedName name="XREF_COLUMN_25" localSheetId="5" hidden="1">#REF!</definedName>
    <definedName name="XREF_COLUMN_25" localSheetId="8" hidden="1">#REF!</definedName>
    <definedName name="XREF_COLUMN_25" localSheetId="10" hidden="1">#REF!</definedName>
    <definedName name="XREF_COLUMN_25" localSheetId="9" hidden="1">#REF!</definedName>
    <definedName name="XREF_COLUMN_25" hidden="1">#REF!</definedName>
    <definedName name="XREF_COLUMN_26" localSheetId="3" hidden="1">#REF!</definedName>
    <definedName name="XREF_COLUMN_26" localSheetId="2" hidden="1">#REF!</definedName>
    <definedName name="XREF_COLUMN_26" localSheetId="5" hidden="1">#REF!</definedName>
    <definedName name="XREF_COLUMN_26" localSheetId="8" hidden="1">#REF!</definedName>
    <definedName name="XREF_COLUMN_26" localSheetId="10" hidden="1">#REF!</definedName>
    <definedName name="XREF_COLUMN_26" localSheetId="9" hidden="1">#REF!</definedName>
    <definedName name="XREF_COLUMN_26" hidden="1">#REF!</definedName>
    <definedName name="XREF_COLUMN_27" localSheetId="3" hidden="1">#REF!</definedName>
    <definedName name="XREF_COLUMN_27" localSheetId="2" hidden="1">#REF!</definedName>
    <definedName name="XREF_COLUMN_27" localSheetId="5" hidden="1">#REF!</definedName>
    <definedName name="XREF_COLUMN_27" localSheetId="8" hidden="1">#REF!</definedName>
    <definedName name="XREF_COLUMN_27" localSheetId="10" hidden="1">#REF!</definedName>
    <definedName name="XREF_COLUMN_27" localSheetId="9" hidden="1">#REF!</definedName>
    <definedName name="XREF_COLUMN_27" hidden="1">#REF!</definedName>
    <definedName name="XREF_COLUMN_28" localSheetId="3" hidden="1">#REF!</definedName>
    <definedName name="XREF_COLUMN_28" localSheetId="2" hidden="1">#REF!</definedName>
    <definedName name="XREF_COLUMN_28" localSheetId="5" hidden="1">#REF!</definedName>
    <definedName name="XREF_COLUMN_28" localSheetId="8" hidden="1">#REF!</definedName>
    <definedName name="XREF_COLUMN_28" localSheetId="10" hidden="1">#REF!</definedName>
    <definedName name="XREF_COLUMN_28" localSheetId="9" hidden="1">#REF!</definedName>
    <definedName name="XREF_COLUMN_28" hidden="1">#REF!</definedName>
    <definedName name="XREF_COLUMN_29" localSheetId="3" hidden="1">#REF!</definedName>
    <definedName name="XREF_COLUMN_29" localSheetId="2" hidden="1">#REF!</definedName>
    <definedName name="XREF_COLUMN_29" localSheetId="5" hidden="1">#REF!</definedName>
    <definedName name="XREF_COLUMN_29" localSheetId="8" hidden="1">#REF!</definedName>
    <definedName name="XREF_COLUMN_29" localSheetId="10" hidden="1">#REF!</definedName>
    <definedName name="XREF_COLUMN_29" localSheetId="9" hidden="1">#REF!</definedName>
    <definedName name="XREF_COLUMN_29" hidden="1">#REF!</definedName>
    <definedName name="XREF_COLUMN_3" localSheetId="3" hidden="1">#REF!</definedName>
    <definedName name="XREF_COLUMN_3" localSheetId="2" hidden="1">#REF!</definedName>
    <definedName name="XREF_COLUMN_3" localSheetId="5" hidden="1">#REF!</definedName>
    <definedName name="XREF_COLUMN_3" localSheetId="8" hidden="1">#REF!</definedName>
    <definedName name="XREF_COLUMN_3" localSheetId="10" hidden="1">#REF!</definedName>
    <definedName name="XREF_COLUMN_3" localSheetId="9" hidden="1">#REF!</definedName>
    <definedName name="XREF_COLUMN_3" hidden="1">#REF!</definedName>
    <definedName name="XREF_COLUMN_30" localSheetId="3" hidden="1">#REF!</definedName>
    <definedName name="XREF_COLUMN_30" localSheetId="2" hidden="1">#REF!</definedName>
    <definedName name="XREF_COLUMN_30" localSheetId="5" hidden="1">#REF!</definedName>
    <definedName name="XREF_COLUMN_30" localSheetId="8" hidden="1">#REF!</definedName>
    <definedName name="XREF_COLUMN_30" localSheetId="10" hidden="1">#REF!</definedName>
    <definedName name="XREF_COLUMN_30" localSheetId="9" hidden="1">#REF!</definedName>
    <definedName name="XREF_COLUMN_30" hidden="1">#REF!</definedName>
    <definedName name="XREF_COLUMN_31" localSheetId="3" hidden="1">#REF!</definedName>
    <definedName name="XREF_COLUMN_31" localSheetId="2" hidden="1">#REF!</definedName>
    <definedName name="XREF_COLUMN_31" localSheetId="5" hidden="1">#REF!</definedName>
    <definedName name="XREF_COLUMN_31" localSheetId="8" hidden="1">#REF!</definedName>
    <definedName name="XREF_COLUMN_31" localSheetId="10" hidden="1">#REF!</definedName>
    <definedName name="XREF_COLUMN_31" localSheetId="9" hidden="1">#REF!</definedName>
    <definedName name="XREF_COLUMN_31" hidden="1">#REF!</definedName>
    <definedName name="XREF_COLUMN_32" localSheetId="3" hidden="1">#REF!</definedName>
    <definedName name="XREF_COLUMN_32" localSheetId="2" hidden="1">#REF!</definedName>
    <definedName name="XREF_COLUMN_32" localSheetId="5" hidden="1">#REF!</definedName>
    <definedName name="XREF_COLUMN_32" localSheetId="8" hidden="1">#REF!</definedName>
    <definedName name="XREF_COLUMN_32" localSheetId="10" hidden="1">#REF!</definedName>
    <definedName name="XREF_COLUMN_32" localSheetId="9" hidden="1">#REF!</definedName>
    <definedName name="XREF_COLUMN_32" hidden="1">#REF!</definedName>
    <definedName name="XREF_COLUMN_33" localSheetId="3" hidden="1">#REF!</definedName>
    <definedName name="XREF_COLUMN_33" localSheetId="2" hidden="1">#REF!</definedName>
    <definedName name="XREF_COLUMN_33" localSheetId="5" hidden="1">#REF!</definedName>
    <definedName name="XREF_COLUMN_33" localSheetId="8" hidden="1">#REF!</definedName>
    <definedName name="XREF_COLUMN_33" localSheetId="10" hidden="1">#REF!</definedName>
    <definedName name="XREF_COLUMN_33" localSheetId="9" hidden="1">#REF!</definedName>
    <definedName name="XREF_COLUMN_33" hidden="1">#REF!</definedName>
    <definedName name="XREF_COLUMN_34" localSheetId="3" hidden="1">'[39]Mapa de Moviment.'!#REF!</definedName>
    <definedName name="XREF_COLUMN_34" localSheetId="2" hidden="1">'[39]Mapa de Moviment.'!#REF!</definedName>
    <definedName name="XREF_COLUMN_34" localSheetId="5" hidden="1">'[39]Mapa de Moviment.'!#REF!</definedName>
    <definedName name="XREF_COLUMN_34" localSheetId="8" hidden="1">'[39]Mapa de Moviment.'!#REF!</definedName>
    <definedName name="XREF_COLUMN_34" localSheetId="10" hidden="1">'[39]Mapa de Moviment.'!#REF!</definedName>
    <definedName name="XREF_COLUMN_34" localSheetId="9" hidden="1">'[39]Mapa de Moviment.'!#REF!</definedName>
    <definedName name="XREF_COLUMN_34" hidden="1">'[39]Mapa de Moviment.'!#REF!</definedName>
    <definedName name="XREF_COLUMN_35" localSheetId="3" hidden="1">'[39]Mapa de Moviment.'!#REF!</definedName>
    <definedName name="XREF_COLUMN_35" localSheetId="2" hidden="1">'[39]Mapa de Moviment.'!#REF!</definedName>
    <definedName name="XREF_COLUMN_35" localSheetId="5" hidden="1">'[39]Mapa de Moviment.'!#REF!</definedName>
    <definedName name="XREF_COLUMN_35" localSheetId="8" hidden="1">'[39]Mapa de Moviment.'!#REF!</definedName>
    <definedName name="XREF_COLUMN_35" localSheetId="10" hidden="1">'[39]Mapa de Moviment.'!#REF!</definedName>
    <definedName name="XREF_COLUMN_35" localSheetId="9" hidden="1">'[39]Mapa de Moviment.'!#REF!</definedName>
    <definedName name="XREF_COLUMN_35" hidden="1">'[39]Mapa de Moviment.'!#REF!</definedName>
    <definedName name="XREF_COLUMN_36" localSheetId="3" hidden="1">#REF!</definedName>
    <definedName name="XREF_COLUMN_36" localSheetId="2" hidden="1">#REF!</definedName>
    <definedName name="XREF_COLUMN_36" localSheetId="5" hidden="1">#REF!</definedName>
    <definedName name="XREF_COLUMN_36" localSheetId="8" hidden="1">#REF!</definedName>
    <definedName name="XREF_COLUMN_36" localSheetId="10" hidden="1">#REF!</definedName>
    <definedName name="XREF_COLUMN_36" localSheetId="9" hidden="1">#REF!</definedName>
    <definedName name="XREF_COLUMN_36" hidden="1">#REF!</definedName>
    <definedName name="XREF_COLUMN_38" hidden="1">'[40]Mapa de movimentação '!$L$1:$L$65536</definedName>
    <definedName name="XREF_COLUMN_39" localSheetId="3" hidden="1">#REF!</definedName>
    <definedName name="XREF_COLUMN_39" localSheetId="2" hidden="1">#REF!</definedName>
    <definedName name="XREF_COLUMN_39" localSheetId="5" hidden="1">#REF!</definedName>
    <definedName name="XREF_COLUMN_39" localSheetId="8" hidden="1">#REF!</definedName>
    <definedName name="XREF_COLUMN_39" localSheetId="10" hidden="1">#REF!</definedName>
    <definedName name="XREF_COLUMN_39" localSheetId="9" hidden="1">#REF!</definedName>
    <definedName name="XREF_COLUMN_39" hidden="1">#REF!</definedName>
    <definedName name="XREF_COLUMN_4" localSheetId="3" hidden="1">#REF!</definedName>
    <definedName name="XREF_COLUMN_4" localSheetId="2" hidden="1">#REF!</definedName>
    <definedName name="XREF_COLUMN_4" localSheetId="5" hidden="1">#REF!</definedName>
    <definedName name="XREF_COLUMN_4" localSheetId="8" hidden="1">#REF!</definedName>
    <definedName name="XREF_COLUMN_4" localSheetId="10" hidden="1">#REF!</definedName>
    <definedName name="XREF_COLUMN_4" localSheetId="9" hidden="1">#REF!</definedName>
    <definedName name="XREF_COLUMN_4" hidden="1">#REF!</definedName>
    <definedName name="XREF_COLUMN_40" localSheetId="3" hidden="1">#REF!</definedName>
    <definedName name="XREF_COLUMN_40" localSheetId="2" hidden="1">#REF!</definedName>
    <definedName name="XREF_COLUMN_40" localSheetId="5" hidden="1">#REF!</definedName>
    <definedName name="XREF_COLUMN_40" localSheetId="8" hidden="1">#REF!</definedName>
    <definedName name="XREF_COLUMN_40" localSheetId="10" hidden="1">#REF!</definedName>
    <definedName name="XREF_COLUMN_40" localSheetId="9" hidden="1">#REF!</definedName>
    <definedName name="XREF_COLUMN_40" hidden="1">#REF!</definedName>
    <definedName name="XREF_COLUMN_42" localSheetId="3" hidden="1">#REF!</definedName>
    <definedName name="XREF_COLUMN_42" localSheetId="2" hidden="1">#REF!</definedName>
    <definedName name="XREF_COLUMN_42" localSheetId="5" hidden="1">#REF!</definedName>
    <definedName name="XREF_COLUMN_42" localSheetId="8" hidden="1">#REF!</definedName>
    <definedName name="XREF_COLUMN_42" localSheetId="10" hidden="1">#REF!</definedName>
    <definedName name="XREF_COLUMN_42" localSheetId="9" hidden="1">#REF!</definedName>
    <definedName name="XREF_COLUMN_42" hidden="1">#REF!</definedName>
    <definedName name="XREF_COLUMN_43" localSheetId="3" hidden="1">#REF!</definedName>
    <definedName name="XREF_COLUMN_43" localSheetId="2" hidden="1">#REF!</definedName>
    <definedName name="XREF_COLUMN_43" localSheetId="5" hidden="1">#REF!</definedName>
    <definedName name="XREF_COLUMN_43" localSheetId="8" hidden="1">#REF!</definedName>
    <definedName name="XREF_COLUMN_43" localSheetId="10" hidden="1">#REF!</definedName>
    <definedName name="XREF_COLUMN_43" localSheetId="9" hidden="1">#REF!</definedName>
    <definedName name="XREF_COLUMN_43" hidden="1">#REF!</definedName>
    <definedName name="XREF_COLUMN_44" localSheetId="3" hidden="1">#REF!</definedName>
    <definedName name="XREF_COLUMN_44" localSheetId="2" hidden="1">#REF!</definedName>
    <definedName name="XREF_COLUMN_44" localSheetId="5" hidden="1">#REF!</definedName>
    <definedName name="XREF_COLUMN_44" localSheetId="8" hidden="1">#REF!</definedName>
    <definedName name="XREF_COLUMN_44" localSheetId="10" hidden="1">#REF!</definedName>
    <definedName name="XREF_COLUMN_44" localSheetId="9" hidden="1">#REF!</definedName>
    <definedName name="XREF_COLUMN_44" hidden="1">#REF!</definedName>
    <definedName name="XREF_COLUMN_45" localSheetId="3" hidden="1">#REF!</definedName>
    <definedName name="XREF_COLUMN_45" localSheetId="2" hidden="1">#REF!</definedName>
    <definedName name="XREF_COLUMN_45" localSheetId="5" hidden="1">#REF!</definedName>
    <definedName name="XREF_COLUMN_45" localSheetId="8" hidden="1">#REF!</definedName>
    <definedName name="XREF_COLUMN_45" localSheetId="10" hidden="1">#REF!</definedName>
    <definedName name="XREF_COLUMN_45" localSheetId="9" hidden="1">#REF!</definedName>
    <definedName name="XREF_COLUMN_45" hidden="1">#REF!</definedName>
    <definedName name="XREF_COLUMN_46" localSheetId="3" hidden="1">[41]Mapa!#REF!</definedName>
    <definedName name="XREF_COLUMN_46" localSheetId="2" hidden="1">[41]Mapa!#REF!</definedName>
    <definedName name="XREF_COLUMN_46" localSheetId="5" hidden="1">[41]Mapa!#REF!</definedName>
    <definedName name="XREF_COLUMN_46" localSheetId="8" hidden="1">[41]Mapa!#REF!</definedName>
    <definedName name="XREF_COLUMN_46" localSheetId="10" hidden="1">[41]Mapa!#REF!</definedName>
    <definedName name="XREF_COLUMN_46" localSheetId="9" hidden="1">[41]Mapa!#REF!</definedName>
    <definedName name="XREF_COLUMN_46" hidden="1">[41]Mapa!#REF!</definedName>
    <definedName name="XREF_COLUMN_47" localSheetId="3" hidden="1">#REF!</definedName>
    <definedName name="XREF_COLUMN_47" localSheetId="2" hidden="1">#REF!</definedName>
    <definedName name="XREF_COLUMN_47" localSheetId="5" hidden="1">#REF!</definedName>
    <definedName name="XREF_COLUMN_47" localSheetId="8" hidden="1">#REF!</definedName>
    <definedName name="XREF_COLUMN_47" localSheetId="10" hidden="1">#REF!</definedName>
    <definedName name="XREF_COLUMN_47" localSheetId="9" hidden="1">#REF!</definedName>
    <definedName name="XREF_COLUMN_47" hidden="1">#REF!</definedName>
    <definedName name="XREF_COLUMN_48" localSheetId="3" hidden="1">#REF!</definedName>
    <definedName name="XREF_COLUMN_48" localSheetId="2" hidden="1">#REF!</definedName>
    <definedName name="XREF_COLUMN_48" localSheetId="5" hidden="1">#REF!</definedName>
    <definedName name="XREF_COLUMN_48" localSheetId="8" hidden="1">#REF!</definedName>
    <definedName name="XREF_COLUMN_48" localSheetId="10" hidden="1">#REF!</definedName>
    <definedName name="XREF_COLUMN_48" localSheetId="9" hidden="1">#REF!</definedName>
    <definedName name="XREF_COLUMN_48" hidden="1">#REF!</definedName>
    <definedName name="XREF_COLUMN_49" localSheetId="3" hidden="1">#REF!</definedName>
    <definedName name="XREF_COLUMN_49" localSheetId="2" hidden="1">#REF!</definedName>
    <definedName name="XREF_COLUMN_49" localSheetId="5" hidden="1">#REF!</definedName>
    <definedName name="XREF_COLUMN_49" localSheetId="8" hidden="1">#REF!</definedName>
    <definedName name="XREF_COLUMN_49" localSheetId="10" hidden="1">#REF!</definedName>
    <definedName name="XREF_COLUMN_49" localSheetId="9" hidden="1">#REF!</definedName>
    <definedName name="XREF_COLUMN_49" hidden="1">#REF!</definedName>
    <definedName name="XREF_COLUMN_5" localSheetId="3" hidden="1">#REF!</definedName>
    <definedName name="XREF_COLUMN_5" localSheetId="2" hidden="1">#REF!</definedName>
    <definedName name="XREF_COLUMN_5" localSheetId="5" hidden="1">#REF!</definedName>
    <definedName name="XREF_COLUMN_5" localSheetId="8" hidden="1">#REF!</definedName>
    <definedName name="XREF_COLUMN_5" localSheetId="10" hidden="1">#REF!</definedName>
    <definedName name="XREF_COLUMN_5" localSheetId="9" hidden="1">#REF!</definedName>
    <definedName name="XREF_COLUMN_5" hidden="1">#REF!</definedName>
    <definedName name="XREF_COLUMN_51" localSheetId="3" hidden="1">#REF!</definedName>
    <definedName name="XREF_COLUMN_51" localSheetId="2" hidden="1">#REF!</definedName>
    <definedName name="XREF_COLUMN_51" localSheetId="5" hidden="1">#REF!</definedName>
    <definedName name="XREF_COLUMN_51" localSheetId="8" hidden="1">#REF!</definedName>
    <definedName name="XREF_COLUMN_51" localSheetId="10" hidden="1">#REF!</definedName>
    <definedName name="XREF_COLUMN_51" localSheetId="9" hidden="1">#REF!</definedName>
    <definedName name="XREF_COLUMN_51" hidden="1">#REF!</definedName>
    <definedName name="XREF_COLUMN_52" localSheetId="3" hidden="1">[42]Empréstimos!#REF!</definedName>
    <definedName name="XREF_COLUMN_52" localSheetId="2" hidden="1">[42]Empréstimos!#REF!</definedName>
    <definedName name="XREF_COLUMN_52" localSheetId="5" hidden="1">[42]Empréstimos!#REF!</definedName>
    <definedName name="XREF_COLUMN_52" localSheetId="8" hidden="1">[42]Empréstimos!#REF!</definedName>
    <definedName name="XREF_COLUMN_52" localSheetId="10" hidden="1">[42]Empréstimos!#REF!</definedName>
    <definedName name="XREF_COLUMN_52" localSheetId="9" hidden="1">[42]Empréstimos!#REF!</definedName>
    <definedName name="XREF_COLUMN_52" hidden="1">[42]Empréstimos!#REF!</definedName>
    <definedName name="XREF_COLUMN_6" localSheetId="3" hidden="1">#REF!</definedName>
    <definedName name="XREF_COLUMN_6" localSheetId="2" hidden="1">#REF!</definedName>
    <definedName name="XREF_COLUMN_6" localSheetId="5" hidden="1">#REF!</definedName>
    <definedName name="XREF_COLUMN_6" localSheetId="8" hidden="1">#REF!</definedName>
    <definedName name="XREF_COLUMN_6" localSheetId="10" hidden="1">#REF!</definedName>
    <definedName name="XREF_COLUMN_6" localSheetId="9" hidden="1">#REF!</definedName>
    <definedName name="XREF_COLUMN_6" hidden="1">#REF!</definedName>
    <definedName name="XREF_COLUMN_7" localSheetId="3" hidden="1">#REF!</definedName>
    <definedName name="XREF_COLUMN_7" localSheetId="2" hidden="1">#REF!</definedName>
    <definedName name="XREF_COLUMN_7" localSheetId="5" hidden="1">#REF!</definedName>
    <definedName name="XREF_COLUMN_7" localSheetId="8" hidden="1">#REF!</definedName>
    <definedName name="XREF_COLUMN_7" localSheetId="10" hidden="1">#REF!</definedName>
    <definedName name="XREF_COLUMN_7" localSheetId="9" hidden="1">#REF!</definedName>
    <definedName name="XREF_COLUMN_7" hidden="1">#REF!</definedName>
    <definedName name="XREF_COLUMN_8" localSheetId="3" hidden="1">#REF!</definedName>
    <definedName name="XREF_COLUMN_8" localSheetId="2" hidden="1">#REF!</definedName>
    <definedName name="XREF_COLUMN_8" localSheetId="5" hidden="1">#REF!</definedName>
    <definedName name="XREF_COLUMN_8" localSheetId="8" hidden="1">#REF!</definedName>
    <definedName name="XREF_COLUMN_8" localSheetId="10" hidden="1">#REF!</definedName>
    <definedName name="XREF_COLUMN_8" localSheetId="9" hidden="1">#REF!</definedName>
    <definedName name="XREF_COLUMN_8" hidden="1">#REF!</definedName>
    <definedName name="XREF_COLUMN_9" localSheetId="3" hidden="1">#REF!</definedName>
    <definedName name="XREF_COLUMN_9" localSheetId="2" hidden="1">#REF!</definedName>
    <definedName name="XREF_COLUMN_9" localSheetId="5" hidden="1">#REF!</definedName>
    <definedName name="XREF_COLUMN_9" localSheetId="8" hidden="1">#REF!</definedName>
    <definedName name="XREF_COLUMN_9" localSheetId="10" hidden="1">#REF!</definedName>
    <definedName name="XREF_COLUMN_9" localSheetId="9" hidden="1">#REF!</definedName>
    <definedName name="XREF_COLUMN_9" hidden="1">#REF!</definedName>
    <definedName name="xref1" localSheetId="3" hidden="1">[35]aging!#REF!</definedName>
    <definedName name="xref1" localSheetId="2" hidden="1">[35]aging!#REF!</definedName>
    <definedName name="xref1" localSheetId="5" hidden="1">[35]aging!#REF!</definedName>
    <definedName name="xref1" localSheetId="8" hidden="1">[35]aging!#REF!</definedName>
    <definedName name="xref1" localSheetId="10" hidden="1">[35]aging!#REF!</definedName>
    <definedName name="xref1" localSheetId="9" hidden="1">[35]aging!#REF!</definedName>
    <definedName name="xref1" hidden="1">[35]aging!#REF!</definedName>
    <definedName name="xref2" hidden="1">[35]XREF!$A$8</definedName>
    <definedName name="xref3" hidden="1">7</definedName>
    <definedName name="xref4" localSheetId="3" hidden="1">#REF!</definedName>
    <definedName name="xref4" localSheetId="2" hidden="1">#REF!</definedName>
    <definedName name="xref4" localSheetId="5" hidden="1">#REF!</definedName>
    <definedName name="xref4" localSheetId="8" hidden="1">#REF!</definedName>
    <definedName name="xref4" localSheetId="10" hidden="1">#REF!</definedName>
    <definedName name="xref4" localSheetId="9" hidden="1">#REF!</definedName>
    <definedName name="xref4" hidden="1">#REF!</definedName>
    <definedName name="xref5" hidden="1">[35]aging!$P$77</definedName>
    <definedName name="xref6" localSheetId="3" hidden="1">#REF!</definedName>
    <definedName name="xref6" localSheetId="2" hidden="1">#REF!</definedName>
    <definedName name="xref6" localSheetId="5" hidden="1">#REF!</definedName>
    <definedName name="xref6" localSheetId="8" hidden="1">#REF!</definedName>
    <definedName name="xref6" localSheetId="10" hidden="1">#REF!</definedName>
    <definedName name="xref6" localSheetId="9" hidden="1">#REF!</definedName>
    <definedName name="xref6" hidden="1">#REF!</definedName>
    <definedName name="xref7" hidden="1">69</definedName>
    <definedName name="xref8" hidden="1">'[35]PDD-Movimentação'!$C$35</definedName>
    <definedName name="xref9" localSheetId="3" hidden="1">#REF!</definedName>
    <definedName name="xref9" localSheetId="2" hidden="1">#REF!</definedName>
    <definedName name="xref9" localSheetId="5" hidden="1">#REF!</definedName>
    <definedName name="xref9" localSheetId="8" hidden="1">#REF!</definedName>
    <definedName name="xref9" localSheetId="10" hidden="1">#REF!</definedName>
    <definedName name="xref9" localSheetId="9" hidden="1">#REF!</definedName>
    <definedName name="xref9" hidden="1">#REF!</definedName>
    <definedName name="XRefActiveRow" localSheetId="3" hidden="1">#REF!</definedName>
    <definedName name="XRefActiveRow" localSheetId="2" hidden="1">#REF!</definedName>
    <definedName name="XRefActiveRow" localSheetId="5" hidden="1">#REF!</definedName>
    <definedName name="XRefActiveRow" localSheetId="8" hidden="1">#REF!</definedName>
    <definedName name="XRefActiveRow" localSheetId="10" hidden="1">#REF!</definedName>
    <definedName name="XRefActiveRow" localSheetId="9" hidden="1">#REF!</definedName>
    <definedName name="XRefActiveRow" hidden="1">#REF!</definedName>
    <definedName name="XRefColumnsCount" hidden="1">1</definedName>
    <definedName name="XRefCopy1" localSheetId="3" hidden="1">'[43]Partes Relacionadas'!#REF!</definedName>
    <definedName name="XRefCopy1" localSheetId="2" hidden="1">'[43]Partes Relacionadas'!#REF!</definedName>
    <definedName name="XRefCopy1" localSheetId="5" hidden="1">'[43]Partes Relacionadas'!#REF!</definedName>
    <definedName name="XRefCopy1" localSheetId="8" hidden="1">'[43]Partes Relacionadas'!#REF!</definedName>
    <definedName name="XRefCopy1" localSheetId="10" hidden="1">'[43]Partes Relacionadas'!#REF!</definedName>
    <definedName name="XRefCopy1" localSheetId="9" hidden="1">'[43]Partes Relacionadas'!#REF!</definedName>
    <definedName name="XRefCopy1" hidden="1">'[43]Partes Relacionadas'!#REF!</definedName>
    <definedName name="XRefCopy10" localSheetId="3" hidden="1">#REF!</definedName>
    <definedName name="XRefCopy10" localSheetId="2" hidden="1">#REF!</definedName>
    <definedName name="XRefCopy10" localSheetId="5" hidden="1">#REF!</definedName>
    <definedName name="XRefCopy10" localSheetId="8" hidden="1">#REF!</definedName>
    <definedName name="XRefCopy10" localSheetId="10" hidden="1">#REF!</definedName>
    <definedName name="XRefCopy10" localSheetId="9" hidden="1">#REF!</definedName>
    <definedName name="XRefCopy10" hidden="1">#REF!</definedName>
    <definedName name="XRefCopy10Row" localSheetId="3" hidden="1">[44]XREF!#REF!</definedName>
    <definedName name="XRefCopy10Row" localSheetId="2" hidden="1">[44]XREF!#REF!</definedName>
    <definedName name="XRefCopy10Row" localSheetId="5" hidden="1">[44]XREF!#REF!</definedName>
    <definedName name="XRefCopy10Row" localSheetId="8" hidden="1">[44]XREF!#REF!</definedName>
    <definedName name="XRefCopy10Row" localSheetId="10" hidden="1">[44]XREF!#REF!</definedName>
    <definedName name="XRefCopy10Row" localSheetId="9" hidden="1">[44]XREF!#REF!</definedName>
    <definedName name="XRefCopy10Row" hidden="1">[44]XREF!#REF!</definedName>
    <definedName name="XRefCopy11" localSheetId="3" hidden="1">#REF!</definedName>
    <definedName name="XRefCopy11" localSheetId="2" hidden="1">#REF!</definedName>
    <definedName name="XRefCopy11" localSheetId="5" hidden="1">#REF!</definedName>
    <definedName name="XRefCopy11" localSheetId="8" hidden="1">#REF!</definedName>
    <definedName name="XRefCopy11" localSheetId="10" hidden="1">#REF!</definedName>
    <definedName name="XRefCopy11" localSheetId="9" hidden="1">#REF!</definedName>
    <definedName name="XRefCopy11" hidden="1">#REF!</definedName>
    <definedName name="XRefCopy11Row" localSheetId="3" hidden="1">#REF!</definedName>
    <definedName name="XRefCopy11Row" localSheetId="2" hidden="1">#REF!</definedName>
    <definedName name="XRefCopy11Row" localSheetId="5" hidden="1">#REF!</definedName>
    <definedName name="XRefCopy11Row" localSheetId="8" hidden="1">#REF!</definedName>
    <definedName name="XRefCopy11Row" localSheetId="10" hidden="1">#REF!</definedName>
    <definedName name="XRefCopy11Row" localSheetId="9" hidden="1">#REF!</definedName>
    <definedName name="XRefCopy11Row" hidden="1">#REF!</definedName>
    <definedName name="XRefCopy12" localSheetId="3" hidden="1">#REF!</definedName>
    <definedName name="XRefCopy12" localSheetId="2" hidden="1">#REF!</definedName>
    <definedName name="XRefCopy12" localSheetId="5" hidden="1">#REF!</definedName>
    <definedName name="XRefCopy12" localSheetId="8" hidden="1">#REF!</definedName>
    <definedName name="XRefCopy12" localSheetId="10" hidden="1">#REF!</definedName>
    <definedName name="XRefCopy12" localSheetId="9" hidden="1">#REF!</definedName>
    <definedName name="XRefCopy12" hidden="1">#REF!</definedName>
    <definedName name="XRefCopy12Row" localSheetId="3" hidden="1">[45]XREF!#REF!</definedName>
    <definedName name="XRefCopy12Row" localSheetId="2" hidden="1">[45]XREF!#REF!</definedName>
    <definedName name="XRefCopy12Row" localSheetId="5" hidden="1">[45]XREF!#REF!</definedName>
    <definedName name="XRefCopy12Row" localSheetId="8" hidden="1">[45]XREF!#REF!</definedName>
    <definedName name="XRefCopy12Row" localSheetId="10" hidden="1">[45]XREF!#REF!</definedName>
    <definedName name="XRefCopy12Row" localSheetId="9" hidden="1">[45]XREF!#REF!</definedName>
    <definedName name="XRefCopy12Row" hidden="1">[45]XREF!#REF!</definedName>
    <definedName name="XRefCopy13" localSheetId="3" hidden="1">#REF!</definedName>
    <definedName name="XRefCopy13" localSheetId="2" hidden="1">#REF!</definedName>
    <definedName name="XRefCopy13" localSheetId="5" hidden="1">#REF!</definedName>
    <definedName name="XRefCopy13" localSheetId="8" hidden="1">#REF!</definedName>
    <definedName name="XRefCopy13" localSheetId="10" hidden="1">#REF!</definedName>
    <definedName name="XRefCopy13" localSheetId="9" hidden="1">#REF!</definedName>
    <definedName name="XRefCopy13" hidden="1">#REF!</definedName>
    <definedName name="XRefCopy13Row" localSheetId="3" hidden="1">#REF!</definedName>
    <definedName name="XRefCopy13Row" localSheetId="2" hidden="1">#REF!</definedName>
    <definedName name="XRefCopy13Row" localSheetId="5" hidden="1">#REF!</definedName>
    <definedName name="XRefCopy13Row" localSheetId="8" hidden="1">#REF!</definedName>
    <definedName name="XRefCopy13Row" localSheetId="10" hidden="1">#REF!</definedName>
    <definedName name="XRefCopy13Row" localSheetId="9" hidden="1">#REF!</definedName>
    <definedName name="XRefCopy13Row" hidden="1">#REF!</definedName>
    <definedName name="XRefCopy14" localSheetId="3" hidden="1">#REF!</definedName>
    <definedName name="XRefCopy14" localSheetId="2" hidden="1">#REF!</definedName>
    <definedName name="XRefCopy14" localSheetId="5" hidden="1">#REF!</definedName>
    <definedName name="XRefCopy14" localSheetId="8" hidden="1">#REF!</definedName>
    <definedName name="XRefCopy14" localSheetId="10" hidden="1">#REF!</definedName>
    <definedName name="XRefCopy14" localSheetId="9" hidden="1">#REF!</definedName>
    <definedName name="XRefCopy14" hidden="1">#REF!</definedName>
    <definedName name="XRefCopy14Row" localSheetId="3" hidden="1">[45]XREF!#REF!</definedName>
    <definedName name="XRefCopy14Row" localSheetId="2" hidden="1">[45]XREF!#REF!</definedName>
    <definedName name="XRefCopy14Row" localSheetId="5" hidden="1">[45]XREF!#REF!</definedName>
    <definedName name="XRefCopy14Row" localSheetId="8" hidden="1">[45]XREF!#REF!</definedName>
    <definedName name="XRefCopy14Row" localSheetId="10" hidden="1">[45]XREF!#REF!</definedName>
    <definedName name="XRefCopy14Row" localSheetId="9" hidden="1">[45]XREF!#REF!</definedName>
    <definedName name="XRefCopy14Row" hidden="1">[45]XREF!#REF!</definedName>
    <definedName name="XRefCopy15" localSheetId="3" hidden="1">#REF!</definedName>
    <definedName name="XRefCopy15" localSheetId="2" hidden="1">#REF!</definedName>
    <definedName name="XRefCopy15" localSheetId="5" hidden="1">#REF!</definedName>
    <definedName name="XRefCopy15" localSheetId="8" hidden="1">#REF!</definedName>
    <definedName name="XRefCopy15" localSheetId="10" hidden="1">#REF!</definedName>
    <definedName name="XRefCopy15" localSheetId="9" hidden="1">#REF!</definedName>
    <definedName name="XRefCopy15" hidden="1">#REF!</definedName>
    <definedName name="XRefCopy15Row" localSheetId="3" hidden="1">[46]XREF!#REF!</definedName>
    <definedName name="XRefCopy15Row" localSheetId="2" hidden="1">[46]XREF!#REF!</definedName>
    <definedName name="XRefCopy15Row" localSheetId="5" hidden="1">[46]XREF!#REF!</definedName>
    <definedName name="XRefCopy15Row" localSheetId="8" hidden="1">[46]XREF!#REF!</definedName>
    <definedName name="XRefCopy15Row" localSheetId="10" hidden="1">[46]XREF!#REF!</definedName>
    <definedName name="XRefCopy15Row" localSheetId="9" hidden="1">[46]XREF!#REF!</definedName>
    <definedName name="XRefCopy15Row" hidden="1">[46]XREF!#REF!</definedName>
    <definedName name="XRefCopy16" localSheetId="3" hidden="1">#REF!</definedName>
    <definedName name="XRefCopy16" localSheetId="2" hidden="1">#REF!</definedName>
    <definedName name="XRefCopy16" localSheetId="5" hidden="1">#REF!</definedName>
    <definedName name="XRefCopy16" localSheetId="8" hidden="1">#REF!</definedName>
    <definedName name="XRefCopy16" localSheetId="10" hidden="1">#REF!</definedName>
    <definedName name="XRefCopy16" localSheetId="9" hidden="1">#REF!</definedName>
    <definedName name="XRefCopy16" hidden="1">#REF!</definedName>
    <definedName name="XRefCopy16Row" localSheetId="3" hidden="1">[46]XREF!#REF!</definedName>
    <definedName name="XRefCopy16Row" localSheetId="2" hidden="1">[46]XREF!#REF!</definedName>
    <definedName name="XRefCopy16Row" localSheetId="5" hidden="1">[46]XREF!#REF!</definedName>
    <definedName name="XRefCopy16Row" localSheetId="8" hidden="1">[46]XREF!#REF!</definedName>
    <definedName name="XRefCopy16Row" localSheetId="10" hidden="1">[46]XREF!#REF!</definedName>
    <definedName name="XRefCopy16Row" localSheetId="9" hidden="1">[46]XREF!#REF!</definedName>
    <definedName name="XRefCopy16Row" hidden="1">[46]XREF!#REF!</definedName>
    <definedName name="XRefCopy17" localSheetId="3" hidden="1">'[46]IR. CS'!#REF!</definedName>
    <definedName name="XRefCopy17" localSheetId="2" hidden="1">'[46]IR. CS'!#REF!</definedName>
    <definedName name="XRefCopy17" localSheetId="5" hidden="1">'[46]IR. CS'!#REF!</definedName>
    <definedName name="XRefCopy17" localSheetId="8" hidden="1">'[46]IR. CS'!#REF!</definedName>
    <definedName name="XRefCopy17" localSheetId="10" hidden="1">'[46]IR. CS'!#REF!</definedName>
    <definedName name="XRefCopy17" localSheetId="9" hidden="1">'[46]IR. CS'!#REF!</definedName>
    <definedName name="XRefCopy17" hidden="1">'[46]IR. CS'!#REF!</definedName>
    <definedName name="XRefCopy17Row" localSheetId="3" hidden="1">#REF!</definedName>
    <definedName name="XRefCopy17Row" localSheetId="2" hidden="1">#REF!</definedName>
    <definedName name="XRefCopy17Row" localSheetId="5" hidden="1">#REF!</definedName>
    <definedName name="XRefCopy17Row" localSheetId="8" hidden="1">#REF!</definedName>
    <definedName name="XRefCopy17Row" localSheetId="10" hidden="1">#REF!</definedName>
    <definedName name="XRefCopy17Row" localSheetId="9" hidden="1">#REF!</definedName>
    <definedName name="XRefCopy17Row" hidden="1">#REF!</definedName>
    <definedName name="XRefCopy18" localSheetId="3" hidden="1">'[47]Tít.Venc.'!#REF!</definedName>
    <definedName name="XRefCopy18" localSheetId="2" hidden="1">'[47]Tít.Venc.'!#REF!</definedName>
    <definedName name="XRefCopy18" localSheetId="5" hidden="1">'[47]Tít.Venc.'!#REF!</definedName>
    <definedName name="XRefCopy18" localSheetId="8" hidden="1">'[47]Tít.Venc.'!#REF!</definedName>
    <definedName name="XRefCopy18" localSheetId="10" hidden="1">'[47]Tít.Venc.'!#REF!</definedName>
    <definedName name="XRefCopy18" localSheetId="9" hidden="1">'[47]Tít.Venc.'!#REF!</definedName>
    <definedName name="XRefCopy18" hidden="1">'[47]Tít.Venc.'!#REF!</definedName>
    <definedName name="XRefCopy18Row" localSheetId="3" hidden="1">#REF!</definedName>
    <definedName name="XRefCopy18Row" localSheetId="2" hidden="1">#REF!</definedName>
    <definedName name="XRefCopy18Row" localSheetId="5" hidden="1">#REF!</definedName>
    <definedName name="XRefCopy18Row" localSheetId="8" hidden="1">#REF!</definedName>
    <definedName name="XRefCopy18Row" localSheetId="10" hidden="1">#REF!</definedName>
    <definedName name="XRefCopy18Row" localSheetId="9" hidden="1">#REF!</definedName>
    <definedName name="XRefCopy18Row" hidden="1">#REF!</definedName>
    <definedName name="XRefCopy19" localSheetId="3" hidden="1">[48]A11!#REF!</definedName>
    <definedName name="XRefCopy19" localSheetId="2" hidden="1">[48]A11!#REF!</definedName>
    <definedName name="XRefCopy19" localSheetId="5" hidden="1">[48]A11!#REF!</definedName>
    <definedName name="XRefCopy19" localSheetId="8" hidden="1">[48]A11!#REF!</definedName>
    <definedName name="XRefCopy19" localSheetId="10" hidden="1">[48]A11!#REF!</definedName>
    <definedName name="XRefCopy19" localSheetId="9" hidden="1">[48]A11!#REF!</definedName>
    <definedName name="XRefCopy19" hidden="1">[48]A11!#REF!</definedName>
    <definedName name="XRefCopy19Row" localSheetId="3" hidden="1">[49]XREF!#REF!</definedName>
    <definedName name="XRefCopy19Row" localSheetId="2" hidden="1">[49]XREF!#REF!</definedName>
    <definedName name="XRefCopy19Row" localSheetId="5" hidden="1">[49]XREF!#REF!</definedName>
    <definedName name="XRefCopy19Row" localSheetId="8" hidden="1">[49]XREF!#REF!</definedName>
    <definedName name="XRefCopy19Row" localSheetId="10" hidden="1">[49]XREF!#REF!</definedName>
    <definedName name="XRefCopy19Row" localSheetId="9" hidden="1">[49]XREF!#REF!</definedName>
    <definedName name="XRefCopy19Row" hidden="1">[49]XREF!#REF!</definedName>
    <definedName name="XRefCopy1Row" localSheetId="3" hidden="1">#REF!</definedName>
    <definedName name="XRefCopy1Row" localSheetId="2" hidden="1">#REF!</definedName>
    <definedName name="XRefCopy1Row" localSheetId="5" hidden="1">#REF!</definedName>
    <definedName name="XRefCopy1Row" localSheetId="8" hidden="1">#REF!</definedName>
    <definedName name="XRefCopy1Row" localSheetId="10" hidden="1">#REF!</definedName>
    <definedName name="XRefCopy1Row" localSheetId="9" hidden="1">#REF!</definedName>
    <definedName name="XRefCopy1Row" hidden="1">#REF!</definedName>
    <definedName name="XRefCopy2" localSheetId="3" hidden="1">#REF!</definedName>
    <definedName name="XRefCopy2" localSheetId="2" hidden="1">#REF!</definedName>
    <definedName name="XRefCopy2" localSheetId="5" hidden="1">#REF!</definedName>
    <definedName name="XRefCopy2" localSheetId="8" hidden="1">#REF!</definedName>
    <definedName name="XRefCopy2" localSheetId="10" hidden="1">#REF!</definedName>
    <definedName name="XRefCopy2" localSheetId="9" hidden="1">#REF!</definedName>
    <definedName name="XRefCopy2" hidden="1">#REF!</definedName>
    <definedName name="XRefCopy20" localSheetId="3" hidden="1">[48]A11!#REF!</definedName>
    <definedName name="XRefCopy20" localSheetId="2" hidden="1">[48]A11!#REF!</definedName>
    <definedName name="XRefCopy20" localSheetId="5" hidden="1">[48]A11!#REF!</definedName>
    <definedName name="XRefCopy20" localSheetId="8" hidden="1">[48]A11!#REF!</definedName>
    <definedName name="XRefCopy20" localSheetId="10" hidden="1">[48]A11!#REF!</definedName>
    <definedName name="XRefCopy20" localSheetId="9" hidden="1">[48]A11!#REF!</definedName>
    <definedName name="XRefCopy20" hidden="1">[48]A11!#REF!</definedName>
    <definedName name="XRefCopy20Row" localSheetId="3" hidden="1">[44]XREF!#REF!</definedName>
    <definedName name="XRefCopy20Row" localSheetId="2" hidden="1">[44]XREF!#REF!</definedName>
    <definedName name="XRefCopy20Row" localSheetId="5" hidden="1">[44]XREF!#REF!</definedName>
    <definedName name="XRefCopy20Row" localSheetId="8" hidden="1">[44]XREF!#REF!</definedName>
    <definedName name="XRefCopy20Row" localSheetId="10" hidden="1">[44]XREF!#REF!</definedName>
    <definedName name="XRefCopy20Row" localSheetId="9" hidden="1">[44]XREF!#REF!</definedName>
    <definedName name="XRefCopy20Row" hidden="1">[44]XREF!#REF!</definedName>
    <definedName name="XRefCopy21" localSheetId="3" hidden="1">[48]A11!#REF!</definedName>
    <definedName name="XRefCopy21" localSheetId="2" hidden="1">[48]A11!#REF!</definedName>
    <definedName name="XRefCopy21" localSheetId="5" hidden="1">[48]A11!#REF!</definedName>
    <definedName name="XRefCopy21" localSheetId="8" hidden="1">[48]A11!#REF!</definedName>
    <definedName name="XRefCopy21" localSheetId="10" hidden="1">[48]A11!#REF!</definedName>
    <definedName name="XRefCopy21" localSheetId="9" hidden="1">[48]A11!#REF!</definedName>
    <definedName name="XRefCopy21" hidden="1">[48]A11!#REF!</definedName>
    <definedName name="XRefCopy21Row" localSheetId="3" hidden="1">#REF!</definedName>
    <definedName name="XRefCopy21Row" localSheetId="2" hidden="1">#REF!</definedName>
    <definedName name="XRefCopy21Row" localSheetId="5" hidden="1">#REF!</definedName>
    <definedName name="XRefCopy21Row" localSheetId="8" hidden="1">#REF!</definedName>
    <definedName name="XRefCopy21Row" localSheetId="10" hidden="1">#REF!</definedName>
    <definedName name="XRefCopy21Row" localSheetId="9" hidden="1">#REF!</definedName>
    <definedName name="XRefCopy21Row" hidden="1">#REF!</definedName>
    <definedName name="XRefCopy22" localSheetId="3" hidden="1">#REF!</definedName>
    <definedName name="XRefCopy22" localSheetId="2" hidden="1">#REF!</definedName>
    <definedName name="XRefCopy22" localSheetId="5" hidden="1">#REF!</definedName>
    <definedName name="XRefCopy22" localSheetId="8" hidden="1">#REF!</definedName>
    <definedName name="XRefCopy22" localSheetId="10" hidden="1">#REF!</definedName>
    <definedName name="XRefCopy22" localSheetId="9" hidden="1">#REF!</definedName>
    <definedName name="XRefCopy22" hidden="1">#REF!</definedName>
    <definedName name="XRefCopy22Row" localSheetId="3" hidden="1">#REF!</definedName>
    <definedName name="XRefCopy22Row" localSheetId="2" hidden="1">#REF!</definedName>
    <definedName name="XRefCopy22Row" localSheetId="5" hidden="1">#REF!</definedName>
    <definedName name="XRefCopy22Row" localSheetId="8" hidden="1">#REF!</definedName>
    <definedName name="XRefCopy22Row" localSheetId="10" hidden="1">#REF!</definedName>
    <definedName name="XRefCopy22Row" localSheetId="9" hidden="1">#REF!</definedName>
    <definedName name="XRefCopy22Row" hidden="1">#REF!</definedName>
    <definedName name="XRefCopy23" localSheetId="3" hidden="1">#REF!</definedName>
    <definedName name="XRefCopy23" localSheetId="2" hidden="1">#REF!</definedName>
    <definedName name="XRefCopy23" localSheetId="5" hidden="1">#REF!</definedName>
    <definedName name="XRefCopy23" localSheetId="8" hidden="1">#REF!</definedName>
    <definedName name="XRefCopy23" localSheetId="10" hidden="1">#REF!</definedName>
    <definedName name="XRefCopy23" localSheetId="9" hidden="1">#REF!</definedName>
    <definedName name="XRefCopy23" hidden="1">#REF!</definedName>
    <definedName name="XRefCopy23Row" localSheetId="3" hidden="1">#REF!</definedName>
    <definedName name="XRefCopy23Row" localSheetId="2" hidden="1">#REF!</definedName>
    <definedName name="XRefCopy23Row" localSheetId="5" hidden="1">#REF!</definedName>
    <definedName name="XRefCopy23Row" localSheetId="8" hidden="1">#REF!</definedName>
    <definedName name="XRefCopy23Row" localSheetId="10" hidden="1">#REF!</definedName>
    <definedName name="XRefCopy23Row" localSheetId="9" hidden="1">#REF!</definedName>
    <definedName name="XRefCopy23Row" hidden="1">#REF!</definedName>
    <definedName name="XRefCopy24" localSheetId="3" hidden="1">#REF!</definedName>
    <definedName name="XRefCopy24" localSheetId="2" hidden="1">#REF!</definedName>
    <definedName name="XRefCopy24" localSheetId="5" hidden="1">#REF!</definedName>
    <definedName name="XRefCopy24" localSheetId="8" hidden="1">#REF!</definedName>
    <definedName name="XRefCopy24" localSheetId="10" hidden="1">#REF!</definedName>
    <definedName name="XRefCopy24" localSheetId="9" hidden="1">#REF!</definedName>
    <definedName name="XRefCopy24" hidden="1">#REF!</definedName>
    <definedName name="XRefCopy24Row" localSheetId="3" hidden="1">#REF!</definedName>
    <definedName name="XRefCopy24Row" localSheetId="2" hidden="1">#REF!</definedName>
    <definedName name="XRefCopy24Row" localSheetId="5" hidden="1">#REF!</definedName>
    <definedName name="XRefCopy24Row" localSheetId="8" hidden="1">#REF!</definedName>
    <definedName name="XRefCopy24Row" localSheetId="10" hidden="1">#REF!</definedName>
    <definedName name="XRefCopy24Row" localSheetId="9" hidden="1">#REF!</definedName>
    <definedName name="XRefCopy24Row" hidden="1">#REF!</definedName>
    <definedName name="XRefCopy25" localSheetId="3" hidden="1">#REF!</definedName>
    <definedName name="XRefCopy25" localSheetId="2" hidden="1">#REF!</definedName>
    <definedName name="XRefCopy25" localSheetId="5" hidden="1">#REF!</definedName>
    <definedName name="XRefCopy25" localSheetId="8" hidden="1">#REF!</definedName>
    <definedName name="XRefCopy25" localSheetId="10" hidden="1">#REF!</definedName>
    <definedName name="XRefCopy25" localSheetId="9" hidden="1">#REF!</definedName>
    <definedName name="XRefCopy25" hidden="1">#REF!</definedName>
    <definedName name="XRefCopy25Row" localSheetId="3" hidden="1">#REF!</definedName>
    <definedName name="XRefCopy25Row" localSheetId="2" hidden="1">#REF!</definedName>
    <definedName name="XRefCopy25Row" localSheetId="5" hidden="1">#REF!</definedName>
    <definedName name="XRefCopy25Row" localSheetId="8" hidden="1">#REF!</definedName>
    <definedName name="XRefCopy25Row" localSheetId="10" hidden="1">#REF!</definedName>
    <definedName name="XRefCopy25Row" localSheetId="9" hidden="1">#REF!</definedName>
    <definedName name="XRefCopy25Row" hidden="1">#REF!</definedName>
    <definedName name="XRefCopy26" localSheetId="3" hidden="1">[48]A11!#REF!</definedName>
    <definedName name="XRefCopy26" localSheetId="2" hidden="1">[48]A11!#REF!</definedName>
    <definedName name="XRefCopy26" localSheetId="5" hidden="1">[48]A11!#REF!</definedName>
    <definedName name="XRefCopy26" localSheetId="8" hidden="1">[48]A11!#REF!</definedName>
    <definedName name="XRefCopy26" localSheetId="10" hidden="1">[48]A11!#REF!</definedName>
    <definedName name="XRefCopy26" localSheetId="9" hidden="1">[48]A11!#REF!</definedName>
    <definedName name="XRefCopy26" hidden="1">[48]A11!#REF!</definedName>
    <definedName name="XRefCopy26Row" localSheetId="3" hidden="1">[44]XREF!#REF!</definedName>
    <definedName name="XRefCopy26Row" localSheetId="2" hidden="1">[44]XREF!#REF!</definedName>
    <definedName name="XRefCopy26Row" localSheetId="5" hidden="1">[44]XREF!#REF!</definedName>
    <definedName name="XRefCopy26Row" localSheetId="8" hidden="1">[44]XREF!#REF!</definedName>
    <definedName name="XRefCopy26Row" localSheetId="10" hidden="1">[44]XREF!#REF!</definedName>
    <definedName name="XRefCopy26Row" localSheetId="9" hidden="1">[44]XREF!#REF!</definedName>
    <definedName name="XRefCopy26Row" hidden="1">[44]XREF!#REF!</definedName>
    <definedName name="XRefCopy27" localSheetId="3" hidden="1">#REF!</definedName>
    <definedName name="XRefCopy27" localSheetId="2" hidden="1">#REF!</definedName>
    <definedName name="XRefCopy27" localSheetId="5" hidden="1">#REF!</definedName>
    <definedName name="XRefCopy27" localSheetId="8" hidden="1">#REF!</definedName>
    <definedName name="XRefCopy27" localSheetId="10" hidden="1">#REF!</definedName>
    <definedName name="XRefCopy27" localSheetId="9" hidden="1">#REF!</definedName>
    <definedName name="XRefCopy27" hidden="1">#REF!</definedName>
    <definedName name="XRefCopy27Row" localSheetId="3" hidden="1">#REF!</definedName>
    <definedName name="XRefCopy27Row" localSheetId="2" hidden="1">#REF!</definedName>
    <definedName name="XRefCopy27Row" localSheetId="5" hidden="1">#REF!</definedName>
    <definedName name="XRefCopy27Row" localSheetId="8" hidden="1">#REF!</definedName>
    <definedName name="XRefCopy27Row" localSheetId="10" hidden="1">#REF!</definedName>
    <definedName name="XRefCopy27Row" localSheetId="9" hidden="1">#REF!</definedName>
    <definedName name="XRefCopy27Row" hidden="1">#REF!</definedName>
    <definedName name="XRefCopy28" localSheetId="3" hidden="1">#REF!</definedName>
    <definedName name="XRefCopy28" localSheetId="2" hidden="1">#REF!</definedName>
    <definedName name="XRefCopy28" localSheetId="5" hidden="1">#REF!</definedName>
    <definedName name="XRefCopy28" localSheetId="8" hidden="1">#REF!</definedName>
    <definedName name="XRefCopy28" localSheetId="10" hidden="1">#REF!</definedName>
    <definedName name="XRefCopy28" localSheetId="9" hidden="1">#REF!</definedName>
    <definedName name="XRefCopy28" hidden="1">#REF!</definedName>
    <definedName name="XRefCopy28Row" localSheetId="3" hidden="1">[50]XREF!#REF!</definedName>
    <definedName name="XRefCopy28Row" localSheetId="2" hidden="1">[50]XREF!#REF!</definedName>
    <definedName name="XRefCopy28Row" localSheetId="5" hidden="1">[50]XREF!#REF!</definedName>
    <definedName name="XRefCopy28Row" localSheetId="8" hidden="1">[50]XREF!#REF!</definedName>
    <definedName name="XRefCopy28Row" localSheetId="10" hidden="1">[50]XREF!#REF!</definedName>
    <definedName name="XRefCopy28Row" localSheetId="9" hidden="1">[50]XREF!#REF!</definedName>
    <definedName name="XRefCopy28Row" hidden="1">[50]XREF!#REF!</definedName>
    <definedName name="XRefCopy29" localSheetId="3" hidden="1">#REF!</definedName>
    <definedName name="XRefCopy29" localSheetId="2" hidden="1">#REF!</definedName>
    <definedName name="XRefCopy29" localSheetId="5" hidden="1">#REF!</definedName>
    <definedName name="XRefCopy29" localSheetId="8" hidden="1">#REF!</definedName>
    <definedName name="XRefCopy29" localSheetId="10" hidden="1">#REF!</definedName>
    <definedName name="XRefCopy29" localSheetId="9" hidden="1">#REF!</definedName>
    <definedName name="XRefCopy29" hidden="1">#REF!</definedName>
    <definedName name="XRefCopy29Row" localSheetId="3" hidden="1">#REF!</definedName>
    <definedName name="XRefCopy29Row" localSheetId="2" hidden="1">#REF!</definedName>
    <definedName name="XRefCopy29Row" localSheetId="5" hidden="1">#REF!</definedName>
    <definedName name="XRefCopy29Row" localSheetId="8" hidden="1">#REF!</definedName>
    <definedName name="XRefCopy29Row" localSheetId="10" hidden="1">#REF!</definedName>
    <definedName name="XRefCopy29Row" localSheetId="9" hidden="1">#REF!</definedName>
    <definedName name="XRefCopy29Row" hidden="1">#REF!</definedName>
    <definedName name="XRefCopy2Row" localSheetId="3" hidden="1">[51]XREF!#REF!</definedName>
    <definedName name="XRefCopy2Row" localSheetId="2" hidden="1">[51]XREF!#REF!</definedName>
    <definedName name="XRefCopy2Row" localSheetId="5" hidden="1">[51]XREF!#REF!</definedName>
    <definedName name="XRefCopy2Row" localSheetId="8" hidden="1">[51]XREF!#REF!</definedName>
    <definedName name="XRefCopy2Row" localSheetId="10" hidden="1">[51]XREF!#REF!</definedName>
    <definedName name="XRefCopy2Row" localSheetId="9" hidden="1">[51]XREF!#REF!</definedName>
    <definedName name="XRefCopy2Row" hidden="1">[51]XREF!#REF!</definedName>
    <definedName name="XRefCopy3" localSheetId="3" hidden="1">#REF!</definedName>
    <definedName name="XRefCopy3" localSheetId="2" hidden="1">#REF!</definedName>
    <definedName name="XRefCopy3" localSheetId="5" hidden="1">#REF!</definedName>
    <definedName name="XRefCopy3" localSheetId="8" hidden="1">#REF!</definedName>
    <definedName name="XRefCopy3" localSheetId="10" hidden="1">#REF!</definedName>
    <definedName name="XRefCopy3" localSheetId="9" hidden="1">#REF!</definedName>
    <definedName name="XRefCopy3" hidden="1">#REF!</definedName>
    <definedName name="XRefCopy30" localSheetId="3" hidden="1">#REF!</definedName>
    <definedName name="XRefCopy30" localSheetId="2" hidden="1">#REF!</definedName>
    <definedName name="XRefCopy30" localSheetId="5" hidden="1">#REF!</definedName>
    <definedName name="XRefCopy30" localSheetId="8" hidden="1">#REF!</definedName>
    <definedName name="XRefCopy30" localSheetId="10" hidden="1">#REF!</definedName>
    <definedName name="XRefCopy30" localSheetId="9" hidden="1">#REF!</definedName>
    <definedName name="XRefCopy30" hidden="1">#REF!</definedName>
    <definedName name="XRefCopy30Row" localSheetId="3" hidden="1">#REF!</definedName>
    <definedName name="XRefCopy30Row" localSheetId="2" hidden="1">#REF!</definedName>
    <definedName name="XRefCopy30Row" localSheetId="5" hidden="1">#REF!</definedName>
    <definedName name="XRefCopy30Row" localSheetId="8" hidden="1">#REF!</definedName>
    <definedName name="XRefCopy30Row" localSheetId="10" hidden="1">#REF!</definedName>
    <definedName name="XRefCopy30Row" localSheetId="9" hidden="1">#REF!</definedName>
    <definedName name="XRefCopy30Row" hidden="1">#REF!</definedName>
    <definedName name="XRefCopy31" localSheetId="3" hidden="1">#REF!</definedName>
    <definedName name="XRefCopy31" localSheetId="2" hidden="1">#REF!</definedName>
    <definedName name="XRefCopy31" localSheetId="5" hidden="1">#REF!</definedName>
    <definedName name="XRefCopy31" localSheetId="8" hidden="1">#REF!</definedName>
    <definedName name="XRefCopy31" localSheetId="10" hidden="1">#REF!</definedName>
    <definedName name="XRefCopy31" localSheetId="9" hidden="1">#REF!</definedName>
    <definedName name="XRefCopy31" hidden="1">#REF!</definedName>
    <definedName name="XRefCopy31Row" localSheetId="3" hidden="1">[50]XREF!#REF!</definedName>
    <definedName name="XRefCopy31Row" localSheetId="2" hidden="1">[50]XREF!#REF!</definedName>
    <definedName name="XRefCopy31Row" localSheetId="5" hidden="1">[50]XREF!#REF!</definedName>
    <definedName name="XRefCopy31Row" localSheetId="8" hidden="1">[50]XREF!#REF!</definedName>
    <definedName name="XRefCopy31Row" localSheetId="10" hidden="1">[50]XREF!#REF!</definedName>
    <definedName name="XRefCopy31Row" localSheetId="9" hidden="1">[50]XREF!#REF!</definedName>
    <definedName name="XRefCopy31Row" hidden="1">[50]XREF!#REF!</definedName>
    <definedName name="XRefCopy32" localSheetId="3" hidden="1">#REF!</definedName>
    <definedName name="XRefCopy32" localSheetId="2" hidden="1">#REF!</definedName>
    <definedName name="XRefCopy32" localSheetId="5" hidden="1">#REF!</definedName>
    <definedName name="XRefCopy32" localSheetId="8" hidden="1">#REF!</definedName>
    <definedName name="XRefCopy32" localSheetId="10" hidden="1">#REF!</definedName>
    <definedName name="XRefCopy32" localSheetId="9" hidden="1">#REF!</definedName>
    <definedName name="XRefCopy32" hidden="1">#REF!</definedName>
    <definedName name="XRefCopy32Row" localSheetId="3" hidden="1">[50]XREF!#REF!</definedName>
    <definedName name="XRefCopy32Row" localSheetId="2" hidden="1">[50]XREF!#REF!</definedName>
    <definedName name="XRefCopy32Row" localSheetId="5" hidden="1">[50]XREF!#REF!</definedName>
    <definedName name="XRefCopy32Row" localSheetId="8" hidden="1">[50]XREF!#REF!</definedName>
    <definedName name="XRefCopy32Row" localSheetId="10" hidden="1">[50]XREF!#REF!</definedName>
    <definedName name="XRefCopy32Row" localSheetId="9" hidden="1">[50]XREF!#REF!</definedName>
    <definedName name="XRefCopy32Row" hidden="1">[50]XREF!#REF!</definedName>
    <definedName name="XRefCopy33" localSheetId="3" hidden="1">#REF!</definedName>
    <definedName name="XRefCopy33" localSheetId="2" hidden="1">#REF!</definedName>
    <definedName name="XRefCopy33" localSheetId="5" hidden="1">#REF!</definedName>
    <definedName name="XRefCopy33" localSheetId="8" hidden="1">#REF!</definedName>
    <definedName name="XRefCopy33" localSheetId="10" hidden="1">#REF!</definedName>
    <definedName name="XRefCopy33" localSheetId="9" hidden="1">#REF!</definedName>
    <definedName name="XRefCopy33" hidden="1">#REF!</definedName>
    <definedName name="XRefCopy33Row" localSheetId="3" hidden="1">#REF!</definedName>
    <definedName name="XRefCopy33Row" localSheetId="2" hidden="1">#REF!</definedName>
    <definedName name="XRefCopy33Row" localSheetId="5" hidden="1">#REF!</definedName>
    <definedName name="XRefCopy33Row" localSheetId="8" hidden="1">#REF!</definedName>
    <definedName name="XRefCopy33Row" localSheetId="10" hidden="1">#REF!</definedName>
    <definedName name="XRefCopy33Row" localSheetId="9" hidden="1">#REF!</definedName>
    <definedName name="XRefCopy33Row" hidden="1">#REF!</definedName>
    <definedName name="XRefCopy34" localSheetId="3" hidden="1">#REF!</definedName>
    <definedName name="XRefCopy34" localSheetId="2" hidden="1">#REF!</definedName>
    <definedName name="XRefCopy34" localSheetId="5" hidden="1">#REF!</definedName>
    <definedName name="XRefCopy34" localSheetId="8" hidden="1">#REF!</definedName>
    <definedName name="XRefCopy34" localSheetId="10" hidden="1">#REF!</definedName>
    <definedName name="XRefCopy34" localSheetId="9" hidden="1">#REF!</definedName>
    <definedName name="XRefCopy34" hidden="1">#REF!</definedName>
    <definedName name="XRefCopy34Row" localSheetId="3" hidden="1">#REF!</definedName>
    <definedName name="XRefCopy34Row" localSheetId="2" hidden="1">#REF!</definedName>
    <definedName name="XRefCopy34Row" localSheetId="5" hidden="1">#REF!</definedName>
    <definedName name="XRefCopy34Row" localSheetId="8" hidden="1">#REF!</definedName>
    <definedName name="XRefCopy34Row" localSheetId="10" hidden="1">#REF!</definedName>
    <definedName name="XRefCopy34Row" localSheetId="9" hidden="1">#REF!</definedName>
    <definedName name="XRefCopy34Row" hidden="1">#REF!</definedName>
    <definedName name="XRefCopy35" localSheetId="3" hidden="1">#REF!</definedName>
    <definedName name="XRefCopy35" localSheetId="2" hidden="1">#REF!</definedName>
    <definedName name="XRefCopy35" localSheetId="5" hidden="1">#REF!</definedName>
    <definedName name="XRefCopy35" localSheetId="8" hidden="1">#REF!</definedName>
    <definedName name="XRefCopy35" localSheetId="10" hidden="1">#REF!</definedName>
    <definedName name="XRefCopy35" localSheetId="9" hidden="1">#REF!</definedName>
    <definedName name="XRefCopy35" hidden="1">#REF!</definedName>
    <definedName name="XRefCopy35Row" localSheetId="3" hidden="1">#REF!</definedName>
    <definedName name="XRefCopy35Row" localSheetId="2" hidden="1">#REF!</definedName>
    <definedName name="XRefCopy35Row" localSheetId="5" hidden="1">#REF!</definedName>
    <definedName name="XRefCopy35Row" localSheetId="8" hidden="1">#REF!</definedName>
    <definedName name="XRefCopy35Row" localSheetId="10" hidden="1">#REF!</definedName>
    <definedName name="XRefCopy35Row" localSheetId="9" hidden="1">#REF!</definedName>
    <definedName name="XRefCopy35Row" hidden="1">#REF!</definedName>
    <definedName name="XRefCopy36" localSheetId="3" hidden="1">'[52]{PPC}Mapa de movimentação'!#REF!</definedName>
    <definedName name="XRefCopy36" localSheetId="2" hidden="1">'[52]{PPC}Mapa de movimentação'!#REF!</definedName>
    <definedName name="XRefCopy36" localSheetId="5" hidden="1">'[52]{PPC}Mapa de movimentação'!#REF!</definedName>
    <definedName name="XRefCopy36" localSheetId="8" hidden="1">'[52]{PPC}Mapa de movimentação'!#REF!</definedName>
    <definedName name="XRefCopy36" localSheetId="10" hidden="1">'[52]{PPC}Mapa de movimentação'!#REF!</definedName>
    <definedName name="XRefCopy36" localSheetId="9" hidden="1">'[52]{PPC}Mapa de movimentação'!#REF!</definedName>
    <definedName name="XRefCopy36" hidden="1">'[52]{PPC}Mapa de movimentação'!#REF!</definedName>
    <definedName name="XRefCopy36Row" localSheetId="3" hidden="1">[50]XREF!#REF!</definedName>
    <definedName name="XRefCopy36Row" localSheetId="2" hidden="1">[50]XREF!#REF!</definedName>
    <definedName name="XRefCopy36Row" localSheetId="5" hidden="1">[50]XREF!#REF!</definedName>
    <definedName name="XRefCopy36Row" localSheetId="8" hidden="1">[50]XREF!#REF!</definedName>
    <definedName name="XRefCopy36Row" localSheetId="10" hidden="1">[50]XREF!#REF!</definedName>
    <definedName name="XRefCopy36Row" localSheetId="9" hidden="1">[50]XREF!#REF!</definedName>
    <definedName name="XRefCopy36Row" hidden="1">[50]XREF!#REF!</definedName>
    <definedName name="XRefCopy37" localSheetId="3" hidden="1">#REF!</definedName>
    <definedName name="XRefCopy37" localSheetId="2" hidden="1">#REF!</definedName>
    <definedName name="XRefCopy37" localSheetId="5" hidden="1">#REF!</definedName>
    <definedName name="XRefCopy37" localSheetId="8" hidden="1">#REF!</definedName>
    <definedName name="XRefCopy37" localSheetId="10" hidden="1">#REF!</definedName>
    <definedName name="XRefCopy37" localSheetId="9" hidden="1">#REF!</definedName>
    <definedName name="XRefCopy37" hidden="1">#REF!</definedName>
    <definedName name="XRefCopy37Row" localSheetId="3" hidden="1">[50]XREF!#REF!</definedName>
    <definedName name="XRefCopy37Row" localSheetId="2" hidden="1">[50]XREF!#REF!</definedName>
    <definedName name="XRefCopy37Row" localSheetId="5" hidden="1">[50]XREF!#REF!</definedName>
    <definedName name="XRefCopy37Row" localSheetId="8" hidden="1">[50]XREF!#REF!</definedName>
    <definedName name="XRefCopy37Row" localSheetId="10" hidden="1">[50]XREF!#REF!</definedName>
    <definedName name="XRefCopy37Row" localSheetId="9" hidden="1">[50]XREF!#REF!</definedName>
    <definedName name="XRefCopy37Row" hidden="1">[50]XREF!#REF!</definedName>
    <definedName name="XRefCopy38" localSheetId="3" hidden="1">#REF!</definedName>
    <definedName name="XRefCopy38" localSheetId="2" hidden="1">#REF!</definedName>
    <definedName name="XRefCopy38" localSheetId="5" hidden="1">#REF!</definedName>
    <definedName name="XRefCopy38" localSheetId="8" hidden="1">#REF!</definedName>
    <definedName name="XRefCopy38" localSheetId="10" hidden="1">#REF!</definedName>
    <definedName name="XRefCopy38" localSheetId="9" hidden="1">#REF!</definedName>
    <definedName name="XRefCopy38" hidden="1">#REF!</definedName>
    <definedName name="XRefCopy38Row" localSheetId="3" hidden="1">#REF!</definedName>
    <definedName name="XRefCopy38Row" localSheetId="2" hidden="1">#REF!</definedName>
    <definedName name="XRefCopy38Row" localSheetId="5" hidden="1">#REF!</definedName>
    <definedName name="XRefCopy38Row" localSheetId="8" hidden="1">#REF!</definedName>
    <definedName name="XRefCopy38Row" localSheetId="10" hidden="1">#REF!</definedName>
    <definedName name="XRefCopy38Row" localSheetId="9" hidden="1">#REF!</definedName>
    <definedName name="XRefCopy38Row" hidden="1">#REF!</definedName>
    <definedName name="XRefCopy39" localSheetId="3" hidden="1">#REF!</definedName>
    <definedName name="XRefCopy39" localSheetId="2" hidden="1">#REF!</definedName>
    <definedName name="XRefCopy39" localSheetId="5" hidden="1">#REF!</definedName>
    <definedName name="XRefCopy39" localSheetId="8" hidden="1">#REF!</definedName>
    <definedName name="XRefCopy39" localSheetId="10" hidden="1">#REF!</definedName>
    <definedName name="XRefCopy39" localSheetId="9" hidden="1">#REF!</definedName>
    <definedName name="XRefCopy39" hidden="1">#REF!</definedName>
    <definedName name="XRefCopy39Row" localSheetId="3" hidden="1">#REF!</definedName>
    <definedName name="XRefCopy39Row" localSheetId="2" hidden="1">#REF!</definedName>
    <definedName name="XRefCopy39Row" localSheetId="5" hidden="1">#REF!</definedName>
    <definedName name="XRefCopy39Row" localSheetId="8" hidden="1">#REF!</definedName>
    <definedName name="XRefCopy39Row" localSheetId="10" hidden="1">#REF!</definedName>
    <definedName name="XRefCopy39Row" localSheetId="9" hidden="1">#REF!</definedName>
    <definedName name="XRefCopy39Row" hidden="1">#REF!</definedName>
    <definedName name="XRefCopy3Row" localSheetId="3" hidden="1">[26]XREF!#REF!</definedName>
    <definedName name="XRefCopy3Row" localSheetId="2" hidden="1">[26]XREF!#REF!</definedName>
    <definedName name="XRefCopy3Row" localSheetId="5" hidden="1">[26]XREF!#REF!</definedName>
    <definedName name="XRefCopy3Row" localSheetId="8" hidden="1">[26]XREF!#REF!</definedName>
    <definedName name="XRefCopy3Row" localSheetId="10" hidden="1">[26]XREF!#REF!</definedName>
    <definedName name="XRefCopy3Row" localSheetId="9" hidden="1">[26]XREF!#REF!</definedName>
    <definedName name="XRefCopy3Row" hidden="1">[26]XREF!#REF!</definedName>
    <definedName name="XRefCopy4" localSheetId="3" hidden="1">#REF!</definedName>
    <definedName name="XRefCopy4" localSheetId="2" hidden="1">#REF!</definedName>
    <definedName name="XRefCopy4" localSheetId="5" hidden="1">#REF!</definedName>
    <definedName name="XRefCopy4" localSheetId="8" hidden="1">#REF!</definedName>
    <definedName name="XRefCopy4" localSheetId="10" hidden="1">#REF!</definedName>
    <definedName name="XRefCopy4" localSheetId="9" hidden="1">#REF!</definedName>
    <definedName name="XRefCopy4" hidden="1">#REF!</definedName>
    <definedName name="XRefCopy40" localSheetId="3" hidden="1">#REF!</definedName>
    <definedName name="XRefCopy40" localSheetId="2" hidden="1">#REF!</definedName>
    <definedName name="XRefCopy40" localSheetId="5" hidden="1">#REF!</definedName>
    <definedName name="XRefCopy40" localSheetId="8" hidden="1">#REF!</definedName>
    <definedName name="XRefCopy40" localSheetId="10" hidden="1">#REF!</definedName>
    <definedName name="XRefCopy40" localSheetId="9" hidden="1">#REF!</definedName>
    <definedName name="XRefCopy40" hidden="1">#REF!</definedName>
    <definedName name="XRefCopy40Row" localSheetId="3" hidden="1">#REF!</definedName>
    <definedName name="XRefCopy40Row" localSheetId="2" hidden="1">#REF!</definedName>
    <definedName name="XRefCopy40Row" localSheetId="5" hidden="1">#REF!</definedName>
    <definedName name="XRefCopy40Row" localSheetId="8" hidden="1">#REF!</definedName>
    <definedName name="XRefCopy40Row" localSheetId="10" hidden="1">#REF!</definedName>
    <definedName name="XRefCopy40Row" localSheetId="9" hidden="1">#REF!</definedName>
    <definedName name="XRefCopy40Row" hidden="1">#REF!</definedName>
    <definedName name="XRefCopy41" localSheetId="3" hidden="1">#REF!</definedName>
    <definedName name="XRefCopy41" localSheetId="2" hidden="1">#REF!</definedName>
    <definedName name="XRefCopy41" localSheetId="5" hidden="1">#REF!</definedName>
    <definedName name="XRefCopy41" localSheetId="8" hidden="1">#REF!</definedName>
    <definedName name="XRefCopy41" localSheetId="10" hidden="1">#REF!</definedName>
    <definedName name="XRefCopy41" localSheetId="9" hidden="1">#REF!</definedName>
    <definedName name="XRefCopy41" hidden="1">#REF!</definedName>
    <definedName name="XRefCopy41Row" localSheetId="3" hidden="1">#REF!</definedName>
    <definedName name="XRefCopy41Row" localSheetId="2" hidden="1">#REF!</definedName>
    <definedName name="XRefCopy41Row" localSheetId="5" hidden="1">#REF!</definedName>
    <definedName name="XRefCopy41Row" localSheetId="8" hidden="1">#REF!</definedName>
    <definedName name="XRefCopy41Row" localSheetId="10" hidden="1">#REF!</definedName>
    <definedName name="XRefCopy41Row" localSheetId="9" hidden="1">#REF!</definedName>
    <definedName name="XRefCopy41Row" hidden="1">#REF!</definedName>
    <definedName name="XRefCopy42" localSheetId="3" hidden="1">#REF!</definedName>
    <definedName name="XRefCopy42" localSheetId="2" hidden="1">#REF!</definedName>
    <definedName name="XRefCopy42" localSheetId="5" hidden="1">#REF!</definedName>
    <definedName name="XRefCopy42" localSheetId="8" hidden="1">#REF!</definedName>
    <definedName name="XRefCopy42" localSheetId="10" hidden="1">#REF!</definedName>
    <definedName name="XRefCopy42" localSheetId="9" hidden="1">#REF!</definedName>
    <definedName name="XRefCopy42" hidden="1">#REF!</definedName>
    <definedName name="XRefCopy42Row" localSheetId="3" hidden="1">[53]XREF!#REF!</definedName>
    <definedName name="XRefCopy42Row" localSheetId="2" hidden="1">[53]XREF!#REF!</definedName>
    <definedName name="XRefCopy42Row" localSheetId="5" hidden="1">[53]XREF!#REF!</definedName>
    <definedName name="XRefCopy42Row" localSheetId="8" hidden="1">[53]XREF!#REF!</definedName>
    <definedName name="XRefCopy42Row" localSheetId="10" hidden="1">[53]XREF!#REF!</definedName>
    <definedName name="XRefCopy42Row" localSheetId="9" hidden="1">[53]XREF!#REF!</definedName>
    <definedName name="XRefCopy42Row" hidden="1">[53]XREF!#REF!</definedName>
    <definedName name="XRefCopy43" localSheetId="3" hidden="1">#REF!</definedName>
    <definedName name="XRefCopy43" localSheetId="2" hidden="1">#REF!</definedName>
    <definedName name="XRefCopy43" localSheetId="5" hidden="1">#REF!</definedName>
    <definedName name="XRefCopy43" localSheetId="8" hidden="1">#REF!</definedName>
    <definedName name="XRefCopy43" localSheetId="10" hidden="1">#REF!</definedName>
    <definedName name="XRefCopy43" localSheetId="9" hidden="1">#REF!</definedName>
    <definedName name="XRefCopy43" hidden="1">#REF!</definedName>
    <definedName name="XRefCopy43Row" localSheetId="3" hidden="1">[50]XREF!#REF!</definedName>
    <definedName name="XRefCopy43Row" localSheetId="2" hidden="1">[50]XREF!#REF!</definedName>
    <definedName name="XRefCopy43Row" localSheetId="5" hidden="1">[50]XREF!#REF!</definedName>
    <definedName name="XRefCopy43Row" localSheetId="8" hidden="1">[50]XREF!#REF!</definedName>
    <definedName name="XRefCopy43Row" localSheetId="10" hidden="1">[50]XREF!#REF!</definedName>
    <definedName name="XRefCopy43Row" localSheetId="9" hidden="1">[50]XREF!#REF!</definedName>
    <definedName name="XRefCopy43Row" hidden="1">[50]XREF!#REF!</definedName>
    <definedName name="XRefCopy44" localSheetId="3" hidden="1">#REF!</definedName>
    <definedName name="XRefCopy44" localSheetId="2" hidden="1">#REF!</definedName>
    <definedName name="XRefCopy44" localSheetId="5" hidden="1">#REF!</definedName>
    <definedName name="XRefCopy44" localSheetId="8" hidden="1">#REF!</definedName>
    <definedName name="XRefCopy44" localSheetId="10" hidden="1">#REF!</definedName>
    <definedName name="XRefCopy44" localSheetId="9" hidden="1">#REF!</definedName>
    <definedName name="XRefCopy44" hidden="1">#REF!</definedName>
    <definedName name="XRefCopy44Row" localSheetId="3" hidden="1">#REF!</definedName>
    <definedName name="XRefCopy44Row" localSheetId="2" hidden="1">#REF!</definedName>
    <definedName name="XRefCopy44Row" localSheetId="5" hidden="1">#REF!</definedName>
    <definedName name="XRefCopy44Row" localSheetId="8" hidden="1">#REF!</definedName>
    <definedName name="XRefCopy44Row" localSheetId="10" hidden="1">#REF!</definedName>
    <definedName name="XRefCopy44Row" localSheetId="9" hidden="1">#REF!</definedName>
    <definedName name="XRefCopy44Row" hidden="1">#REF!</definedName>
    <definedName name="XRefCopy45" localSheetId="3" hidden="1">[54]Lead!#REF!</definedName>
    <definedName name="XRefCopy45" localSheetId="2" hidden="1">[54]Lead!#REF!</definedName>
    <definedName name="XRefCopy45" localSheetId="5" hidden="1">[54]Lead!#REF!</definedName>
    <definedName name="XRefCopy45" localSheetId="8" hidden="1">[54]Lead!#REF!</definedName>
    <definedName name="XRefCopy45" localSheetId="10" hidden="1">[54]Lead!#REF!</definedName>
    <definedName name="XRefCopy45" localSheetId="9" hidden="1">[54]Lead!#REF!</definedName>
    <definedName name="XRefCopy45" hidden="1">[54]Lead!#REF!</definedName>
    <definedName name="XRefCopy45Row" localSheetId="3" hidden="1">#REF!</definedName>
    <definedName name="XRefCopy45Row" localSheetId="2" hidden="1">#REF!</definedName>
    <definedName name="XRefCopy45Row" localSheetId="5" hidden="1">#REF!</definedName>
    <definedName name="XRefCopy45Row" localSheetId="8" hidden="1">#REF!</definedName>
    <definedName name="XRefCopy45Row" localSheetId="10" hidden="1">#REF!</definedName>
    <definedName name="XRefCopy45Row" localSheetId="9" hidden="1">#REF!</definedName>
    <definedName name="XRefCopy45Row" hidden="1">#REF!</definedName>
    <definedName name="XRefCopy46" localSheetId="3" hidden="1">#REF!</definedName>
    <definedName name="XRefCopy46" localSheetId="2" hidden="1">#REF!</definedName>
    <definedName name="XRefCopy46" localSheetId="5" hidden="1">#REF!</definedName>
    <definedName name="XRefCopy46" localSheetId="8" hidden="1">#REF!</definedName>
    <definedName name="XRefCopy46" localSheetId="10" hidden="1">#REF!</definedName>
    <definedName name="XRefCopy46" localSheetId="9" hidden="1">#REF!</definedName>
    <definedName name="XRefCopy46" hidden="1">#REF!</definedName>
    <definedName name="XRefCopy46Row" localSheetId="3" hidden="1">#REF!</definedName>
    <definedName name="XRefCopy46Row" localSheetId="2" hidden="1">#REF!</definedName>
    <definedName name="XRefCopy46Row" localSheetId="5" hidden="1">#REF!</definedName>
    <definedName name="XRefCopy46Row" localSheetId="8" hidden="1">#REF!</definedName>
    <definedName name="XRefCopy46Row" localSheetId="10" hidden="1">#REF!</definedName>
    <definedName name="XRefCopy46Row" localSheetId="9" hidden="1">#REF!</definedName>
    <definedName name="XRefCopy46Row" hidden="1">#REF!</definedName>
    <definedName name="XRefCopy47" localSheetId="3" hidden="1">#REF!</definedName>
    <definedName name="XRefCopy47" localSheetId="2" hidden="1">#REF!</definedName>
    <definedName name="XRefCopy47" localSheetId="5" hidden="1">#REF!</definedName>
    <definedName name="XRefCopy47" localSheetId="8" hidden="1">#REF!</definedName>
    <definedName name="XRefCopy47" localSheetId="10" hidden="1">#REF!</definedName>
    <definedName name="XRefCopy47" localSheetId="9" hidden="1">#REF!</definedName>
    <definedName name="XRefCopy47" hidden="1">#REF!</definedName>
    <definedName name="XRefCopy47Row" localSheetId="3" hidden="1">#REF!</definedName>
    <definedName name="XRefCopy47Row" localSheetId="2" hidden="1">#REF!</definedName>
    <definedName name="XRefCopy47Row" localSheetId="5" hidden="1">#REF!</definedName>
    <definedName name="XRefCopy47Row" localSheetId="8" hidden="1">#REF!</definedName>
    <definedName name="XRefCopy47Row" localSheetId="10" hidden="1">#REF!</definedName>
    <definedName name="XRefCopy47Row" localSheetId="9" hidden="1">#REF!</definedName>
    <definedName name="XRefCopy47Row" hidden="1">#REF!</definedName>
    <definedName name="XRefCopy48" localSheetId="3" hidden="1">#REF!</definedName>
    <definedName name="XRefCopy48" localSheetId="2" hidden="1">#REF!</definedName>
    <definedName name="XRefCopy48" localSheetId="5" hidden="1">#REF!</definedName>
    <definedName name="XRefCopy48" localSheetId="8" hidden="1">#REF!</definedName>
    <definedName name="XRefCopy48" localSheetId="10" hidden="1">#REF!</definedName>
    <definedName name="XRefCopy48" localSheetId="9" hidden="1">#REF!</definedName>
    <definedName name="XRefCopy48" hidden="1">#REF!</definedName>
    <definedName name="XRefCopy48Row" localSheetId="3" hidden="1">#REF!</definedName>
    <definedName name="XRefCopy48Row" localSheetId="2" hidden="1">#REF!</definedName>
    <definedName name="XRefCopy48Row" localSheetId="5" hidden="1">#REF!</definedName>
    <definedName name="XRefCopy48Row" localSheetId="8" hidden="1">#REF!</definedName>
    <definedName name="XRefCopy48Row" localSheetId="10" hidden="1">#REF!</definedName>
    <definedName name="XRefCopy48Row" localSheetId="9" hidden="1">#REF!</definedName>
    <definedName name="XRefCopy48Row" hidden="1">#REF!</definedName>
    <definedName name="XRefCopy49" localSheetId="3" hidden="1">[54]Lead!#REF!</definedName>
    <definedName name="XRefCopy49" localSheetId="2" hidden="1">[54]Lead!#REF!</definedName>
    <definedName name="XRefCopy49" localSheetId="5" hidden="1">[54]Lead!#REF!</definedName>
    <definedName name="XRefCopy49" localSheetId="8" hidden="1">[54]Lead!#REF!</definedName>
    <definedName name="XRefCopy49" localSheetId="10" hidden="1">[54]Lead!#REF!</definedName>
    <definedName name="XRefCopy49" localSheetId="9" hidden="1">[54]Lead!#REF!</definedName>
    <definedName name="XRefCopy49" hidden="1">[54]Lead!#REF!</definedName>
    <definedName name="XRefCopy49Row" localSheetId="3" hidden="1">#REF!</definedName>
    <definedName name="XRefCopy49Row" localSheetId="2" hidden="1">#REF!</definedName>
    <definedName name="XRefCopy49Row" localSheetId="5" hidden="1">#REF!</definedName>
    <definedName name="XRefCopy49Row" localSheetId="8" hidden="1">#REF!</definedName>
    <definedName name="XRefCopy49Row" localSheetId="10" hidden="1">#REF!</definedName>
    <definedName name="XRefCopy49Row" localSheetId="9" hidden="1">#REF!</definedName>
    <definedName name="XRefCopy49Row" hidden="1">#REF!</definedName>
    <definedName name="XRefCopy4Row" localSheetId="3" hidden="1">#REF!</definedName>
    <definedName name="XRefCopy4Row" localSheetId="2" hidden="1">#REF!</definedName>
    <definedName name="XRefCopy4Row" localSheetId="5" hidden="1">#REF!</definedName>
    <definedName name="XRefCopy4Row" localSheetId="8" hidden="1">#REF!</definedName>
    <definedName name="XRefCopy4Row" localSheetId="10" hidden="1">#REF!</definedName>
    <definedName name="XRefCopy4Row" localSheetId="9" hidden="1">#REF!</definedName>
    <definedName name="XRefCopy4Row" hidden="1">#REF!</definedName>
    <definedName name="XRefCopy5" localSheetId="3" hidden="1">#REF!</definedName>
    <definedName name="XRefCopy5" localSheetId="2" hidden="1">#REF!</definedName>
    <definedName name="XRefCopy5" localSheetId="5" hidden="1">#REF!</definedName>
    <definedName name="XRefCopy5" localSheetId="8" hidden="1">#REF!</definedName>
    <definedName name="XRefCopy5" localSheetId="10" hidden="1">#REF!</definedName>
    <definedName name="XRefCopy5" localSheetId="9" hidden="1">#REF!</definedName>
    <definedName name="XRefCopy5" hidden="1">#REF!</definedName>
    <definedName name="XRefCopy50" localSheetId="3" hidden="1">#REF!</definedName>
    <definedName name="XRefCopy50" localSheetId="2" hidden="1">#REF!</definedName>
    <definedName name="XRefCopy50" localSheetId="5" hidden="1">#REF!</definedName>
    <definedName name="XRefCopy50" localSheetId="8" hidden="1">#REF!</definedName>
    <definedName name="XRefCopy50" localSheetId="10" hidden="1">#REF!</definedName>
    <definedName name="XRefCopy50" localSheetId="9" hidden="1">#REF!</definedName>
    <definedName name="XRefCopy50" hidden="1">#REF!</definedName>
    <definedName name="XRefCopy50Row" localSheetId="3" hidden="1">#REF!</definedName>
    <definedName name="XRefCopy50Row" localSheetId="2" hidden="1">#REF!</definedName>
    <definedName name="XRefCopy50Row" localSheetId="5" hidden="1">#REF!</definedName>
    <definedName name="XRefCopy50Row" localSheetId="8" hidden="1">#REF!</definedName>
    <definedName name="XRefCopy50Row" localSheetId="10" hidden="1">#REF!</definedName>
    <definedName name="XRefCopy50Row" localSheetId="9" hidden="1">#REF!</definedName>
    <definedName name="XRefCopy50Row" hidden="1">#REF!</definedName>
    <definedName name="XRefCopy51" localSheetId="3" hidden="1">#REF!</definedName>
    <definedName name="XRefCopy51" localSheetId="2" hidden="1">#REF!</definedName>
    <definedName name="XRefCopy51" localSheetId="5" hidden="1">#REF!</definedName>
    <definedName name="XRefCopy51" localSheetId="8" hidden="1">#REF!</definedName>
    <definedName name="XRefCopy51" localSheetId="10" hidden="1">#REF!</definedName>
    <definedName name="XRefCopy51" localSheetId="9" hidden="1">#REF!</definedName>
    <definedName name="XRefCopy51" hidden="1">#REF!</definedName>
    <definedName name="XRefCopy51Row" localSheetId="3" hidden="1">#REF!</definedName>
    <definedName name="XRefCopy51Row" localSheetId="2" hidden="1">#REF!</definedName>
    <definedName name="XRefCopy51Row" localSheetId="5" hidden="1">#REF!</definedName>
    <definedName name="XRefCopy51Row" localSheetId="8" hidden="1">#REF!</definedName>
    <definedName name="XRefCopy51Row" localSheetId="10" hidden="1">#REF!</definedName>
    <definedName name="XRefCopy51Row" localSheetId="9" hidden="1">#REF!</definedName>
    <definedName name="XRefCopy51Row" hidden="1">#REF!</definedName>
    <definedName name="XRefCopy52" localSheetId="3" hidden="1">#REF!</definedName>
    <definedName name="XRefCopy52" localSheetId="2" hidden="1">#REF!</definedName>
    <definedName name="XRefCopy52" localSheetId="5" hidden="1">#REF!</definedName>
    <definedName name="XRefCopy52" localSheetId="8" hidden="1">#REF!</definedName>
    <definedName name="XRefCopy52" localSheetId="10" hidden="1">#REF!</definedName>
    <definedName name="XRefCopy52" localSheetId="9" hidden="1">#REF!</definedName>
    <definedName name="XRefCopy52" hidden="1">#REF!</definedName>
    <definedName name="XRefCopy52Row" localSheetId="3" hidden="1">[55]XREF!#REF!</definedName>
    <definedName name="XRefCopy52Row" localSheetId="2" hidden="1">[55]XREF!#REF!</definedName>
    <definedName name="XRefCopy52Row" localSheetId="5" hidden="1">[55]XREF!#REF!</definedName>
    <definedName name="XRefCopy52Row" localSheetId="8" hidden="1">[55]XREF!#REF!</definedName>
    <definedName name="XRefCopy52Row" localSheetId="10" hidden="1">[55]XREF!#REF!</definedName>
    <definedName name="XRefCopy52Row" localSheetId="9" hidden="1">[55]XREF!#REF!</definedName>
    <definedName name="XRefCopy52Row" hidden="1">[55]XREF!#REF!</definedName>
    <definedName name="XRefCopy53" localSheetId="3" hidden="1">#REF!</definedName>
    <definedName name="XRefCopy53" localSheetId="2" hidden="1">#REF!</definedName>
    <definedName name="XRefCopy53" localSheetId="5" hidden="1">#REF!</definedName>
    <definedName name="XRefCopy53" localSheetId="8" hidden="1">#REF!</definedName>
    <definedName name="XRefCopy53" localSheetId="10" hidden="1">#REF!</definedName>
    <definedName name="XRefCopy53" localSheetId="9" hidden="1">#REF!</definedName>
    <definedName name="XRefCopy53" hidden="1">#REF!</definedName>
    <definedName name="XRefCopy53Row" localSheetId="3" hidden="1">[55]XREF!#REF!</definedName>
    <definedName name="XRefCopy53Row" localSheetId="2" hidden="1">[55]XREF!#REF!</definedName>
    <definedName name="XRefCopy53Row" localSheetId="5" hidden="1">[55]XREF!#REF!</definedName>
    <definedName name="XRefCopy53Row" localSheetId="8" hidden="1">[55]XREF!#REF!</definedName>
    <definedName name="XRefCopy53Row" localSheetId="10" hidden="1">[55]XREF!#REF!</definedName>
    <definedName name="XRefCopy53Row" localSheetId="9" hidden="1">[55]XREF!#REF!</definedName>
    <definedName name="XRefCopy53Row" hidden="1">[55]XREF!#REF!</definedName>
    <definedName name="XRefCopy54" localSheetId="3" hidden="1">#REF!</definedName>
    <definedName name="XRefCopy54" localSheetId="2" hidden="1">#REF!</definedName>
    <definedName name="XRefCopy54" localSheetId="5" hidden="1">#REF!</definedName>
    <definedName name="XRefCopy54" localSheetId="8" hidden="1">#REF!</definedName>
    <definedName name="XRefCopy54" localSheetId="10" hidden="1">#REF!</definedName>
    <definedName name="XRefCopy54" localSheetId="9" hidden="1">#REF!</definedName>
    <definedName name="XRefCopy54" hidden="1">#REF!</definedName>
    <definedName name="XRefCopy54Row" localSheetId="3" hidden="1">[55]XREF!#REF!</definedName>
    <definedName name="XRefCopy54Row" localSheetId="2" hidden="1">[55]XREF!#REF!</definedName>
    <definedName name="XRefCopy54Row" localSheetId="5" hidden="1">[55]XREF!#REF!</definedName>
    <definedName name="XRefCopy54Row" localSheetId="8" hidden="1">[55]XREF!#REF!</definedName>
    <definedName name="XRefCopy54Row" localSheetId="10" hidden="1">[55]XREF!#REF!</definedName>
    <definedName name="XRefCopy54Row" localSheetId="9" hidden="1">[55]XREF!#REF!</definedName>
    <definedName name="XRefCopy54Row" hidden="1">[55]XREF!#REF!</definedName>
    <definedName name="XRefCopy55" localSheetId="3" hidden="1">[49]Assfin!#REF!</definedName>
    <definedName name="XRefCopy55" localSheetId="2" hidden="1">[49]Assfin!#REF!</definedName>
    <definedName name="XRefCopy55" localSheetId="5" hidden="1">[49]Assfin!#REF!</definedName>
    <definedName name="XRefCopy55" localSheetId="8" hidden="1">[49]Assfin!#REF!</definedName>
    <definedName name="XRefCopy55" localSheetId="10" hidden="1">[49]Assfin!#REF!</definedName>
    <definedName name="XRefCopy55" localSheetId="9" hidden="1">[49]Assfin!#REF!</definedName>
    <definedName name="XRefCopy55" hidden="1">[49]Assfin!#REF!</definedName>
    <definedName name="XRefCopy55Row" localSheetId="3" hidden="1">[55]XREF!#REF!</definedName>
    <definedName name="XRefCopy55Row" localSheetId="2" hidden="1">[55]XREF!#REF!</definedName>
    <definedName name="XRefCopy55Row" localSheetId="5" hidden="1">[55]XREF!#REF!</definedName>
    <definedName name="XRefCopy55Row" localSheetId="8" hidden="1">[55]XREF!#REF!</definedName>
    <definedName name="XRefCopy55Row" localSheetId="10" hidden="1">[55]XREF!#REF!</definedName>
    <definedName name="XRefCopy55Row" localSheetId="9" hidden="1">[55]XREF!#REF!</definedName>
    <definedName name="XRefCopy55Row" hidden="1">[55]XREF!#REF!</definedName>
    <definedName name="XRefCopy56" localSheetId="3" hidden="1">#REF!</definedName>
    <definedName name="XRefCopy56" localSheetId="2" hidden="1">#REF!</definedName>
    <definedName name="XRefCopy56" localSheetId="5" hidden="1">#REF!</definedName>
    <definedName name="XRefCopy56" localSheetId="8" hidden="1">#REF!</definedName>
    <definedName name="XRefCopy56" localSheetId="10" hidden="1">#REF!</definedName>
    <definedName name="XRefCopy56" localSheetId="9" hidden="1">#REF!</definedName>
    <definedName name="XRefCopy56" hidden="1">#REF!</definedName>
    <definedName name="XRefCopy56Row" localSheetId="3" hidden="1">#REF!</definedName>
    <definedName name="XRefCopy56Row" localSheetId="2" hidden="1">#REF!</definedName>
    <definedName name="XRefCopy56Row" localSheetId="5" hidden="1">#REF!</definedName>
    <definedName name="XRefCopy56Row" localSheetId="8" hidden="1">#REF!</definedName>
    <definedName name="XRefCopy56Row" localSheetId="10" hidden="1">#REF!</definedName>
    <definedName name="XRefCopy56Row" localSheetId="9" hidden="1">#REF!</definedName>
    <definedName name="XRefCopy56Row" hidden="1">#REF!</definedName>
    <definedName name="XRefCopy57" localSheetId="3" hidden="1">#REF!</definedName>
    <definedName name="XRefCopy57" localSheetId="2" hidden="1">#REF!</definedName>
    <definedName name="XRefCopy57" localSheetId="5" hidden="1">#REF!</definedName>
    <definedName name="XRefCopy57" localSheetId="8" hidden="1">#REF!</definedName>
    <definedName name="XRefCopy57" localSheetId="10" hidden="1">#REF!</definedName>
    <definedName name="XRefCopy57" localSheetId="9" hidden="1">#REF!</definedName>
    <definedName name="XRefCopy57" hidden="1">#REF!</definedName>
    <definedName name="XRefCopy57Row" localSheetId="3" hidden="1">#REF!</definedName>
    <definedName name="XRefCopy57Row" localSheetId="2" hidden="1">#REF!</definedName>
    <definedName name="XRefCopy57Row" localSheetId="5" hidden="1">#REF!</definedName>
    <definedName name="XRefCopy57Row" localSheetId="8" hidden="1">#REF!</definedName>
    <definedName name="XRefCopy57Row" localSheetId="10" hidden="1">#REF!</definedName>
    <definedName name="XRefCopy57Row" localSheetId="9" hidden="1">#REF!</definedName>
    <definedName name="XRefCopy57Row" hidden="1">#REF!</definedName>
    <definedName name="XRefCopy58" localSheetId="3" hidden="1">[54]Lead!#REF!</definedName>
    <definedName name="XRefCopy58" localSheetId="2" hidden="1">[54]Lead!#REF!</definedName>
    <definedName name="XRefCopy58" localSheetId="5" hidden="1">[54]Lead!#REF!</definedName>
    <definedName name="XRefCopy58" localSheetId="8" hidden="1">[54]Lead!#REF!</definedName>
    <definedName name="XRefCopy58" localSheetId="10" hidden="1">[54]Lead!#REF!</definedName>
    <definedName name="XRefCopy58" localSheetId="9" hidden="1">[54]Lead!#REF!</definedName>
    <definedName name="XRefCopy58" hidden="1">[54]Lead!#REF!</definedName>
    <definedName name="XRefCopy58Row" localSheetId="3" hidden="1">[55]XREF!#REF!</definedName>
    <definedName name="XRefCopy58Row" localSheetId="2" hidden="1">[55]XREF!#REF!</definedName>
    <definedName name="XRefCopy58Row" localSheetId="5" hidden="1">[55]XREF!#REF!</definedName>
    <definedName name="XRefCopy58Row" localSheetId="8" hidden="1">[55]XREF!#REF!</definedName>
    <definedName name="XRefCopy58Row" localSheetId="10" hidden="1">[55]XREF!#REF!</definedName>
    <definedName name="XRefCopy58Row" localSheetId="9" hidden="1">[55]XREF!#REF!</definedName>
    <definedName name="XRefCopy58Row" hidden="1">[55]XREF!#REF!</definedName>
    <definedName name="XRefCopy59" localSheetId="3" hidden="1">#REF!</definedName>
    <definedName name="XRefCopy59" localSheetId="2" hidden="1">#REF!</definedName>
    <definedName name="XRefCopy59" localSheetId="5" hidden="1">#REF!</definedName>
    <definedName name="XRefCopy59" localSheetId="8" hidden="1">#REF!</definedName>
    <definedName name="XRefCopy59" localSheetId="10" hidden="1">#REF!</definedName>
    <definedName name="XRefCopy59" localSheetId="9" hidden="1">#REF!</definedName>
    <definedName name="XRefCopy59" hidden="1">#REF!</definedName>
    <definedName name="XRefCopy59Row" localSheetId="3" hidden="1">#REF!</definedName>
    <definedName name="XRefCopy59Row" localSheetId="2" hidden="1">#REF!</definedName>
    <definedName name="XRefCopy59Row" localSheetId="5" hidden="1">#REF!</definedName>
    <definedName name="XRefCopy59Row" localSheetId="8" hidden="1">#REF!</definedName>
    <definedName name="XRefCopy59Row" localSheetId="10" hidden="1">#REF!</definedName>
    <definedName name="XRefCopy59Row" localSheetId="9" hidden="1">#REF!</definedName>
    <definedName name="XRefCopy59Row" hidden="1">#REF!</definedName>
    <definedName name="XRefCopy5Row" localSheetId="3" hidden="1">#REF!</definedName>
    <definedName name="XRefCopy5Row" localSheetId="2" hidden="1">#REF!</definedName>
    <definedName name="XRefCopy5Row" localSheetId="5" hidden="1">#REF!</definedName>
    <definedName name="XRefCopy5Row" localSheetId="8" hidden="1">#REF!</definedName>
    <definedName name="XRefCopy5Row" localSheetId="10" hidden="1">#REF!</definedName>
    <definedName name="XRefCopy5Row" localSheetId="9" hidden="1">#REF!</definedName>
    <definedName name="XRefCopy5Row" hidden="1">#REF!</definedName>
    <definedName name="XRefCopy6" localSheetId="3" hidden="1">#REF!</definedName>
    <definedName name="XRefCopy6" localSheetId="2" hidden="1">#REF!</definedName>
    <definedName name="XRefCopy6" localSheetId="5" hidden="1">#REF!</definedName>
    <definedName name="XRefCopy6" localSheetId="8" hidden="1">#REF!</definedName>
    <definedName name="XRefCopy6" localSheetId="10" hidden="1">#REF!</definedName>
    <definedName name="XRefCopy6" localSheetId="9" hidden="1">#REF!</definedName>
    <definedName name="XRefCopy6" hidden="1">#REF!</definedName>
    <definedName name="XRefCopy60" localSheetId="3" hidden="1">[38]circularização!#REF!</definedName>
    <definedName name="XRefCopy60" localSheetId="2" hidden="1">[38]circularização!#REF!</definedName>
    <definedName name="XRefCopy60" localSheetId="5" hidden="1">[38]circularização!#REF!</definedName>
    <definedName name="XRefCopy60" localSheetId="8" hidden="1">[38]circularização!#REF!</definedName>
    <definedName name="XRefCopy60" localSheetId="10" hidden="1">[38]circularização!#REF!</definedName>
    <definedName name="XRefCopy60" localSheetId="9" hidden="1">[38]circularização!#REF!</definedName>
    <definedName name="XRefCopy60" hidden="1">[38]circularização!#REF!</definedName>
    <definedName name="XRefCopy60Row" localSheetId="3" hidden="1">[55]XREF!#REF!</definedName>
    <definedName name="XRefCopy60Row" localSheetId="2" hidden="1">[55]XREF!#REF!</definedName>
    <definedName name="XRefCopy60Row" localSheetId="5" hidden="1">[55]XREF!#REF!</definedName>
    <definedName name="XRefCopy60Row" localSheetId="8" hidden="1">[55]XREF!#REF!</definedName>
    <definedName name="XRefCopy60Row" localSheetId="10" hidden="1">[55]XREF!#REF!</definedName>
    <definedName name="XRefCopy60Row" localSheetId="9" hidden="1">[55]XREF!#REF!</definedName>
    <definedName name="XRefCopy60Row" hidden="1">[55]XREF!#REF!</definedName>
    <definedName name="XRefCopy61" localSheetId="3" hidden="1">[38]circularização!#REF!</definedName>
    <definedName name="XRefCopy61" localSheetId="2" hidden="1">[38]circularização!#REF!</definedName>
    <definedName name="XRefCopy61" localSheetId="5" hidden="1">[38]circularização!#REF!</definedName>
    <definedName name="XRefCopy61" localSheetId="8" hidden="1">[38]circularização!#REF!</definedName>
    <definedName name="XRefCopy61" localSheetId="10" hidden="1">[38]circularização!#REF!</definedName>
    <definedName name="XRefCopy61" localSheetId="9" hidden="1">[38]circularização!#REF!</definedName>
    <definedName name="XRefCopy61" hidden="1">[38]circularização!#REF!</definedName>
    <definedName name="XRefCopy61Row" localSheetId="3" hidden="1">#REF!</definedName>
    <definedName name="XRefCopy61Row" localSheetId="2" hidden="1">#REF!</definedName>
    <definedName name="XRefCopy61Row" localSheetId="5" hidden="1">#REF!</definedName>
    <definedName name="XRefCopy61Row" localSheetId="8" hidden="1">#REF!</definedName>
    <definedName name="XRefCopy61Row" localSheetId="10" hidden="1">#REF!</definedName>
    <definedName name="XRefCopy61Row" localSheetId="9" hidden="1">#REF!</definedName>
    <definedName name="XRefCopy61Row" hidden="1">#REF!</definedName>
    <definedName name="XRefCopy62" localSheetId="3" hidden="1">[38]circularização!#REF!</definedName>
    <definedName name="XRefCopy62" localSheetId="2" hidden="1">[38]circularização!#REF!</definedName>
    <definedName name="XRefCopy62" localSheetId="5" hidden="1">[38]circularização!#REF!</definedName>
    <definedName name="XRefCopy62" localSheetId="8" hidden="1">[38]circularização!#REF!</definedName>
    <definedName name="XRefCopy62" localSheetId="10" hidden="1">[38]circularização!#REF!</definedName>
    <definedName name="XRefCopy62" localSheetId="9" hidden="1">[38]circularização!#REF!</definedName>
    <definedName name="XRefCopy62" hidden="1">[38]circularização!#REF!</definedName>
    <definedName name="XRefCopy62Row" localSheetId="3" hidden="1">[55]XREF!#REF!</definedName>
    <definedName name="XRefCopy62Row" localSheetId="2" hidden="1">[55]XREF!#REF!</definedName>
    <definedName name="XRefCopy62Row" localSheetId="5" hidden="1">[55]XREF!#REF!</definedName>
    <definedName name="XRefCopy62Row" localSheetId="8" hidden="1">[55]XREF!#REF!</definedName>
    <definedName name="XRefCopy62Row" localSheetId="10" hidden="1">[55]XREF!#REF!</definedName>
    <definedName name="XRefCopy62Row" localSheetId="9" hidden="1">[55]XREF!#REF!</definedName>
    <definedName name="XRefCopy62Row" hidden="1">[55]XREF!#REF!</definedName>
    <definedName name="XRefCopy63" localSheetId="3" hidden="1">#REF!</definedName>
    <definedName name="XRefCopy63" localSheetId="2" hidden="1">#REF!</definedName>
    <definedName name="XRefCopy63" localSheetId="5" hidden="1">#REF!</definedName>
    <definedName name="XRefCopy63" localSheetId="8" hidden="1">#REF!</definedName>
    <definedName name="XRefCopy63" localSheetId="10" hidden="1">#REF!</definedName>
    <definedName name="XRefCopy63" localSheetId="9" hidden="1">#REF!</definedName>
    <definedName name="XRefCopy63" hidden="1">#REF!</definedName>
    <definedName name="XRefCopy63Row" localSheetId="3" hidden="1">#REF!</definedName>
    <definedName name="XRefCopy63Row" localSheetId="2" hidden="1">#REF!</definedName>
    <definedName name="XRefCopy63Row" localSheetId="5" hidden="1">#REF!</definedName>
    <definedName name="XRefCopy63Row" localSheetId="8" hidden="1">#REF!</definedName>
    <definedName name="XRefCopy63Row" localSheetId="10" hidden="1">#REF!</definedName>
    <definedName name="XRefCopy63Row" localSheetId="9" hidden="1">#REF!</definedName>
    <definedName name="XRefCopy63Row" hidden="1">#REF!</definedName>
    <definedName name="XRefCopy64" localSheetId="3" hidden="1">[38]circularização!#REF!</definedName>
    <definedName name="XRefCopy64" localSheetId="2" hidden="1">[38]circularização!#REF!</definedName>
    <definedName name="XRefCopy64" localSheetId="5" hidden="1">[38]circularização!#REF!</definedName>
    <definedName name="XRefCopy64" localSheetId="8" hidden="1">[38]circularização!#REF!</definedName>
    <definedName name="XRefCopy64" localSheetId="10" hidden="1">[38]circularização!#REF!</definedName>
    <definedName name="XRefCopy64" localSheetId="9" hidden="1">[38]circularização!#REF!</definedName>
    <definedName name="XRefCopy64" hidden="1">[38]circularização!#REF!</definedName>
    <definedName name="XRefCopy64Row" localSheetId="3" hidden="1">[55]XREF!#REF!</definedName>
    <definedName name="XRefCopy64Row" localSheetId="2" hidden="1">[55]XREF!#REF!</definedName>
    <definedName name="XRefCopy64Row" localSheetId="5" hidden="1">[55]XREF!#REF!</definedName>
    <definedName name="XRefCopy64Row" localSheetId="8" hidden="1">[55]XREF!#REF!</definedName>
    <definedName name="XRefCopy64Row" localSheetId="10" hidden="1">[55]XREF!#REF!</definedName>
    <definedName name="XRefCopy64Row" localSheetId="9" hidden="1">[55]XREF!#REF!</definedName>
    <definedName name="XRefCopy64Row" hidden="1">[55]XREF!#REF!</definedName>
    <definedName name="XRefCopy65" localSheetId="3" hidden="1">#REF!</definedName>
    <definedName name="XRefCopy65" localSheetId="2" hidden="1">#REF!</definedName>
    <definedName name="XRefCopy65" localSheetId="5" hidden="1">#REF!</definedName>
    <definedName name="XRefCopy65" localSheetId="8" hidden="1">#REF!</definedName>
    <definedName name="XRefCopy65" localSheetId="10" hidden="1">#REF!</definedName>
    <definedName name="XRefCopy65" localSheetId="9" hidden="1">#REF!</definedName>
    <definedName name="XRefCopy65" hidden="1">#REF!</definedName>
    <definedName name="XRefCopy65Row" localSheetId="3" hidden="1">#REF!</definedName>
    <definedName name="XRefCopy65Row" localSheetId="2" hidden="1">#REF!</definedName>
    <definedName name="XRefCopy65Row" localSheetId="5" hidden="1">#REF!</definedName>
    <definedName name="XRefCopy65Row" localSheetId="8" hidden="1">#REF!</definedName>
    <definedName name="XRefCopy65Row" localSheetId="10" hidden="1">#REF!</definedName>
    <definedName name="XRefCopy65Row" localSheetId="9" hidden="1">#REF!</definedName>
    <definedName name="XRefCopy65Row" hidden="1">#REF!</definedName>
    <definedName name="XRefCopy66" localSheetId="3" hidden="1">#REF!</definedName>
    <definedName name="XRefCopy66" localSheetId="2" hidden="1">#REF!</definedName>
    <definedName name="XRefCopy66" localSheetId="5" hidden="1">#REF!</definedName>
    <definedName name="XRefCopy66" localSheetId="8" hidden="1">#REF!</definedName>
    <definedName name="XRefCopy66" localSheetId="10" hidden="1">#REF!</definedName>
    <definedName name="XRefCopy66" localSheetId="9" hidden="1">#REF!</definedName>
    <definedName name="XRefCopy66" hidden="1">#REF!</definedName>
    <definedName name="XRefCopy66Row" localSheetId="3" hidden="1">#REF!</definedName>
    <definedName name="XRefCopy66Row" localSheetId="2" hidden="1">#REF!</definedName>
    <definedName name="XRefCopy66Row" localSheetId="5" hidden="1">#REF!</definedName>
    <definedName name="XRefCopy66Row" localSheetId="8" hidden="1">#REF!</definedName>
    <definedName name="XRefCopy66Row" localSheetId="10" hidden="1">#REF!</definedName>
    <definedName name="XRefCopy66Row" localSheetId="9" hidden="1">#REF!</definedName>
    <definedName name="XRefCopy66Row" hidden="1">#REF!</definedName>
    <definedName name="XRefCopy67" localSheetId="3" hidden="1">#REF!</definedName>
    <definedName name="XRefCopy67" localSheetId="2" hidden="1">#REF!</definedName>
    <definedName name="XRefCopy67" localSheetId="5" hidden="1">#REF!</definedName>
    <definedName name="XRefCopy67" localSheetId="8" hidden="1">#REF!</definedName>
    <definedName name="XRefCopy67" localSheetId="10" hidden="1">#REF!</definedName>
    <definedName name="XRefCopy67" localSheetId="9" hidden="1">#REF!</definedName>
    <definedName name="XRefCopy67" hidden="1">#REF!</definedName>
    <definedName name="XRefCopy67Row" localSheetId="3" hidden="1">#REF!</definedName>
    <definedName name="XRefCopy67Row" localSheetId="2" hidden="1">#REF!</definedName>
    <definedName name="XRefCopy67Row" localSheetId="5" hidden="1">#REF!</definedName>
    <definedName name="XRefCopy67Row" localSheetId="8" hidden="1">#REF!</definedName>
    <definedName name="XRefCopy67Row" localSheetId="10" hidden="1">#REF!</definedName>
    <definedName name="XRefCopy67Row" localSheetId="9" hidden="1">#REF!</definedName>
    <definedName name="XRefCopy67Row" hidden="1">#REF!</definedName>
    <definedName name="XRefCopy68" localSheetId="3" hidden="1">#REF!</definedName>
    <definedName name="XRefCopy68" localSheetId="2" hidden="1">#REF!</definedName>
    <definedName name="XRefCopy68" localSheetId="5" hidden="1">#REF!</definedName>
    <definedName name="XRefCopy68" localSheetId="8" hidden="1">#REF!</definedName>
    <definedName name="XRefCopy68" localSheetId="10" hidden="1">#REF!</definedName>
    <definedName name="XRefCopy68" localSheetId="9" hidden="1">#REF!</definedName>
    <definedName name="XRefCopy68" hidden="1">#REF!</definedName>
    <definedName name="XRefCopy68Row" localSheetId="3" hidden="1">#REF!</definedName>
    <definedName name="XRefCopy68Row" localSheetId="2" hidden="1">#REF!</definedName>
    <definedName name="XRefCopy68Row" localSheetId="5" hidden="1">#REF!</definedName>
    <definedName name="XRefCopy68Row" localSheetId="8" hidden="1">#REF!</definedName>
    <definedName name="XRefCopy68Row" localSheetId="10" hidden="1">#REF!</definedName>
    <definedName name="XRefCopy68Row" localSheetId="9" hidden="1">#REF!</definedName>
    <definedName name="XRefCopy68Row" hidden="1">#REF!</definedName>
    <definedName name="XRefCopy69" localSheetId="3" hidden="1">[38]circularização!#REF!</definedName>
    <definedName name="XRefCopy69" localSheetId="2" hidden="1">[38]circularização!#REF!</definedName>
    <definedName name="XRefCopy69" localSheetId="5" hidden="1">[38]circularização!#REF!</definedName>
    <definedName name="XRefCopy69" localSheetId="8" hidden="1">[38]circularização!#REF!</definedName>
    <definedName name="XRefCopy69" localSheetId="10" hidden="1">[38]circularização!#REF!</definedName>
    <definedName name="XRefCopy69" localSheetId="9" hidden="1">[38]circularização!#REF!</definedName>
    <definedName name="XRefCopy69" hidden="1">[38]circularização!#REF!</definedName>
    <definedName name="XRefCopy69Row" localSheetId="3" hidden="1">#REF!</definedName>
    <definedName name="XRefCopy69Row" localSheetId="2" hidden="1">#REF!</definedName>
    <definedName name="XRefCopy69Row" localSheetId="5" hidden="1">#REF!</definedName>
    <definedName name="XRefCopy69Row" localSheetId="8" hidden="1">#REF!</definedName>
    <definedName name="XRefCopy69Row" localSheetId="10" hidden="1">#REF!</definedName>
    <definedName name="XRefCopy69Row" localSheetId="9" hidden="1">#REF!</definedName>
    <definedName name="XRefCopy69Row" hidden="1">#REF!</definedName>
    <definedName name="XRefCopy6Row" localSheetId="3" hidden="1">#REF!</definedName>
    <definedName name="XRefCopy6Row" localSheetId="2" hidden="1">#REF!</definedName>
    <definedName name="XRefCopy6Row" localSheetId="5" hidden="1">#REF!</definedName>
    <definedName name="XRefCopy6Row" localSheetId="8" hidden="1">#REF!</definedName>
    <definedName name="XRefCopy6Row" localSheetId="10" hidden="1">#REF!</definedName>
    <definedName name="XRefCopy6Row" localSheetId="9" hidden="1">#REF!</definedName>
    <definedName name="XRefCopy6Row" hidden="1">#REF!</definedName>
    <definedName name="XRefCopy7" localSheetId="3" hidden="1">#REF!</definedName>
    <definedName name="XRefCopy7" localSheetId="2" hidden="1">#REF!</definedName>
    <definedName name="XRefCopy7" localSheetId="5" hidden="1">#REF!</definedName>
    <definedName name="XRefCopy7" localSheetId="8" hidden="1">#REF!</definedName>
    <definedName name="XRefCopy7" localSheetId="10" hidden="1">#REF!</definedName>
    <definedName name="XRefCopy7" localSheetId="9" hidden="1">#REF!</definedName>
    <definedName name="XRefCopy7" hidden="1">#REF!</definedName>
    <definedName name="XRefCopy70" localSheetId="3" hidden="1">[38]circularização!#REF!</definedName>
    <definedName name="XRefCopy70" localSheetId="2" hidden="1">[38]circularização!#REF!</definedName>
    <definedName name="XRefCopy70" localSheetId="5" hidden="1">[38]circularização!#REF!</definedName>
    <definedName name="XRefCopy70" localSheetId="8" hidden="1">[38]circularização!#REF!</definedName>
    <definedName name="XRefCopy70" localSheetId="10" hidden="1">[38]circularização!#REF!</definedName>
    <definedName name="XRefCopy70" localSheetId="9" hidden="1">[38]circularização!#REF!</definedName>
    <definedName name="XRefCopy70" hidden="1">[38]circularização!#REF!</definedName>
    <definedName name="XRefCopy70Row" localSheetId="3" hidden="1">#REF!</definedName>
    <definedName name="XRefCopy70Row" localSheetId="2" hidden="1">#REF!</definedName>
    <definedName name="XRefCopy70Row" localSheetId="5" hidden="1">#REF!</definedName>
    <definedName name="XRefCopy70Row" localSheetId="8" hidden="1">#REF!</definedName>
    <definedName name="XRefCopy70Row" localSheetId="10" hidden="1">#REF!</definedName>
    <definedName name="XRefCopy70Row" localSheetId="9" hidden="1">#REF!</definedName>
    <definedName name="XRefCopy70Row" hidden="1">#REF!</definedName>
    <definedName name="XRefCopy71" localSheetId="3" hidden="1">#REF!</definedName>
    <definedName name="XRefCopy71" localSheetId="2" hidden="1">#REF!</definedName>
    <definedName name="XRefCopy71" localSheetId="5" hidden="1">#REF!</definedName>
    <definedName name="XRefCopy71" localSheetId="8" hidden="1">#REF!</definedName>
    <definedName name="XRefCopy71" localSheetId="10" hidden="1">#REF!</definedName>
    <definedName name="XRefCopy71" localSheetId="9" hidden="1">#REF!</definedName>
    <definedName name="XRefCopy71" hidden="1">#REF!</definedName>
    <definedName name="XRefCopy71Row" localSheetId="3" hidden="1">#REF!</definedName>
    <definedName name="XRefCopy71Row" localSheetId="2" hidden="1">#REF!</definedName>
    <definedName name="XRefCopy71Row" localSheetId="5" hidden="1">#REF!</definedName>
    <definedName name="XRefCopy71Row" localSheetId="8" hidden="1">#REF!</definedName>
    <definedName name="XRefCopy71Row" localSheetId="10" hidden="1">#REF!</definedName>
    <definedName name="XRefCopy71Row" localSheetId="9" hidden="1">#REF!</definedName>
    <definedName name="XRefCopy71Row" hidden="1">#REF!</definedName>
    <definedName name="XRefCopy72" localSheetId="3" hidden="1">#REF!</definedName>
    <definedName name="XRefCopy72" localSheetId="2" hidden="1">#REF!</definedName>
    <definedName name="XRefCopy72" localSheetId="5" hidden="1">#REF!</definedName>
    <definedName name="XRefCopy72" localSheetId="8" hidden="1">#REF!</definedName>
    <definedName name="XRefCopy72" localSheetId="10" hidden="1">#REF!</definedName>
    <definedName name="XRefCopy72" localSheetId="9" hidden="1">#REF!</definedName>
    <definedName name="XRefCopy72" hidden="1">#REF!</definedName>
    <definedName name="XRefCopy72Row" localSheetId="3" hidden="1">#REF!</definedName>
    <definedName name="XRefCopy72Row" localSheetId="2" hidden="1">#REF!</definedName>
    <definedName name="XRefCopy72Row" localSheetId="5" hidden="1">#REF!</definedName>
    <definedName name="XRefCopy72Row" localSheetId="8" hidden="1">#REF!</definedName>
    <definedName name="XRefCopy72Row" localSheetId="10" hidden="1">#REF!</definedName>
    <definedName name="XRefCopy72Row" localSheetId="9" hidden="1">#REF!</definedName>
    <definedName name="XRefCopy72Row" hidden="1">#REF!</definedName>
    <definedName name="XRefCopy73" localSheetId="3" hidden="1">[38]circularização!#REF!</definedName>
    <definedName name="XRefCopy73" localSheetId="2" hidden="1">[38]circularização!#REF!</definedName>
    <definedName name="XRefCopy73" localSheetId="5" hidden="1">[38]circularização!#REF!</definedName>
    <definedName name="XRefCopy73" localSheetId="8" hidden="1">[38]circularização!#REF!</definedName>
    <definedName name="XRefCopy73" localSheetId="10" hidden="1">[38]circularização!#REF!</definedName>
    <definedName name="XRefCopy73" localSheetId="9" hidden="1">[38]circularização!#REF!</definedName>
    <definedName name="XRefCopy73" hidden="1">[38]circularização!#REF!</definedName>
    <definedName name="XRefCopy73Row" localSheetId="3" hidden="1">#REF!</definedName>
    <definedName name="XRefCopy73Row" localSheetId="2" hidden="1">#REF!</definedName>
    <definedName name="XRefCopy73Row" localSheetId="5" hidden="1">#REF!</definedName>
    <definedName name="XRefCopy73Row" localSheetId="8" hidden="1">#REF!</definedName>
    <definedName name="XRefCopy73Row" localSheetId="10" hidden="1">#REF!</definedName>
    <definedName name="XRefCopy73Row" localSheetId="9" hidden="1">#REF!</definedName>
    <definedName name="XRefCopy73Row" hidden="1">#REF!</definedName>
    <definedName name="XRefCopy74" localSheetId="3" hidden="1">[38]circularização!#REF!</definedName>
    <definedName name="XRefCopy74" localSheetId="2" hidden="1">[38]circularização!#REF!</definedName>
    <definedName name="XRefCopy74" localSheetId="5" hidden="1">[38]circularização!#REF!</definedName>
    <definedName name="XRefCopy74" localSheetId="8" hidden="1">[38]circularização!#REF!</definedName>
    <definedName name="XRefCopy74" localSheetId="10" hidden="1">[38]circularização!#REF!</definedName>
    <definedName name="XRefCopy74" localSheetId="9" hidden="1">[38]circularização!#REF!</definedName>
    <definedName name="XRefCopy74" hidden="1">[38]circularização!#REF!</definedName>
    <definedName name="XRefCopy74Row" localSheetId="3" hidden="1">#REF!</definedName>
    <definedName name="XRefCopy74Row" localSheetId="2" hidden="1">#REF!</definedName>
    <definedName name="XRefCopy74Row" localSheetId="5" hidden="1">#REF!</definedName>
    <definedName name="XRefCopy74Row" localSheetId="8" hidden="1">#REF!</definedName>
    <definedName name="XRefCopy74Row" localSheetId="10" hidden="1">#REF!</definedName>
    <definedName name="XRefCopy74Row" localSheetId="9" hidden="1">#REF!</definedName>
    <definedName name="XRefCopy74Row" hidden="1">#REF!</definedName>
    <definedName name="XRefCopy75" localSheetId="3" hidden="1">#REF!</definedName>
    <definedName name="XRefCopy75" localSheetId="2" hidden="1">#REF!</definedName>
    <definedName name="XRefCopy75" localSheetId="5" hidden="1">#REF!</definedName>
    <definedName name="XRefCopy75" localSheetId="8" hidden="1">#REF!</definedName>
    <definedName name="XRefCopy75" localSheetId="10" hidden="1">#REF!</definedName>
    <definedName name="XRefCopy75" localSheetId="9" hidden="1">#REF!</definedName>
    <definedName name="XRefCopy75" hidden="1">#REF!</definedName>
    <definedName name="XRefCopy75Row" localSheetId="3" hidden="1">#REF!</definedName>
    <definedName name="XRefCopy75Row" localSheetId="2" hidden="1">#REF!</definedName>
    <definedName name="XRefCopy75Row" localSheetId="5" hidden="1">#REF!</definedName>
    <definedName name="XRefCopy75Row" localSheetId="8" hidden="1">#REF!</definedName>
    <definedName name="XRefCopy75Row" localSheetId="10" hidden="1">#REF!</definedName>
    <definedName name="XRefCopy75Row" localSheetId="9" hidden="1">#REF!</definedName>
    <definedName name="XRefCopy75Row" hidden="1">#REF!</definedName>
    <definedName name="XRefCopy76" localSheetId="3" hidden="1">[56]circularização!#REF!</definedName>
    <definedName name="XRefCopy76" localSheetId="2" hidden="1">[56]circularização!#REF!</definedName>
    <definedName name="XRefCopy76" localSheetId="5" hidden="1">[56]circularização!#REF!</definedName>
    <definedName name="XRefCopy76" localSheetId="8" hidden="1">[56]circularização!#REF!</definedName>
    <definedName name="XRefCopy76" localSheetId="10" hidden="1">[56]circularização!#REF!</definedName>
    <definedName name="XRefCopy76" localSheetId="9" hidden="1">[56]circularização!#REF!</definedName>
    <definedName name="XRefCopy76" hidden="1">[56]circularização!#REF!</definedName>
    <definedName name="XRefCopy76Row" localSheetId="3" hidden="1">#REF!</definedName>
    <definedName name="XRefCopy76Row" localSheetId="2" hidden="1">#REF!</definedName>
    <definedName name="XRefCopy76Row" localSheetId="5" hidden="1">#REF!</definedName>
    <definedName name="XRefCopy76Row" localSheetId="8" hidden="1">#REF!</definedName>
    <definedName name="XRefCopy76Row" localSheetId="10" hidden="1">#REF!</definedName>
    <definedName name="XRefCopy76Row" localSheetId="9" hidden="1">#REF!</definedName>
    <definedName name="XRefCopy76Row" hidden="1">#REF!</definedName>
    <definedName name="XRefCopy77" localSheetId="3" hidden="1">[38]circularização!#REF!</definedName>
    <definedName name="XRefCopy77" localSheetId="2" hidden="1">[38]circularização!#REF!</definedName>
    <definedName name="XRefCopy77" localSheetId="5" hidden="1">[38]circularização!#REF!</definedName>
    <definedName name="XRefCopy77" localSheetId="8" hidden="1">[38]circularização!#REF!</definedName>
    <definedName name="XRefCopy77" localSheetId="10" hidden="1">[38]circularização!#REF!</definedName>
    <definedName name="XRefCopy77" localSheetId="9" hidden="1">[38]circularização!#REF!</definedName>
    <definedName name="XRefCopy77" hidden="1">[38]circularização!#REF!</definedName>
    <definedName name="XRefCopy77Row" localSheetId="3" hidden="1">#REF!</definedName>
    <definedName name="XRefCopy77Row" localSheetId="2" hidden="1">#REF!</definedName>
    <definedName name="XRefCopy77Row" localSheetId="5" hidden="1">#REF!</definedName>
    <definedName name="XRefCopy77Row" localSheetId="8" hidden="1">#REF!</definedName>
    <definedName name="XRefCopy77Row" localSheetId="10" hidden="1">#REF!</definedName>
    <definedName name="XRefCopy77Row" localSheetId="9" hidden="1">#REF!</definedName>
    <definedName name="XRefCopy77Row" hidden="1">#REF!</definedName>
    <definedName name="XRefCopy78" localSheetId="3" hidden="1">'[56]Variação Cambial'!#REF!</definedName>
    <definedName name="XRefCopy78" localSheetId="2" hidden="1">'[56]Variação Cambial'!#REF!</definedName>
    <definedName name="XRefCopy78" localSheetId="5" hidden="1">'[56]Variação Cambial'!#REF!</definedName>
    <definedName name="XRefCopy78" localSheetId="8" hidden="1">'[56]Variação Cambial'!#REF!</definedName>
    <definedName name="XRefCopy78" localSheetId="10" hidden="1">'[56]Variação Cambial'!#REF!</definedName>
    <definedName name="XRefCopy78" localSheetId="9" hidden="1">'[56]Variação Cambial'!#REF!</definedName>
    <definedName name="XRefCopy78" hidden="1">'[56]Variação Cambial'!#REF!</definedName>
    <definedName name="XRefCopy78Row" localSheetId="3" hidden="1">#REF!</definedName>
    <definedName name="XRefCopy78Row" localSheetId="2" hidden="1">#REF!</definedName>
    <definedName name="XRefCopy78Row" localSheetId="5" hidden="1">#REF!</definedName>
    <definedName name="XRefCopy78Row" localSheetId="8" hidden="1">#REF!</definedName>
    <definedName name="XRefCopy78Row" localSheetId="10" hidden="1">#REF!</definedName>
    <definedName name="XRefCopy78Row" localSheetId="9" hidden="1">#REF!</definedName>
    <definedName name="XRefCopy78Row" hidden="1">#REF!</definedName>
    <definedName name="XRefCopy79" localSheetId="3" hidden="1">#REF!</definedName>
    <definedName name="XRefCopy79" localSheetId="2" hidden="1">#REF!</definedName>
    <definedName name="XRefCopy79" localSheetId="5" hidden="1">#REF!</definedName>
    <definedName name="XRefCopy79" localSheetId="8" hidden="1">#REF!</definedName>
    <definedName name="XRefCopy79" localSheetId="10" hidden="1">#REF!</definedName>
    <definedName name="XRefCopy79" localSheetId="9" hidden="1">#REF!</definedName>
    <definedName name="XRefCopy79" hidden="1">#REF!</definedName>
    <definedName name="XRefCopy79Row" localSheetId="3" hidden="1">#REF!</definedName>
    <definedName name="XRefCopy79Row" localSheetId="2" hidden="1">#REF!</definedName>
    <definedName name="XRefCopy79Row" localSheetId="5" hidden="1">#REF!</definedName>
    <definedName name="XRefCopy79Row" localSheetId="8" hidden="1">#REF!</definedName>
    <definedName name="XRefCopy79Row" localSheetId="10" hidden="1">#REF!</definedName>
    <definedName name="XRefCopy79Row" localSheetId="9" hidden="1">#REF!</definedName>
    <definedName name="XRefCopy79Row" hidden="1">#REF!</definedName>
    <definedName name="XRefCopy7Row" localSheetId="3" hidden="1">#REF!</definedName>
    <definedName name="XRefCopy7Row" localSheetId="2" hidden="1">#REF!</definedName>
    <definedName name="XRefCopy7Row" localSheetId="5" hidden="1">#REF!</definedName>
    <definedName name="XRefCopy7Row" localSheetId="8" hidden="1">#REF!</definedName>
    <definedName name="XRefCopy7Row" localSheetId="10" hidden="1">#REF!</definedName>
    <definedName name="XRefCopy7Row" localSheetId="9" hidden="1">#REF!</definedName>
    <definedName name="XRefCopy7Row" hidden="1">#REF!</definedName>
    <definedName name="XRefCopy8" localSheetId="3" hidden="1">#REF!</definedName>
    <definedName name="XRefCopy8" localSheetId="2" hidden="1">#REF!</definedName>
    <definedName name="XRefCopy8" localSheetId="5" hidden="1">#REF!</definedName>
    <definedName name="XRefCopy8" localSheetId="8" hidden="1">#REF!</definedName>
    <definedName name="XRefCopy8" localSheetId="10" hidden="1">#REF!</definedName>
    <definedName name="XRefCopy8" localSheetId="9" hidden="1">#REF!</definedName>
    <definedName name="XRefCopy8" hidden="1">#REF!</definedName>
    <definedName name="XRefCopy80" localSheetId="3" hidden="1">#REF!</definedName>
    <definedName name="XRefCopy80" localSheetId="2" hidden="1">#REF!</definedName>
    <definedName name="XRefCopy80" localSheetId="5" hidden="1">#REF!</definedName>
    <definedName name="XRefCopy80" localSheetId="8" hidden="1">#REF!</definedName>
    <definedName name="XRefCopy80" localSheetId="10" hidden="1">#REF!</definedName>
    <definedName name="XRefCopy80" localSheetId="9" hidden="1">#REF!</definedName>
    <definedName name="XRefCopy80" hidden="1">#REF!</definedName>
    <definedName name="XRefCopy80Row" localSheetId="3" hidden="1">#REF!</definedName>
    <definedName name="XRefCopy80Row" localSheetId="2" hidden="1">#REF!</definedName>
    <definedName name="XRefCopy80Row" localSheetId="5" hidden="1">#REF!</definedName>
    <definedName name="XRefCopy80Row" localSheetId="8" hidden="1">#REF!</definedName>
    <definedName name="XRefCopy80Row" localSheetId="10" hidden="1">#REF!</definedName>
    <definedName name="XRefCopy80Row" localSheetId="9" hidden="1">#REF!</definedName>
    <definedName name="XRefCopy80Row" hidden="1">#REF!</definedName>
    <definedName name="XRefCopy81" localSheetId="3" hidden="1">'[57]Mapa de Resultado'!#REF!</definedName>
    <definedName name="XRefCopy81" localSheetId="2" hidden="1">'[57]Mapa de Resultado'!#REF!</definedName>
    <definedName name="XRefCopy81" localSheetId="5" hidden="1">'[57]Mapa de Resultado'!#REF!</definedName>
    <definedName name="XRefCopy81" localSheetId="8" hidden="1">'[57]Mapa de Resultado'!#REF!</definedName>
    <definedName name="XRefCopy81" localSheetId="10" hidden="1">'[57]Mapa de Resultado'!#REF!</definedName>
    <definedName name="XRefCopy81" localSheetId="9" hidden="1">'[57]Mapa de Resultado'!#REF!</definedName>
    <definedName name="XRefCopy81" hidden="1">'[57]Mapa de Resultado'!#REF!</definedName>
    <definedName name="XRefCopy81Row" localSheetId="3" hidden="1">#REF!</definedName>
    <definedName name="XRefCopy81Row" localSheetId="2" hidden="1">#REF!</definedName>
    <definedName name="XRefCopy81Row" localSheetId="5" hidden="1">#REF!</definedName>
    <definedName name="XRefCopy81Row" localSheetId="8" hidden="1">#REF!</definedName>
    <definedName name="XRefCopy81Row" localSheetId="10" hidden="1">#REF!</definedName>
    <definedName name="XRefCopy81Row" localSheetId="9" hidden="1">#REF!</definedName>
    <definedName name="XRefCopy81Row" hidden="1">#REF!</definedName>
    <definedName name="XRefCopy82" localSheetId="3" hidden="1">#REF!</definedName>
    <definedName name="XRefCopy82" localSheetId="2" hidden="1">#REF!</definedName>
    <definedName name="XRefCopy82" localSheetId="5" hidden="1">#REF!</definedName>
    <definedName name="XRefCopy82" localSheetId="8" hidden="1">#REF!</definedName>
    <definedName name="XRefCopy82" localSheetId="10" hidden="1">#REF!</definedName>
    <definedName name="XRefCopy82" localSheetId="9" hidden="1">#REF!</definedName>
    <definedName name="XRefCopy82" hidden="1">#REF!</definedName>
    <definedName name="XRefCopy82Row" localSheetId="3" hidden="1">#REF!</definedName>
    <definedName name="XRefCopy82Row" localSheetId="2" hidden="1">#REF!</definedName>
    <definedName name="XRefCopy82Row" localSheetId="5" hidden="1">#REF!</definedName>
    <definedName name="XRefCopy82Row" localSheetId="8" hidden="1">#REF!</definedName>
    <definedName name="XRefCopy82Row" localSheetId="10" hidden="1">#REF!</definedName>
    <definedName name="XRefCopy82Row" localSheetId="9" hidden="1">#REF!</definedName>
    <definedName name="XRefCopy82Row" hidden="1">#REF!</definedName>
    <definedName name="XRefCopy83" localSheetId="3" hidden="1">#REF!</definedName>
    <definedName name="XRefCopy83" localSheetId="2" hidden="1">#REF!</definedName>
    <definedName name="XRefCopy83" localSheetId="5" hidden="1">#REF!</definedName>
    <definedName name="XRefCopy83" localSheetId="8" hidden="1">#REF!</definedName>
    <definedName name="XRefCopy83" localSheetId="10" hidden="1">#REF!</definedName>
    <definedName name="XRefCopy83" localSheetId="9" hidden="1">#REF!</definedName>
    <definedName name="XRefCopy83" hidden="1">#REF!</definedName>
    <definedName name="XRefCopy83Row" localSheetId="3" hidden="1">#REF!</definedName>
    <definedName name="XRefCopy83Row" localSheetId="2" hidden="1">#REF!</definedName>
    <definedName name="XRefCopy83Row" localSheetId="5" hidden="1">#REF!</definedName>
    <definedName name="XRefCopy83Row" localSheetId="8" hidden="1">#REF!</definedName>
    <definedName name="XRefCopy83Row" localSheetId="10" hidden="1">#REF!</definedName>
    <definedName name="XRefCopy83Row" localSheetId="9" hidden="1">#REF!</definedName>
    <definedName name="XRefCopy83Row" hidden="1">#REF!</definedName>
    <definedName name="XRefCopy84Row" localSheetId="3" hidden="1">#REF!</definedName>
    <definedName name="XRefCopy84Row" localSheetId="2" hidden="1">#REF!</definedName>
    <definedName name="XRefCopy84Row" localSheetId="5" hidden="1">#REF!</definedName>
    <definedName name="XRefCopy84Row" localSheetId="8" hidden="1">#REF!</definedName>
    <definedName name="XRefCopy84Row" localSheetId="10" hidden="1">#REF!</definedName>
    <definedName name="XRefCopy84Row" localSheetId="9" hidden="1">#REF!</definedName>
    <definedName name="XRefCopy84Row" hidden="1">#REF!</definedName>
    <definedName name="XRefCopy85" localSheetId="3" hidden="1">#REF!</definedName>
    <definedName name="XRefCopy85" localSheetId="2" hidden="1">#REF!</definedName>
    <definedName name="XRefCopy85" localSheetId="5" hidden="1">#REF!</definedName>
    <definedName name="XRefCopy85" localSheetId="8" hidden="1">#REF!</definedName>
    <definedName name="XRefCopy85" localSheetId="10" hidden="1">#REF!</definedName>
    <definedName name="XRefCopy85" localSheetId="9" hidden="1">#REF!</definedName>
    <definedName name="XRefCopy85" hidden="1">#REF!</definedName>
    <definedName name="XRefCopy85Row" localSheetId="3" hidden="1">#REF!</definedName>
    <definedName name="XRefCopy85Row" localSheetId="2" hidden="1">#REF!</definedName>
    <definedName name="XRefCopy85Row" localSheetId="5" hidden="1">#REF!</definedName>
    <definedName name="XRefCopy85Row" localSheetId="8" hidden="1">#REF!</definedName>
    <definedName name="XRefCopy85Row" localSheetId="10" hidden="1">#REF!</definedName>
    <definedName name="XRefCopy85Row" localSheetId="9" hidden="1">#REF!</definedName>
    <definedName name="XRefCopy85Row" hidden="1">#REF!</definedName>
    <definedName name="XRefCopy86" localSheetId="3" hidden="1">#REF!</definedName>
    <definedName name="XRefCopy86" localSheetId="2" hidden="1">#REF!</definedName>
    <definedName name="XRefCopy86" localSheetId="5" hidden="1">#REF!</definedName>
    <definedName name="XRefCopy86" localSheetId="8" hidden="1">#REF!</definedName>
    <definedName name="XRefCopy86" localSheetId="10" hidden="1">#REF!</definedName>
    <definedName name="XRefCopy86" localSheetId="9" hidden="1">#REF!</definedName>
    <definedName name="XRefCopy86" hidden="1">#REF!</definedName>
    <definedName name="XRefCopy87" localSheetId="3" hidden="1">#REF!</definedName>
    <definedName name="XRefCopy87" localSheetId="2" hidden="1">#REF!</definedName>
    <definedName name="XRefCopy87" localSheetId="5" hidden="1">#REF!</definedName>
    <definedName name="XRefCopy87" localSheetId="8" hidden="1">#REF!</definedName>
    <definedName name="XRefCopy87" localSheetId="10" hidden="1">#REF!</definedName>
    <definedName name="XRefCopy87" localSheetId="9" hidden="1">#REF!</definedName>
    <definedName name="XRefCopy87" hidden="1">#REF!</definedName>
    <definedName name="XRefCopy87Row" localSheetId="3" hidden="1">#REF!</definedName>
    <definedName name="XRefCopy87Row" localSheetId="2" hidden="1">#REF!</definedName>
    <definedName name="XRefCopy87Row" localSheetId="5" hidden="1">#REF!</definedName>
    <definedName name="XRefCopy87Row" localSheetId="8" hidden="1">#REF!</definedName>
    <definedName name="XRefCopy87Row" localSheetId="10" hidden="1">#REF!</definedName>
    <definedName name="XRefCopy87Row" localSheetId="9" hidden="1">#REF!</definedName>
    <definedName name="XRefCopy87Row" hidden="1">#REF!</definedName>
    <definedName name="XRefCopy88" localSheetId="3" hidden="1">#REF!</definedName>
    <definedName name="XRefCopy88" localSheetId="2" hidden="1">#REF!</definedName>
    <definedName name="XRefCopy88" localSheetId="5" hidden="1">#REF!</definedName>
    <definedName name="XRefCopy88" localSheetId="8" hidden="1">#REF!</definedName>
    <definedName name="XRefCopy88" localSheetId="10" hidden="1">#REF!</definedName>
    <definedName name="XRefCopy88" localSheetId="9" hidden="1">#REF!</definedName>
    <definedName name="XRefCopy88" hidden="1">#REF!</definedName>
    <definedName name="XRefCopy88Row" localSheetId="3" hidden="1">#REF!</definedName>
    <definedName name="XRefCopy88Row" localSheetId="2" hidden="1">#REF!</definedName>
    <definedName name="XRefCopy88Row" localSheetId="5" hidden="1">#REF!</definedName>
    <definedName name="XRefCopy88Row" localSheetId="8" hidden="1">#REF!</definedName>
    <definedName name="XRefCopy88Row" localSheetId="10" hidden="1">#REF!</definedName>
    <definedName name="XRefCopy88Row" localSheetId="9" hidden="1">#REF!</definedName>
    <definedName name="XRefCopy88Row" hidden="1">#REF!</definedName>
    <definedName name="XRefCopy89" localSheetId="3" hidden="1">[41]Adições!#REF!</definedName>
    <definedName name="XRefCopy89" localSheetId="2" hidden="1">[41]Adições!#REF!</definedName>
    <definedName name="XRefCopy89" localSheetId="5" hidden="1">[41]Adições!#REF!</definedName>
    <definedName name="XRefCopy89" localSheetId="8" hidden="1">[41]Adições!#REF!</definedName>
    <definedName name="XRefCopy89" localSheetId="10" hidden="1">[41]Adições!#REF!</definedName>
    <definedName name="XRefCopy89" localSheetId="9" hidden="1">[41]Adições!#REF!</definedName>
    <definedName name="XRefCopy89" hidden="1">[41]Adições!#REF!</definedName>
    <definedName name="XRefCopy89Row" localSheetId="3" hidden="1">#REF!</definedName>
    <definedName name="XRefCopy89Row" localSheetId="2" hidden="1">#REF!</definedName>
    <definedName name="XRefCopy89Row" localSheetId="5" hidden="1">#REF!</definedName>
    <definedName name="XRefCopy89Row" localSheetId="8" hidden="1">#REF!</definedName>
    <definedName name="XRefCopy89Row" localSheetId="10" hidden="1">#REF!</definedName>
    <definedName name="XRefCopy89Row" localSheetId="9" hidden="1">#REF!</definedName>
    <definedName name="XRefCopy89Row" hidden="1">#REF!</definedName>
    <definedName name="XRefCopy8Row" localSheetId="3" hidden="1">#REF!</definedName>
    <definedName name="XRefCopy8Row" localSheetId="2" hidden="1">#REF!</definedName>
    <definedName name="XRefCopy8Row" localSheetId="5" hidden="1">#REF!</definedName>
    <definedName name="XRefCopy8Row" localSheetId="8" hidden="1">#REF!</definedName>
    <definedName name="XRefCopy8Row" localSheetId="10" hidden="1">#REF!</definedName>
    <definedName name="XRefCopy8Row" localSheetId="9" hidden="1">#REF!</definedName>
    <definedName name="XRefCopy8Row" hidden="1">#REF!</definedName>
    <definedName name="XRefCopy9" localSheetId="3" hidden="1">#REF!</definedName>
    <definedName name="XRefCopy9" localSheetId="2" hidden="1">#REF!</definedName>
    <definedName name="XRefCopy9" localSheetId="5" hidden="1">#REF!</definedName>
    <definedName name="XRefCopy9" localSheetId="8" hidden="1">#REF!</definedName>
    <definedName name="XRefCopy9" localSheetId="10" hidden="1">#REF!</definedName>
    <definedName name="XRefCopy9" localSheetId="9" hidden="1">#REF!</definedName>
    <definedName name="XRefCopy9" hidden="1">#REF!</definedName>
    <definedName name="XRefCopy90" localSheetId="3" hidden="1">#REF!</definedName>
    <definedName name="XRefCopy90" localSheetId="2" hidden="1">#REF!</definedName>
    <definedName name="XRefCopy90" localSheetId="5" hidden="1">#REF!</definedName>
    <definedName name="XRefCopy90" localSheetId="8" hidden="1">#REF!</definedName>
    <definedName name="XRefCopy90" localSheetId="10" hidden="1">#REF!</definedName>
    <definedName name="XRefCopy90" localSheetId="9" hidden="1">#REF!</definedName>
    <definedName name="XRefCopy90" hidden="1">#REF!</definedName>
    <definedName name="XRefCopy90Row" localSheetId="3" hidden="1">#REF!</definedName>
    <definedName name="XRefCopy90Row" localSheetId="2" hidden="1">#REF!</definedName>
    <definedName name="XRefCopy90Row" localSheetId="5" hidden="1">#REF!</definedName>
    <definedName name="XRefCopy90Row" localSheetId="8" hidden="1">#REF!</definedName>
    <definedName name="XRefCopy90Row" localSheetId="10" hidden="1">#REF!</definedName>
    <definedName name="XRefCopy90Row" localSheetId="9" hidden="1">#REF!</definedName>
    <definedName name="XRefCopy90Row" hidden="1">#REF!</definedName>
    <definedName name="XRefCopy91" localSheetId="3" hidden="1">#REF!</definedName>
    <definedName name="XRefCopy91" localSheetId="2" hidden="1">#REF!</definedName>
    <definedName name="XRefCopy91" localSheetId="5" hidden="1">#REF!</definedName>
    <definedName name="XRefCopy91" localSheetId="8" hidden="1">#REF!</definedName>
    <definedName name="XRefCopy91" localSheetId="10" hidden="1">#REF!</definedName>
    <definedName name="XRefCopy91" localSheetId="9" hidden="1">#REF!</definedName>
    <definedName name="XRefCopy91" hidden="1">#REF!</definedName>
    <definedName name="XRefCopy91Row" localSheetId="3" hidden="1">#REF!</definedName>
    <definedName name="XRefCopy91Row" localSheetId="2" hidden="1">#REF!</definedName>
    <definedName name="XRefCopy91Row" localSheetId="5" hidden="1">#REF!</definedName>
    <definedName name="XRefCopy91Row" localSheetId="8" hidden="1">#REF!</definedName>
    <definedName name="XRefCopy91Row" localSheetId="10" hidden="1">#REF!</definedName>
    <definedName name="XRefCopy91Row" localSheetId="9" hidden="1">#REF!</definedName>
    <definedName name="XRefCopy91Row" hidden="1">#REF!</definedName>
    <definedName name="XRefCopy92" localSheetId="3" hidden="1">[41]Mapa!#REF!</definedName>
    <definedName name="XRefCopy92" localSheetId="2" hidden="1">[41]Mapa!#REF!</definedName>
    <definedName name="XRefCopy92" localSheetId="5" hidden="1">[41]Mapa!#REF!</definedName>
    <definedName name="XRefCopy92" localSheetId="8" hidden="1">[41]Mapa!#REF!</definedName>
    <definedName name="XRefCopy92" localSheetId="10" hidden="1">[41]Mapa!#REF!</definedName>
    <definedName name="XRefCopy92" localSheetId="9" hidden="1">[41]Mapa!#REF!</definedName>
    <definedName name="XRefCopy92" hidden="1">[41]Mapa!#REF!</definedName>
    <definedName name="XRefCopy92Row" localSheetId="3" hidden="1">#REF!</definedName>
    <definedName name="XRefCopy92Row" localSheetId="2" hidden="1">#REF!</definedName>
    <definedName name="XRefCopy92Row" localSheetId="5" hidden="1">#REF!</definedName>
    <definedName name="XRefCopy92Row" localSheetId="8" hidden="1">#REF!</definedName>
    <definedName name="XRefCopy92Row" localSheetId="10" hidden="1">#REF!</definedName>
    <definedName name="XRefCopy92Row" localSheetId="9" hidden="1">#REF!</definedName>
    <definedName name="XRefCopy92Row" hidden="1">#REF!</definedName>
    <definedName name="XRefCopy93" localSheetId="3" hidden="1">#REF!</definedName>
    <definedName name="XRefCopy93" localSheetId="2" hidden="1">#REF!</definedName>
    <definedName name="XRefCopy93" localSheetId="5" hidden="1">#REF!</definedName>
    <definedName name="XRefCopy93" localSheetId="8" hidden="1">#REF!</definedName>
    <definedName name="XRefCopy93" localSheetId="10" hidden="1">#REF!</definedName>
    <definedName name="XRefCopy93" localSheetId="9" hidden="1">#REF!</definedName>
    <definedName name="XRefCopy93" hidden="1">#REF!</definedName>
    <definedName name="XRefCopy93Row" localSheetId="3" hidden="1">#REF!</definedName>
    <definedName name="XRefCopy93Row" localSheetId="2" hidden="1">#REF!</definedName>
    <definedName name="XRefCopy93Row" localSheetId="5" hidden="1">#REF!</definedName>
    <definedName name="XRefCopy93Row" localSheetId="8" hidden="1">#REF!</definedName>
    <definedName name="XRefCopy93Row" localSheetId="10" hidden="1">#REF!</definedName>
    <definedName name="XRefCopy93Row" localSheetId="9" hidden="1">#REF!</definedName>
    <definedName name="XRefCopy93Row" hidden="1">#REF!</definedName>
    <definedName name="XRefCopy94" localSheetId="3" hidden="1">#REF!</definedName>
    <definedName name="XRefCopy94" localSheetId="2" hidden="1">#REF!</definedName>
    <definedName name="XRefCopy94" localSheetId="5" hidden="1">#REF!</definedName>
    <definedName name="XRefCopy94" localSheetId="8" hidden="1">#REF!</definedName>
    <definedName name="XRefCopy94" localSheetId="10" hidden="1">#REF!</definedName>
    <definedName name="XRefCopy94" localSheetId="9" hidden="1">#REF!</definedName>
    <definedName name="XRefCopy94" hidden="1">#REF!</definedName>
    <definedName name="XRefCopy94Row" localSheetId="3" hidden="1">#REF!</definedName>
    <definedName name="XRefCopy94Row" localSheetId="2" hidden="1">#REF!</definedName>
    <definedName name="XRefCopy94Row" localSheetId="5" hidden="1">#REF!</definedName>
    <definedName name="XRefCopy94Row" localSheetId="8" hidden="1">#REF!</definedName>
    <definedName name="XRefCopy94Row" localSheetId="10" hidden="1">#REF!</definedName>
    <definedName name="XRefCopy94Row" localSheetId="9" hidden="1">#REF!</definedName>
    <definedName name="XRefCopy94Row" hidden="1">#REF!</definedName>
    <definedName name="XRefCopy95" localSheetId="3" hidden="1">#REF!</definedName>
    <definedName name="XRefCopy95" localSheetId="2" hidden="1">#REF!</definedName>
    <definedName name="XRefCopy95" localSheetId="5" hidden="1">#REF!</definedName>
    <definedName name="XRefCopy95" localSheetId="8" hidden="1">#REF!</definedName>
    <definedName name="XRefCopy95" localSheetId="10" hidden="1">#REF!</definedName>
    <definedName name="XRefCopy95" localSheetId="9" hidden="1">#REF!</definedName>
    <definedName name="XRefCopy95" hidden="1">#REF!</definedName>
    <definedName name="XRefCopy95Row" localSheetId="3" hidden="1">#REF!</definedName>
    <definedName name="XRefCopy95Row" localSheetId="2" hidden="1">#REF!</definedName>
    <definedName name="XRefCopy95Row" localSheetId="5" hidden="1">#REF!</definedName>
    <definedName name="XRefCopy95Row" localSheetId="8" hidden="1">#REF!</definedName>
    <definedName name="XRefCopy95Row" localSheetId="10" hidden="1">#REF!</definedName>
    <definedName name="XRefCopy95Row" localSheetId="9" hidden="1">#REF!</definedName>
    <definedName name="XRefCopy95Row" hidden="1">#REF!</definedName>
    <definedName name="XRefCopy96" localSheetId="3" hidden="1">[41]Mapa!#REF!</definedName>
    <definedName name="XRefCopy96" localSheetId="2" hidden="1">[41]Mapa!#REF!</definedName>
    <definedName name="XRefCopy96" localSheetId="5" hidden="1">[41]Mapa!#REF!</definedName>
    <definedName name="XRefCopy96" localSheetId="8" hidden="1">[41]Mapa!#REF!</definedName>
    <definedName name="XRefCopy96" localSheetId="10" hidden="1">[41]Mapa!#REF!</definedName>
    <definedName name="XRefCopy96" localSheetId="9" hidden="1">[41]Mapa!#REF!</definedName>
    <definedName name="XRefCopy96" hidden="1">[41]Mapa!#REF!</definedName>
    <definedName name="XRefCopy96Row" localSheetId="3" hidden="1">#REF!</definedName>
    <definedName name="XRefCopy96Row" localSheetId="2" hidden="1">#REF!</definedName>
    <definedName name="XRefCopy96Row" localSheetId="5" hidden="1">#REF!</definedName>
    <definedName name="XRefCopy96Row" localSheetId="8" hidden="1">#REF!</definedName>
    <definedName name="XRefCopy96Row" localSheetId="10" hidden="1">#REF!</definedName>
    <definedName name="XRefCopy96Row" localSheetId="9" hidden="1">#REF!</definedName>
    <definedName name="XRefCopy96Row" hidden="1">#REF!</definedName>
    <definedName name="XRefCopy97" localSheetId="3" hidden="1">#REF!</definedName>
    <definedName name="XRefCopy97" localSheetId="2" hidden="1">#REF!</definedName>
    <definedName name="XRefCopy97" localSheetId="5" hidden="1">#REF!</definedName>
    <definedName name="XRefCopy97" localSheetId="8" hidden="1">#REF!</definedName>
    <definedName name="XRefCopy97" localSheetId="10" hidden="1">#REF!</definedName>
    <definedName name="XRefCopy97" localSheetId="9" hidden="1">#REF!</definedName>
    <definedName name="XRefCopy97" hidden="1">#REF!</definedName>
    <definedName name="XRefCopy97Row" localSheetId="3" hidden="1">#REF!</definedName>
    <definedName name="XRefCopy97Row" localSheetId="2" hidden="1">#REF!</definedName>
    <definedName name="XRefCopy97Row" localSheetId="5" hidden="1">#REF!</definedName>
    <definedName name="XRefCopy97Row" localSheetId="8" hidden="1">#REF!</definedName>
    <definedName name="XRefCopy97Row" localSheetId="10" hidden="1">#REF!</definedName>
    <definedName name="XRefCopy97Row" localSheetId="9" hidden="1">#REF!</definedName>
    <definedName name="XRefCopy97Row" hidden="1">#REF!</definedName>
    <definedName name="XRefCopy98Row" localSheetId="3" hidden="1">#REF!</definedName>
    <definedName name="XRefCopy98Row" localSheetId="2" hidden="1">#REF!</definedName>
    <definedName name="XRefCopy98Row" localSheetId="5" hidden="1">#REF!</definedName>
    <definedName name="XRefCopy98Row" localSheetId="8" hidden="1">#REF!</definedName>
    <definedName name="XRefCopy98Row" localSheetId="10" hidden="1">#REF!</definedName>
    <definedName name="XRefCopy98Row" localSheetId="9" hidden="1">#REF!</definedName>
    <definedName name="XRefCopy98Row" hidden="1">#REF!</definedName>
    <definedName name="XRefCopy99" localSheetId="3">'[58]Mapa 31.08.02'!#REF!</definedName>
    <definedName name="XRefCopy99" localSheetId="2">'[58]Mapa 31.08.02'!#REF!</definedName>
    <definedName name="XRefCopy99" localSheetId="5">'[58]Mapa 31.08.02'!#REF!</definedName>
    <definedName name="XRefCopy99" localSheetId="8">'[58]Mapa 31.08.02'!#REF!</definedName>
    <definedName name="XRefCopy99" localSheetId="10">'[58]Mapa 31.08.02'!#REF!</definedName>
    <definedName name="XRefCopy99" localSheetId="9">'[58]Mapa 31.08.02'!#REF!</definedName>
    <definedName name="XRefCopy99">'[58]Mapa 31.08.02'!#REF!</definedName>
    <definedName name="XRefCopy99Row" localSheetId="3">#REF!</definedName>
    <definedName name="XRefCopy99Row" localSheetId="2">#REF!</definedName>
    <definedName name="XRefCopy99Row" localSheetId="5">#REF!</definedName>
    <definedName name="XRefCopy99Row" localSheetId="8">#REF!</definedName>
    <definedName name="XRefCopy99Row" localSheetId="10">#REF!</definedName>
    <definedName name="XRefCopy99Row" localSheetId="9">#REF!</definedName>
    <definedName name="XRefCopy99Row">#REF!</definedName>
    <definedName name="XRefCopy9Row" localSheetId="3" hidden="1">#REF!</definedName>
    <definedName name="XRefCopy9Row" localSheetId="2" hidden="1">#REF!</definedName>
    <definedName name="XRefCopy9Row" localSheetId="5" hidden="1">#REF!</definedName>
    <definedName name="XRefCopy9Row" localSheetId="8" hidden="1">#REF!</definedName>
    <definedName name="XRefCopy9Row" localSheetId="10" hidden="1">#REF!</definedName>
    <definedName name="XRefCopy9Row" localSheetId="9" hidden="1">#REF!</definedName>
    <definedName name="XRefCopy9Row" hidden="1">#REF!</definedName>
    <definedName name="XRefCopyRangeCount" hidden="1">1</definedName>
    <definedName name="XRefPaste1" localSheetId="3" hidden="1">#REF!</definedName>
    <definedName name="XRefPaste1" localSheetId="2" hidden="1">#REF!</definedName>
    <definedName name="XRefPaste1" localSheetId="5" hidden="1">#REF!</definedName>
    <definedName name="XRefPaste1" localSheetId="8" hidden="1">#REF!</definedName>
    <definedName name="XRefPaste1" localSheetId="10" hidden="1">#REF!</definedName>
    <definedName name="XRefPaste1" localSheetId="9" hidden="1">#REF!</definedName>
    <definedName name="XRefPaste1" hidden="1">#REF!</definedName>
    <definedName name="XRefPaste10" localSheetId="3" hidden="1">#REF!</definedName>
    <definedName name="XRefPaste10" localSheetId="2" hidden="1">#REF!</definedName>
    <definedName name="XRefPaste10" localSheetId="5" hidden="1">#REF!</definedName>
    <definedName name="XRefPaste10" localSheetId="8" hidden="1">#REF!</definedName>
    <definedName name="XRefPaste10" localSheetId="10" hidden="1">#REF!</definedName>
    <definedName name="XRefPaste10" localSheetId="9" hidden="1">#REF!</definedName>
    <definedName name="XRefPaste10" hidden="1">#REF!</definedName>
    <definedName name="XRefPaste100Row" localSheetId="3" hidden="1">#REF!</definedName>
    <definedName name="XRefPaste100Row" localSheetId="2" hidden="1">#REF!</definedName>
    <definedName name="XRefPaste100Row" localSheetId="5" hidden="1">#REF!</definedName>
    <definedName name="XRefPaste100Row" localSheetId="8" hidden="1">#REF!</definedName>
    <definedName name="XRefPaste100Row" localSheetId="10" hidden="1">#REF!</definedName>
    <definedName name="XRefPaste100Row" localSheetId="9" hidden="1">#REF!</definedName>
    <definedName name="XRefPaste100Row" hidden="1">#REF!</definedName>
    <definedName name="XRefPaste101" localSheetId="3" hidden="1">#REF!</definedName>
    <definedName name="XRefPaste101" localSheetId="2" hidden="1">#REF!</definedName>
    <definedName name="XRefPaste101" localSheetId="5" hidden="1">#REF!</definedName>
    <definedName name="XRefPaste101" localSheetId="8" hidden="1">#REF!</definedName>
    <definedName name="XRefPaste101" localSheetId="10" hidden="1">#REF!</definedName>
    <definedName name="XRefPaste101" localSheetId="9" hidden="1">#REF!</definedName>
    <definedName name="XRefPaste101" hidden="1">#REF!</definedName>
    <definedName name="XRefPaste101Row" localSheetId="3" hidden="1">#REF!</definedName>
    <definedName name="XRefPaste101Row" localSheetId="2" hidden="1">#REF!</definedName>
    <definedName name="XRefPaste101Row" localSheetId="5" hidden="1">#REF!</definedName>
    <definedName name="XRefPaste101Row" localSheetId="8" hidden="1">#REF!</definedName>
    <definedName name="XRefPaste101Row" localSheetId="10" hidden="1">#REF!</definedName>
    <definedName name="XRefPaste101Row" localSheetId="9" hidden="1">#REF!</definedName>
    <definedName name="XRefPaste101Row" hidden="1">#REF!</definedName>
    <definedName name="XRefPaste102" localSheetId="3" hidden="1">#REF!</definedName>
    <definedName name="XRefPaste102" localSheetId="2" hidden="1">#REF!</definedName>
    <definedName name="XRefPaste102" localSheetId="5" hidden="1">#REF!</definedName>
    <definedName name="XRefPaste102" localSheetId="8" hidden="1">#REF!</definedName>
    <definedName name="XRefPaste102" localSheetId="10" hidden="1">#REF!</definedName>
    <definedName name="XRefPaste102" localSheetId="9" hidden="1">#REF!</definedName>
    <definedName name="XRefPaste102" hidden="1">#REF!</definedName>
    <definedName name="XRefPaste102Row" localSheetId="3" hidden="1">#REF!</definedName>
    <definedName name="XRefPaste102Row" localSheetId="2" hidden="1">#REF!</definedName>
    <definedName name="XRefPaste102Row" localSheetId="5" hidden="1">#REF!</definedName>
    <definedName name="XRefPaste102Row" localSheetId="8" hidden="1">#REF!</definedName>
    <definedName name="XRefPaste102Row" localSheetId="10" hidden="1">#REF!</definedName>
    <definedName name="XRefPaste102Row" localSheetId="9" hidden="1">#REF!</definedName>
    <definedName name="XRefPaste102Row" hidden="1">#REF!</definedName>
    <definedName name="XRefPaste103" localSheetId="3" hidden="1">#REF!</definedName>
    <definedName name="XRefPaste103" localSheetId="2" hidden="1">#REF!</definedName>
    <definedName name="XRefPaste103" localSheetId="5" hidden="1">#REF!</definedName>
    <definedName name="XRefPaste103" localSheetId="8" hidden="1">#REF!</definedName>
    <definedName name="XRefPaste103" localSheetId="10" hidden="1">#REF!</definedName>
    <definedName name="XRefPaste103" localSheetId="9" hidden="1">#REF!</definedName>
    <definedName name="XRefPaste103" hidden="1">#REF!</definedName>
    <definedName name="XRefPaste103Row" localSheetId="3" hidden="1">#REF!</definedName>
    <definedName name="XRefPaste103Row" localSheetId="2" hidden="1">#REF!</definedName>
    <definedName name="XRefPaste103Row" localSheetId="5" hidden="1">#REF!</definedName>
    <definedName name="XRefPaste103Row" localSheetId="8" hidden="1">#REF!</definedName>
    <definedName name="XRefPaste103Row" localSheetId="10" hidden="1">#REF!</definedName>
    <definedName name="XRefPaste103Row" localSheetId="9" hidden="1">#REF!</definedName>
    <definedName name="XRefPaste103Row" hidden="1">#REF!</definedName>
    <definedName name="XRefPaste104Row" localSheetId="3" hidden="1">#REF!</definedName>
    <definedName name="XRefPaste104Row" localSheetId="2" hidden="1">#REF!</definedName>
    <definedName name="XRefPaste104Row" localSheetId="5" hidden="1">#REF!</definedName>
    <definedName name="XRefPaste104Row" localSheetId="8" hidden="1">#REF!</definedName>
    <definedName name="XRefPaste104Row" localSheetId="10" hidden="1">#REF!</definedName>
    <definedName name="XRefPaste104Row" localSheetId="9" hidden="1">#REF!</definedName>
    <definedName name="XRefPaste104Row" hidden="1">#REF!</definedName>
    <definedName name="XRefPaste105Row" localSheetId="3" hidden="1">#REF!</definedName>
    <definedName name="XRefPaste105Row" localSheetId="2" hidden="1">#REF!</definedName>
    <definedName name="XRefPaste105Row" localSheetId="5" hidden="1">#REF!</definedName>
    <definedName name="XRefPaste105Row" localSheetId="8" hidden="1">#REF!</definedName>
    <definedName name="XRefPaste105Row" localSheetId="10" hidden="1">#REF!</definedName>
    <definedName name="XRefPaste105Row" localSheetId="9" hidden="1">#REF!</definedName>
    <definedName name="XRefPaste105Row" hidden="1">#REF!</definedName>
    <definedName name="XRefPaste106" localSheetId="3" hidden="1">#REF!</definedName>
    <definedName name="XRefPaste106" localSheetId="2" hidden="1">#REF!</definedName>
    <definedName name="XRefPaste106" localSheetId="5" hidden="1">#REF!</definedName>
    <definedName name="XRefPaste106" localSheetId="8" hidden="1">#REF!</definedName>
    <definedName name="XRefPaste106" localSheetId="10" hidden="1">#REF!</definedName>
    <definedName name="XRefPaste106" localSheetId="9" hidden="1">#REF!</definedName>
    <definedName name="XRefPaste106" hidden="1">#REF!</definedName>
    <definedName name="XRefPaste106Row" localSheetId="3" hidden="1">#REF!</definedName>
    <definedName name="XRefPaste106Row" localSheetId="2" hidden="1">#REF!</definedName>
    <definedName name="XRefPaste106Row" localSheetId="5" hidden="1">#REF!</definedName>
    <definedName name="XRefPaste106Row" localSheetId="8" hidden="1">#REF!</definedName>
    <definedName name="XRefPaste106Row" localSheetId="10" hidden="1">#REF!</definedName>
    <definedName name="XRefPaste106Row" localSheetId="9" hidden="1">#REF!</definedName>
    <definedName name="XRefPaste106Row" hidden="1">#REF!</definedName>
    <definedName name="XRefPaste107Row" localSheetId="3" hidden="1">#REF!</definedName>
    <definedName name="XRefPaste107Row" localSheetId="2" hidden="1">#REF!</definedName>
    <definedName name="XRefPaste107Row" localSheetId="5" hidden="1">#REF!</definedName>
    <definedName name="XRefPaste107Row" localSheetId="8" hidden="1">#REF!</definedName>
    <definedName name="XRefPaste107Row" localSheetId="10" hidden="1">#REF!</definedName>
    <definedName name="XRefPaste107Row" localSheetId="9" hidden="1">#REF!</definedName>
    <definedName name="XRefPaste107Row" hidden="1">#REF!</definedName>
    <definedName name="XRefPaste108Row" localSheetId="3" hidden="1">#REF!</definedName>
    <definedName name="XRefPaste108Row" localSheetId="2" hidden="1">#REF!</definedName>
    <definedName name="XRefPaste108Row" localSheetId="5" hidden="1">#REF!</definedName>
    <definedName name="XRefPaste108Row" localSheetId="8" hidden="1">#REF!</definedName>
    <definedName name="XRefPaste108Row" localSheetId="10" hidden="1">#REF!</definedName>
    <definedName name="XRefPaste108Row" localSheetId="9" hidden="1">#REF!</definedName>
    <definedName name="XRefPaste108Row" hidden="1">#REF!</definedName>
    <definedName name="XRefPaste10Row" localSheetId="3" hidden="1">#REF!</definedName>
    <definedName name="XRefPaste10Row" localSheetId="2" hidden="1">#REF!</definedName>
    <definedName name="XRefPaste10Row" localSheetId="5" hidden="1">#REF!</definedName>
    <definedName name="XRefPaste10Row" localSheetId="8" hidden="1">#REF!</definedName>
    <definedName name="XRefPaste10Row" localSheetId="10" hidden="1">#REF!</definedName>
    <definedName name="XRefPaste10Row" localSheetId="9" hidden="1">#REF!</definedName>
    <definedName name="XRefPaste10Row" hidden="1">#REF!</definedName>
    <definedName name="XRefPaste11" localSheetId="3" hidden="1">#REF!</definedName>
    <definedName name="XRefPaste11" localSheetId="2" hidden="1">#REF!</definedName>
    <definedName name="XRefPaste11" localSheetId="5" hidden="1">#REF!</definedName>
    <definedName name="XRefPaste11" localSheetId="8" hidden="1">#REF!</definedName>
    <definedName name="XRefPaste11" localSheetId="10" hidden="1">#REF!</definedName>
    <definedName name="XRefPaste11" localSheetId="9" hidden="1">#REF!</definedName>
    <definedName name="XRefPaste11" hidden="1">#REF!</definedName>
    <definedName name="XRefPaste111Row" localSheetId="3" hidden="1">#REF!</definedName>
    <definedName name="XRefPaste111Row" localSheetId="2" hidden="1">#REF!</definedName>
    <definedName name="XRefPaste111Row" localSheetId="5" hidden="1">#REF!</definedName>
    <definedName name="XRefPaste111Row" localSheetId="8" hidden="1">#REF!</definedName>
    <definedName name="XRefPaste111Row" localSheetId="10" hidden="1">#REF!</definedName>
    <definedName name="XRefPaste111Row" localSheetId="9" hidden="1">#REF!</definedName>
    <definedName name="XRefPaste111Row" hidden="1">#REF!</definedName>
    <definedName name="XRefPaste112Row" localSheetId="3" hidden="1">#REF!</definedName>
    <definedName name="XRefPaste112Row" localSheetId="2" hidden="1">#REF!</definedName>
    <definedName name="XRefPaste112Row" localSheetId="5" hidden="1">#REF!</definedName>
    <definedName name="XRefPaste112Row" localSheetId="8" hidden="1">#REF!</definedName>
    <definedName name="XRefPaste112Row" localSheetId="10" hidden="1">#REF!</definedName>
    <definedName name="XRefPaste112Row" localSheetId="9" hidden="1">#REF!</definedName>
    <definedName name="XRefPaste112Row" hidden="1">#REF!</definedName>
    <definedName name="XRefPaste117" localSheetId="3" hidden="1">'[57]Mapa de Resultado'!#REF!</definedName>
    <definedName name="XRefPaste117" localSheetId="2" hidden="1">'[57]Mapa de Resultado'!#REF!</definedName>
    <definedName name="XRefPaste117" localSheetId="5" hidden="1">'[57]Mapa de Resultado'!#REF!</definedName>
    <definedName name="XRefPaste117" localSheetId="8" hidden="1">'[57]Mapa de Resultado'!#REF!</definedName>
    <definedName name="XRefPaste117" localSheetId="10" hidden="1">'[57]Mapa de Resultado'!#REF!</definedName>
    <definedName name="XRefPaste117" localSheetId="9" hidden="1">'[57]Mapa de Resultado'!#REF!</definedName>
    <definedName name="XRefPaste117" hidden="1">'[57]Mapa de Resultado'!#REF!</definedName>
    <definedName name="XRefPaste117Row" localSheetId="3" hidden="1">#REF!</definedName>
    <definedName name="XRefPaste117Row" localSheetId="2" hidden="1">#REF!</definedName>
    <definedName name="XRefPaste117Row" localSheetId="5" hidden="1">#REF!</definedName>
    <definedName name="XRefPaste117Row" localSheetId="8" hidden="1">#REF!</definedName>
    <definedName name="XRefPaste117Row" localSheetId="10" hidden="1">#REF!</definedName>
    <definedName name="XRefPaste117Row" localSheetId="9" hidden="1">#REF!</definedName>
    <definedName name="XRefPaste117Row" hidden="1">#REF!</definedName>
    <definedName name="XRefPaste118" localSheetId="3" hidden="1">'[57]Mapa de Resultado'!#REF!</definedName>
    <definedName name="XRefPaste118" localSheetId="2" hidden="1">'[57]Mapa de Resultado'!#REF!</definedName>
    <definedName name="XRefPaste118" localSheetId="5" hidden="1">'[57]Mapa de Resultado'!#REF!</definedName>
    <definedName name="XRefPaste118" localSheetId="8" hidden="1">'[57]Mapa de Resultado'!#REF!</definedName>
    <definedName name="XRefPaste118" localSheetId="10" hidden="1">'[57]Mapa de Resultado'!#REF!</definedName>
    <definedName name="XRefPaste118" localSheetId="9" hidden="1">'[57]Mapa de Resultado'!#REF!</definedName>
    <definedName name="XRefPaste118" hidden="1">'[57]Mapa de Resultado'!#REF!</definedName>
    <definedName name="XRefPaste118Row" localSheetId="3" hidden="1">#REF!</definedName>
    <definedName name="XRefPaste118Row" localSheetId="2" hidden="1">#REF!</definedName>
    <definedName name="XRefPaste118Row" localSheetId="5" hidden="1">#REF!</definedName>
    <definedName name="XRefPaste118Row" localSheetId="8" hidden="1">#REF!</definedName>
    <definedName name="XRefPaste118Row" localSheetId="10" hidden="1">#REF!</definedName>
    <definedName name="XRefPaste118Row" localSheetId="9" hidden="1">#REF!</definedName>
    <definedName name="XRefPaste118Row" hidden="1">#REF!</definedName>
    <definedName name="XRefPaste119" localSheetId="3" hidden="1">'[57]Mapa de Resultado'!#REF!</definedName>
    <definedName name="XRefPaste119" localSheetId="2" hidden="1">'[57]Mapa de Resultado'!#REF!</definedName>
    <definedName name="XRefPaste119" localSheetId="5" hidden="1">'[57]Mapa de Resultado'!#REF!</definedName>
    <definedName name="XRefPaste119" localSheetId="8" hidden="1">'[57]Mapa de Resultado'!#REF!</definedName>
    <definedName name="XRefPaste119" localSheetId="10" hidden="1">'[57]Mapa de Resultado'!#REF!</definedName>
    <definedName name="XRefPaste119" localSheetId="9" hidden="1">'[57]Mapa de Resultado'!#REF!</definedName>
    <definedName name="XRefPaste119" hidden="1">'[57]Mapa de Resultado'!#REF!</definedName>
    <definedName name="XRefPaste119Row" localSheetId="3" hidden="1">#REF!</definedName>
    <definedName name="XRefPaste119Row" localSheetId="2" hidden="1">#REF!</definedName>
    <definedName name="XRefPaste119Row" localSheetId="5" hidden="1">#REF!</definedName>
    <definedName name="XRefPaste119Row" localSheetId="8" hidden="1">#REF!</definedName>
    <definedName name="XRefPaste119Row" localSheetId="10" hidden="1">#REF!</definedName>
    <definedName name="XRefPaste119Row" localSheetId="9" hidden="1">#REF!</definedName>
    <definedName name="XRefPaste119Row" hidden="1">#REF!</definedName>
    <definedName name="XRefPaste11Row" localSheetId="3" hidden="1">#REF!</definedName>
    <definedName name="XRefPaste11Row" localSheetId="2" hidden="1">#REF!</definedName>
    <definedName name="XRefPaste11Row" localSheetId="5" hidden="1">#REF!</definedName>
    <definedName name="XRefPaste11Row" localSheetId="8" hidden="1">#REF!</definedName>
    <definedName name="XRefPaste11Row" localSheetId="10" hidden="1">#REF!</definedName>
    <definedName name="XRefPaste11Row" localSheetId="9" hidden="1">#REF!</definedName>
    <definedName name="XRefPaste11Row" hidden="1">#REF!</definedName>
    <definedName name="XRefPaste12" localSheetId="3" hidden="1">#REF!</definedName>
    <definedName name="XRefPaste12" localSheetId="2" hidden="1">#REF!</definedName>
    <definedName name="XRefPaste12" localSheetId="5" hidden="1">#REF!</definedName>
    <definedName name="XRefPaste12" localSheetId="8" hidden="1">#REF!</definedName>
    <definedName name="XRefPaste12" localSheetId="10" hidden="1">#REF!</definedName>
    <definedName name="XRefPaste12" localSheetId="9" hidden="1">#REF!</definedName>
    <definedName name="XRefPaste12" hidden="1">#REF!</definedName>
    <definedName name="XRefPaste120" localSheetId="3" hidden="1">#REF!</definedName>
    <definedName name="XRefPaste120" localSheetId="2" hidden="1">#REF!</definedName>
    <definedName name="XRefPaste120" localSheetId="5" hidden="1">#REF!</definedName>
    <definedName name="XRefPaste120" localSheetId="8" hidden="1">#REF!</definedName>
    <definedName name="XRefPaste120" localSheetId="10" hidden="1">#REF!</definedName>
    <definedName name="XRefPaste120" localSheetId="9" hidden="1">#REF!</definedName>
    <definedName name="XRefPaste120" hidden="1">#REF!</definedName>
    <definedName name="XRefPaste120Row" localSheetId="3" hidden="1">#REF!</definedName>
    <definedName name="XRefPaste120Row" localSheetId="2" hidden="1">#REF!</definedName>
    <definedName name="XRefPaste120Row" localSheetId="5" hidden="1">#REF!</definedName>
    <definedName name="XRefPaste120Row" localSheetId="8" hidden="1">#REF!</definedName>
    <definedName name="XRefPaste120Row" localSheetId="10" hidden="1">#REF!</definedName>
    <definedName name="XRefPaste120Row" localSheetId="9" hidden="1">#REF!</definedName>
    <definedName name="XRefPaste120Row" hidden="1">#REF!</definedName>
    <definedName name="XRefPaste121Row" localSheetId="3" hidden="1">#REF!</definedName>
    <definedName name="XRefPaste121Row" localSheetId="2" hidden="1">#REF!</definedName>
    <definedName name="XRefPaste121Row" localSheetId="5" hidden="1">#REF!</definedName>
    <definedName name="XRefPaste121Row" localSheetId="8" hidden="1">#REF!</definedName>
    <definedName name="XRefPaste121Row" localSheetId="10" hidden="1">#REF!</definedName>
    <definedName name="XRefPaste121Row" localSheetId="9" hidden="1">#REF!</definedName>
    <definedName name="XRefPaste121Row" hidden="1">#REF!</definedName>
    <definedName name="XRefPaste122Row" localSheetId="3" hidden="1">#REF!</definedName>
    <definedName name="XRefPaste122Row" localSheetId="2" hidden="1">#REF!</definedName>
    <definedName name="XRefPaste122Row" localSheetId="5" hidden="1">#REF!</definedName>
    <definedName name="XRefPaste122Row" localSheetId="8" hidden="1">#REF!</definedName>
    <definedName name="XRefPaste122Row" localSheetId="10" hidden="1">#REF!</definedName>
    <definedName name="XRefPaste122Row" localSheetId="9" hidden="1">#REF!</definedName>
    <definedName name="XRefPaste122Row" hidden="1">#REF!</definedName>
    <definedName name="XRefPaste123Row" localSheetId="3" hidden="1">#REF!</definedName>
    <definedName name="XRefPaste123Row" localSheetId="2" hidden="1">#REF!</definedName>
    <definedName name="XRefPaste123Row" localSheetId="5" hidden="1">#REF!</definedName>
    <definedName name="XRefPaste123Row" localSheetId="8" hidden="1">#REF!</definedName>
    <definedName name="XRefPaste123Row" localSheetId="10" hidden="1">#REF!</definedName>
    <definedName name="XRefPaste123Row" localSheetId="9" hidden="1">#REF!</definedName>
    <definedName name="XRefPaste123Row" hidden="1">#REF!</definedName>
    <definedName name="XRefPaste124Row" localSheetId="3" hidden="1">#REF!</definedName>
    <definedName name="XRefPaste124Row" localSheetId="2" hidden="1">#REF!</definedName>
    <definedName name="XRefPaste124Row" localSheetId="5" hidden="1">#REF!</definedName>
    <definedName name="XRefPaste124Row" localSheetId="8" hidden="1">#REF!</definedName>
    <definedName name="XRefPaste124Row" localSheetId="10" hidden="1">#REF!</definedName>
    <definedName name="XRefPaste124Row" localSheetId="9" hidden="1">#REF!</definedName>
    <definedName name="XRefPaste124Row" hidden="1">#REF!</definedName>
    <definedName name="XRefPaste126Row" localSheetId="3" hidden="1">#REF!</definedName>
    <definedName name="XRefPaste126Row" localSheetId="2" hidden="1">#REF!</definedName>
    <definedName name="XRefPaste126Row" localSheetId="5" hidden="1">#REF!</definedName>
    <definedName name="XRefPaste126Row" localSheetId="8" hidden="1">#REF!</definedName>
    <definedName name="XRefPaste126Row" localSheetId="10" hidden="1">#REF!</definedName>
    <definedName name="XRefPaste126Row" localSheetId="9" hidden="1">#REF!</definedName>
    <definedName name="XRefPaste126Row" hidden="1">#REF!</definedName>
    <definedName name="XRefPaste127Row" localSheetId="3" hidden="1">#REF!</definedName>
    <definedName name="XRefPaste127Row" localSheetId="2" hidden="1">#REF!</definedName>
    <definedName name="XRefPaste127Row" localSheetId="5" hidden="1">#REF!</definedName>
    <definedName name="XRefPaste127Row" localSheetId="8" hidden="1">#REF!</definedName>
    <definedName name="XRefPaste127Row" localSheetId="10" hidden="1">#REF!</definedName>
    <definedName name="XRefPaste127Row" localSheetId="9" hidden="1">#REF!</definedName>
    <definedName name="XRefPaste127Row" hidden="1">#REF!</definedName>
    <definedName name="XRefPaste128Row" localSheetId="3" hidden="1">#REF!</definedName>
    <definedName name="XRefPaste128Row" localSheetId="2" hidden="1">#REF!</definedName>
    <definedName name="XRefPaste128Row" localSheetId="5" hidden="1">#REF!</definedName>
    <definedName name="XRefPaste128Row" localSheetId="8" hidden="1">#REF!</definedName>
    <definedName name="XRefPaste128Row" localSheetId="10" hidden="1">#REF!</definedName>
    <definedName name="XRefPaste128Row" localSheetId="9" hidden="1">#REF!</definedName>
    <definedName name="XRefPaste128Row" hidden="1">#REF!</definedName>
    <definedName name="XRefPaste129Row" localSheetId="3" hidden="1">#REF!</definedName>
    <definedName name="XRefPaste129Row" localSheetId="2" hidden="1">#REF!</definedName>
    <definedName name="XRefPaste129Row" localSheetId="5" hidden="1">#REF!</definedName>
    <definedName name="XRefPaste129Row" localSheetId="8" hidden="1">#REF!</definedName>
    <definedName name="XRefPaste129Row" localSheetId="10" hidden="1">#REF!</definedName>
    <definedName name="XRefPaste129Row" localSheetId="9" hidden="1">#REF!</definedName>
    <definedName name="XRefPaste129Row" hidden="1">#REF!</definedName>
    <definedName name="XRefPaste12Row" localSheetId="3" hidden="1">#REF!</definedName>
    <definedName name="XRefPaste12Row" localSheetId="2" hidden="1">#REF!</definedName>
    <definedName name="XRefPaste12Row" localSheetId="5" hidden="1">#REF!</definedName>
    <definedName name="XRefPaste12Row" localSheetId="8" hidden="1">#REF!</definedName>
    <definedName name="XRefPaste12Row" localSheetId="10" hidden="1">#REF!</definedName>
    <definedName name="XRefPaste12Row" localSheetId="9" hidden="1">#REF!</definedName>
    <definedName name="XRefPaste12Row" hidden="1">#REF!</definedName>
    <definedName name="XRefPaste13" localSheetId="3" hidden="1">#REF!</definedName>
    <definedName name="XRefPaste13" localSheetId="2" hidden="1">#REF!</definedName>
    <definedName name="XRefPaste13" localSheetId="5" hidden="1">#REF!</definedName>
    <definedName name="XRefPaste13" localSheetId="8" hidden="1">#REF!</definedName>
    <definedName name="XRefPaste13" localSheetId="10" hidden="1">#REF!</definedName>
    <definedName name="XRefPaste13" localSheetId="9" hidden="1">#REF!</definedName>
    <definedName name="XRefPaste13" hidden="1">#REF!</definedName>
    <definedName name="XRefPaste130Row" localSheetId="3" hidden="1">#REF!</definedName>
    <definedName name="XRefPaste130Row" localSheetId="2" hidden="1">#REF!</definedName>
    <definedName name="XRefPaste130Row" localSheetId="5" hidden="1">#REF!</definedName>
    <definedName name="XRefPaste130Row" localSheetId="8" hidden="1">#REF!</definedName>
    <definedName name="XRefPaste130Row" localSheetId="10" hidden="1">#REF!</definedName>
    <definedName name="XRefPaste130Row" localSheetId="9" hidden="1">#REF!</definedName>
    <definedName name="XRefPaste130Row" hidden="1">#REF!</definedName>
    <definedName name="XRefPaste131Row" localSheetId="3" hidden="1">#REF!</definedName>
    <definedName name="XRefPaste131Row" localSheetId="2" hidden="1">#REF!</definedName>
    <definedName name="XRefPaste131Row" localSheetId="5" hidden="1">#REF!</definedName>
    <definedName name="XRefPaste131Row" localSheetId="8" hidden="1">#REF!</definedName>
    <definedName name="XRefPaste131Row" localSheetId="10" hidden="1">#REF!</definedName>
    <definedName name="XRefPaste131Row" localSheetId="9" hidden="1">#REF!</definedName>
    <definedName name="XRefPaste131Row" hidden="1">#REF!</definedName>
    <definedName name="XRefPaste132Row" localSheetId="3" hidden="1">#REF!</definedName>
    <definedName name="XRefPaste132Row" localSheetId="2" hidden="1">#REF!</definedName>
    <definedName name="XRefPaste132Row" localSheetId="5" hidden="1">#REF!</definedName>
    <definedName name="XRefPaste132Row" localSheetId="8" hidden="1">#REF!</definedName>
    <definedName name="XRefPaste132Row" localSheetId="10" hidden="1">#REF!</definedName>
    <definedName name="XRefPaste132Row" localSheetId="9" hidden="1">#REF!</definedName>
    <definedName name="XRefPaste132Row" hidden="1">#REF!</definedName>
    <definedName name="XRefPaste133Row" localSheetId="3" hidden="1">#REF!</definedName>
    <definedName name="XRefPaste133Row" localSheetId="2" hidden="1">#REF!</definedName>
    <definedName name="XRefPaste133Row" localSheetId="5" hidden="1">#REF!</definedName>
    <definedName name="XRefPaste133Row" localSheetId="8" hidden="1">#REF!</definedName>
    <definedName name="XRefPaste133Row" localSheetId="10" hidden="1">#REF!</definedName>
    <definedName name="XRefPaste133Row" localSheetId="9" hidden="1">#REF!</definedName>
    <definedName name="XRefPaste133Row" hidden="1">#REF!</definedName>
    <definedName name="XRefPaste134Row" localSheetId="3" hidden="1">#REF!</definedName>
    <definedName name="XRefPaste134Row" localSheetId="2" hidden="1">#REF!</definedName>
    <definedName name="XRefPaste134Row" localSheetId="5" hidden="1">#REF!</definedName>
    <definedName name="XRefPaste134Row" localSheetId="8" hidden="1">#REF!</definedName>
    <definedName name="XRefPaste134Row" localSheetId="10" hidden="1">#REF!</definedName>
    <definedName name="XRefPaste134Row" localSheetId="9" hidden="1">#REF!</definedName>
    <definedName name="XRefPaste134Row" hidden="1">#REF!</definedName>
    <definedName name="XRefPaste135Row" localSheetId="3" hidden="1">#REF!</definedName>
    <definedName name="XRefPaste135Row" localSheetId="2" hidden="1">#REF!</definedName>
    <definedName name="XRefPaste135Row" localSheetId="5" hidden="1">#REF!</definedName>
    <definedName name="XRefPaste135Row" localSheetId="8" hidden="1">#REF!</definedName>
    <definedName name="XRefPaste135Row" localSheetId="10" hidden="1">#REF!</definedName>
    <definedName name="XRefPaste135Row" localSheetId="9" hidden="1">#REF!</definedName>
    <definedName name="XRefPaste135Row" hidden="1">#REF!</definedName>
    <definedName name="XRefPaste136Row" localSheetId="3" hidden="1">#REF!</definedName>
    <definedName name="XRefPaste136Row" localSheetId="2" hidden="1">#REF!</definedName>
    <definedName name="XRefPaste136Row" localSheetId="5" hidden="1">#REF!</definedName>
    <definedName name="XRefPaste136Row" localSheetId="8" hidden="1">#REF!</definedName>
    <definedName name="XRefPaste136Row" localSheetId="10" hidden="1">#REF!</definedName>
    <definedName name="XRefPaste136Row" localSheetId="9" hidden="1">#REF!</definedName>
    <definedName name="XRefPaste136Row" hidden="1">#REF!</definedName>
    <definedName name="XRefPaste137Row" localSheetId="3" hidden="1">#REF!</definedName>
    <definedName name="XRefPaste137Row" localSheetId="2" hidden="1">#REF!</definedName>
    <definedName name="XRefPaste137Row" localSheetId="5" hidden="1">#REF!</definedName>
    <definedName name="XRefPaste137Row" localSheetId="8" hidden="1">#REF!</definedName>
    <definedName name="XRefPaste137Row" localSheetId="10" hidden="1">#REF!</definedName>
    <definedName name="XRefPaste137Row" localSheetId="9" hidden="1">#REF!</definedName>
    <definedName name="XRefPaste137Row" hidden="1">#REF!</definedName>
    <definedName name="XRefPaste138Row" localSheetId="3" hidden="1">#REF!</definedName>
    <definedName name="XRefPaste138Row" localSheetId="2" hidden="1">#REF!</definedName>
    <definedName name="XRefPaste138Row" localSheetId="5" hidden="1">#REF!</definedName>
    <definedName name="XRefPaste138Row" localSheetId="8" hidden="1">#REF!</definedName>
    <definedName name="XRefPaste138Row" localSheetId="10" hidden="1">#REF!</definedName>
    <definedName name="XRefPaste138Row" localSheetId="9" hidden="1">#REF!</definedName>
    <definedName name="XRefPaste138Row" hidden="1">#REF!</definedName>
    <definedName name="XRefPaste139" localSheetId="3" hidden="1">'[57]Mapa de Resultado'!#REF!</definedName>
    <definedName name="XRefPaste139" localSheetId="2" hidden="1">'[57]Mapa de Resultado'!#REF!</definedName>
    <definedName name="XRefPaste139" localSheetId="5" hidden="1">'[57]Mapa de Resultado'!#REF!</definedName>
    <definedName name="XRefPaste139" localSheetId="8" hidden="1">'[57]Mapa de Resultado'!#REF!</definedName>
    <definedName name="XRefPaste139" localSheetId="10" hidden="1">'[57]Mapa de Resultado'!#REF!</definedName>
    <definedName name="XRefPaste139" localSheetId="9" hidden="1">'[57]Mapa de Resultado'!#REF!</definedName>
    <definedName name="XRefPaste139" hidden="1">'[57]Mapa de Resultado'!#REF!</definedName>
    <definedName name="XRefPaste139Row" localSheetId="3" hidden="1">#REF!</definedName>
    <definedName name="XRefPaste139Row" localSheetId="2" hidden="1">#REF!</definedName>
    <definedName name="XRefPaste139Row" localSheetId="5" hidden="1">#REF!</definedName>
    <definedName name="XRefPaste139Row" localSheetId="8" hidden="1">#REF!</definedName>
    <definedName name="XRefPaste139Row" localSheetId="10" hidden="1">#REF!</definedName>
    <definedName name="XRefPaste139Row" localSheetId="9" hidden="1">#REF!</definedName>
    <definedName name="XRefPaste139Row" hidden="1">#REF!</definedName>
    <definedName name="XRefPaste13Row" localSheetId="3" hidden="1">#REF!</definedName>
    <definedName name="XRefPaste13Row" localSheetId="2" hidden="1">#REF!</definedName>
    <definedName name="XRefPaste13Row" localSheetId="5" hidden="1">#REF!</definedName>
    <definedName name="XRefPaste13Row" localSheetId="8" hidden="1">#REF!</definedName>
    <definedName name="XRefPaste13Row" localSheetId="10" hidden="1">#REF!</definedName>
    <definedName name="XRefPaste13Row" localSheetId="9" hidden="1">#REF!</definedName>
    <definedName name="XRefPaste13Row" hidden="1">#REF!</definedName>
    <definedName name="XRefPaste14" localSheetId="3" hidden="1">#REF!</definedName>
    <definedName name="XRefPaste14" localSheetId="2" hidden="1">#REF!</definedName>
    <definedName name="XRefPaste14" localSheetId="5" hidden="1">#REF!</definedName>
    <definedName name="XRefPaste14" localSheetId="8" hidden="1">#REF!</definedName>
    <definedName name="XRefPaste14" localSheetId="10" hidden="1">#REF!</definedName>
    <definedName name="XRefPaste14" localSheetId="9" hidden="1">#REF!</definedName>
    <definedName name="XRefPaste14" hidden="1">#REF!</definedName>
    <definedName name="XRefPaste14Row" localSheetId="3" hidden="1">#REF!</definedName>
    <definedName name="XRefPaste14Row" localSheetId="2" hidden="1">#REF!</definedName>
    <definedName name="XRefPaste14Row" localSheetId="5" hidden="1">#REF!</definedName>
    <definedName name="XRefPaste14Row" localSheetId="8" hidden="1">#REF!</definedName>
    <definedName name="XRefPaste14Row" localSheetId="10" hidden="1">#REF!</definedName>
    <definedName name="XRefPaste14Row" localSheetId="9" hidden="1">#REF!</definedName>
    <definedName name="XRefPaste14Row" hidden="1">#REF!</definedName>
    <definedName name="XRefPaste15" localSheetId="3" hidden="1">#REF!</definedName>
    <definedName name="XRefPaste15" localSheetId="2" hidden="1">#REF!</definedName>
    <definedName name="XRefPaste15" localSheetId="5" hidden="1">#REF!</definedName>
    <definedName name="XRefPaste15" localSheetId="8" hidden="1">#REF!</definedName>
    <definedName name="XRefPaste15" localSheetId="10" hidden="1">#REF!</definedName>
    <definedName name="XRefPaste15" localSheetId="9" hidden="1">#REF!</definedName>
    <definedName name="XRefPaste15" hidden="1">#REF!</definedName>
    <definedName name="XRefPaste15Row" localSheetId="3" hidden="1">#REF!</definedName>
    <definedName name="XRefPaste15Row" localSheetId="2" hidden="1">#REF!</definedName>
    <definedName name="XRefPaste15Row" localSheetId="5" hidden="1">#REF!</definedName>
    <definedName name="XRefPaste15Row" localSheetId="8" hidden="1">#REF!</definedName>
    <definedName name="XRefPaste15Row" localSheetId="10" hidden="1">#REF!</definedName>
    <definedName name="XRefPaste15Row" localSheetId="9" hidden="1">#REF!</definedName>
    <definedName name="XRefPaste15Row" hidden="1">#REF!</definedName>
    <definedName name="XRefPaste16" localSheetId="3" hidden="1">#REF!</definedName>
    <definedName name="XRefPaste16" localSheetId="2" hidden="1">#REF!</definedName>
    <definedName name="XRefPaste16" localSheetId="5" hidden="1">#REF!</definedName>
    <definedName name="XRefPaste16" localSheetId="8" hidden="1">#REF!</definedName>
    <definedName name="XRefPaste16" localSheetId="10" hidden="1">#REF!</definedName>
    <definedName name="XRefPaste16" localSheetId="9" hidden="1">#REF!</definedName>
    <definedName name="XRefPaste16" hidden="1">#REF!</definedName>
    <definedName name="XRefPaste16Row" localSheetId="3" hidden="1">[44]XREF!#REF!</definedName>
    <definedName name="XRefPaste16Row" localSheetId="2" hidden="1">[44]XREF!#REF!</definedName>
    <definedName name="XRefPaste16Row" localSheetId="5" hidden="1">[44]XREF!#REF!</definedName>
    <definedName name="XRefPaste16Row" localSheetId="8" hidden="1">[44]XREF!#REF!</definedName>
    <definedName name="XRefPaste16Row" localSheetId="10" hidden="1">[44]XREF!#REF!</definedName>
    <definedName name="XRefPaste16Row" localSheetId="9" hidden="1">[44]XREF!#REF!</definedName>
    <definedName name="XRefPaste16Row" hidden="1">[44]XREF!#REF!</definedName>
    <definedName name="XRefPaste17" localSheetId="3" hidden="1">[48]A11!#REF!</definedName>
    <definedName name="XRefPaste17" localSheetId="2" hidden="1">[48]A11!#REF!</definedName>
    <definedName name="XRefPaste17" localSheetId="5" hidden="1">[48]A11!#REF!</definedName>
    <definedName name="XRefPaste17" localSheetId="8" hidden="1">[48]A11!#REF!</definedName>
    <definedName name="XRefPaste17" localSheetId="10" hidden="1">[48]A11!#REF!</definedName>
    <definedName name="XRefPaste17" localSheetId="9" hidden="1">[48]A11!#REF!</definedName>
    <definedName name="XRefPaste17" hidden="1">[48]A11!#REF!</definedName>
    <definedName name="XRefPaste17Row" localSheetId="3" hidden="1">[44]XREF!#REF!</definedName>
    <definedName name="XRefPaste17Row" localSheetId="2" hidden="1">[44]XREF!#REF!</definedName>
    <definedName name="XRefPaste17Row" localSheetId="5" hidden="1">[44]XREF!#REF!</definedName>
    <definedName name="XRefPaste17Row" localSheetId="8" hidden="1">[44]XREF!#REF!</definedName>
    <definedName name="XRefPaste17Row" localSheetId="10" hidden="1">[44]XREF!#REF!</definedName>
    <definedName name="XRefPaste17Row" localSheetId="9" hidden="1">[44]XREF!#REF!</definedName>
    <definedName name="XRefPaste17Row" hidden="1">[44]XREF!#REF!</definedName>
    <definedName name="XRefPaste18" localSheetId="3" hidden="1">#REF!</definedName>
    <definedName name="XRefPaste18" localSheetId="2" hidden="1">#REF!</definedName>
    <definedName name="XRefPaste18" localSheetId="5" hidden="1">#REF!</definedName>
    <definedName name="XRefPaste18" localSheetId="8" hidden="1">#REF!</definedName>
    <definedName name="XRefPaste18" localSheetId="10" hidden="1">#REF!</definedName>
    <definedName name="XRefPaste18" localSheetId="9" hidden="1">#REF!</definedName>
    <definedName name="XRefPaste18" hidden="1">#REF!</definedName>
    <definedName name="XRefPaste18Row" localSheetId="3" hidden="1">[44]XREF!#REF!</definedName>
    <definedName name="XRefPaste18Row" localSheetId="2" hidden="1">[44]XREF!#REF!</definedName>
    <definedName name="XRefPaste18Row" localSheetId="5" hidden="1">[44]XREF!#REF!</definedName>
    <definedName name="XRefPaste18Row" localSheetId="8" hidden="1">[44]XREF!#REF!</definedName>
    <definedName name="XRefPaste18Row" localSheetId="10" hidden="1">[44]XREF!#REF!</definedName>
    <definedName name="XRefPaste18Row" localSheetId="9" hidden="1">[44]XREF!#REF!</definedName>
    <definedName name="XRefPaste18Row" hidden="1">[44]XREF!#REF!</definedName>
    <definedName name="XRefPaste19" localSheetId="3" hidden="1">#REF!</definedName>
    <definedName name="XRefPaste19" localSheetId="2" hidden="1">#REF!</definedName>
    <definedName name="XRefPaste19" localSheetId="5" hidden="1">#REF!</definedName>
    <definedName name="XRefPaste19" localSheetId="8" hidden="1">#REF!</definedName>
    <definedName name="XRefPaste19" localSheetId="10" hidden="1">#REF!</definedName>
    <definedName name="XRefPaste19" localSheetId="9" hidden="1">#REF!</definedName>
    <definedName name="XRefPaste19" hidden="1">#REF!</definedName>
    <definedName name="XRefPaste19Row" localSheetId="3" hidden="1">[44]XREF!#REF!</definedName>
    <definedName name="XRefPaste19Row" localSheetId="2" hidden="1">[44]XREF!#REF!</definedName>
    <definedName name="XRefPaste19Row" localSheetId="5" hidden="1">[44]XREF!#REF!</definedName>
    <definedName name="XRefPaste19Row" localSheetId="8" hidden="1">[44]XREF!#REF!</definedName>
    <definedName name="XRefPaste19Row" localSheetId="10" hidden="1">[44]XREF!#REF!</definedName>
    <definedName name="XRefPaste19Row" localSheetId="9" hidden="1">[44]XREF!#REF!</definedName>
    <definedName name="XRefPaste19Row" hidden="1">[44]XREF!#REF!</definedName>
    <definedName name="XRefPaste1Row" localSheetId="3" hidden="1">#REF!</definedName>
    <definedName name="XRefPaste1Row" localSheetId="2" hidden="1">#REF!</definedName>
    <definedName name="XRefPaste1Row" localSheetId="5" hidden="1">#REF!</definedName>
    <definedName name="XRefPaste1Row" localSheetId="8" hidden="1">#REF!</definedName>
    <definedName name="XRefPaste1Row" localSheetId="10" hidden="1">#REF!</definedName>
    <definedName name="XRefPaste1Row" localSheetId="9" hidden="1">#REF!</definedName>
    <definedName name="XRefPaste1Row" hidden="1">#REF!</definedName>
    <definedName name="XRefPaste2" localSheetId="3" hidden="1">#REF!</definedName>
    <definedName name="XRefPaste2" localSheetId="2" hidden="1">#REF!</definedName>
    <definedName name="XRefPaste2" localSheetId="5" hidden="1">#REF!</definedName>
    <definedName name="XRefPaste2" localSheetId="8" hidden="1">#REF!</definedName>
    <definedName name="XRefPaste2" localSheetId="10" hidden="1">#REF!</definedName>
    <definedName name="XRefPaste2" localSheetId="9" hidden="1">#REF!</definedName>
    <definedName name="XRefPaste2" hidden="1">#REF!</definedName>
    <definedName name="XRefPaste20" localSheetId="3" hidden="1">[50]Consolidado_1999!#REF!</definedName>
    <definedName name="XRefPaste20" localSheetId="2" hidden="1">[50]Consolidado_1999!#REF!</definedName>
    <definedName name="XRefPaste20" localSheetId="5" hidden="1">[50]Consolidado_1999!#REF!</definedName>
    <definedName name="XRefPaste20" localSheetId="8" hidden="1">[50]Consolidado_1999!#REF!</definedName>
    <definedName name="XRefPaste20" localSheetId="10" hidden="1">[50]Consolidado_1999!#REF!</definedName>
    <definedName name="XRefPaste20" localSheetId="9" hidden="1">[50]Consolidado_1999!#REF!</definedName>
    <definedName name="XRefPaste20" hidden="1">[50]Consolidado_1999!#REF!</definedName>
    <definedName name="XRefPaste20Row" localSheetId="3" hidden="1">[44]XREF!#REF!</definedName>
    <definedName name="XRefPaste20Row" localSheetId="2" hidden="1">[44]XREF!#REF!</definedName>
    <definedName name="XRefPaste20Row" localSheetId="5" hidden="1">[44]XREF!#REF!</definedName>
    <definedName name="XRefPaste20Row" localSheetId="8" hidden="1">[44]XREF!#REF!</definedName>
    <definedName name="XRefPaste20Row" localSheetId="10" hidden="1">[44]XREF!#REF!</definedName>
    <definedName name="XRefPaste20Row" localSheetId="9" hidden="1">[44]XREF!#REF!</definedName>
    <definedName name="XRefPaste20Row" hidden="1">[44]XREF!#REF!</definedName>
    <definedName name="XRefPaste21" localSheetId="3" hidden="1">[50]Consolidado_1999!#REF!</definedName>
    <definedName name="XRefPaste21" localSheetId="2" hidden="1">[50]Consolidado_1999!#REF!</definedName>
    <definedName name="XRefPaste21" localSheetId="5" hidden="1">[50]Consolidado_1999!#REF!</definedName>
    <definedName name="XRefPaste21" localSheetId="8" hidden="1">[50]Consolidado_1999!#REF!</definedName>
    <definedName name="XRefPaste21" localSheetId="10" hidden="1">[50]Consolidado_1999!#REF!</definedName>
    <definedName name="XRefPaste21" localSheetId="9" hidden="1">[50]Consolidado_1999!#REF!</definedName>
    <definedName name="XRefPaste21" hidden="1">[50]Consolidado_1999!#REF!</definedName>
    <definedName name="XRefPaste21Row" localSheetId="3" hidden="1">[59]XREF!#REF!</definedName>
    <definedName name="XRefPaste21Row" localSheetId="2" hidden="1">[59]XREF!#REF!</definedName>
    <definedName name="XRefPaste21Row" localSheetId="5" hidden="1">[59]XREF!#REF!</definedName>
    <definedName name="XRefPaste21Row" localSheetId="8" hidden="1">[59]XREF!#REF!</definedName>
    <definedName name="XRefPaste21Row" localSheetId="10" hidden="1">[59]XREF!#REF!</definedName>
    <definedName name="XRefPaste21Row" localSheetId="9" hidden="1">[59]XREF!#REF!</definedName>
    <definedName name="XRefPaste21Row" hidden="1">[59]XREF!#REF!</definedName>
    <definedName name="XRefPaste22" localSheetId="3" hidden="1">#REF!</definedName>
    <definedName name="XRefPaste22" localSheetId="2" hidden="1">#REF!</definedName>
    <definedName name="XRefPaste22" localSheetId="5" hidden="1">#REF!</definedName>
    <definedName name="XRefPaste22" localSheetId="8" hidden="1">#REF!</definedName>
    <definedName name="XRefPaste22" localSheetId="10" hidden="1">#REF!</definedName>
    <definedName name="XRefPaste22" localSheetId="9" hidden="1">#REF!</definedName>
    <definedName name="XRefPaste22" hidden="1">#REF!</definedName>
    <definedName name="XRefPaste22Row" localSheetId="3" hidden="1">[50]XREF!#REF!</definedName>
    <definedName name="XRefPaste22Row" localSheetId="2" hidden="1">[50]XREF!#REF!</definedName>
    <definedName name="XRefPaste22Row" localSheetId="5" hidden="1">[50]XREF!#REF!</definedName>
    <definedName name="XRefPaste22Row" localSheetId="8" hidden="1">[50]XREF!#REF!</definedName>
    <definedName name="XRefPaste22Row" localSheetId="10" hidden="1">[50]XREF!#REF!</definedName>
    <definedName name="XRefPaste22Row" localSheetId="9" hidden="1">[50]XREF!#REF!</definedName>
    <definedName name="XRefPaste22Row" hidden="1">[50]XREF!#REF!</definedName>
    <definedName name="XRefPaste23" hidden="1">'[60]Conc. Bancária 31.10.00'!$M$66</definedName>
    <definedName name="XRefPaste23Row" localSheetId="3" hidden="1">[50]XREF!#REF!</definedName>
    <definedName name="XRefPaste23Row" localSheetId="2" hidden="1">[50]XREF!#REF!</definedName>
    <definedName name="XRefPaste23Row" localSheetId="5" hidden="1">[50]XREF!#REF!</definedName>
    <definedName name="XRefPaste23Row" localSheetId="8" hidden="1">[50]XREF!#REF!</definedName>
    <definedName name="XRefPaste23Row" localSheetId="10" hidden="1">[50]XREF!#REF!</definedName>
    <definedName name="XRefPaste23Row" localSheetId="9" hidden="1">[50]XREF!#REF!</definedName>
    <definedName name="XRefPaste23Row" hidden="1">[50]XREF!#REF!</definedName>
    <definedName name="XRefPaste24" localSheetId="3" hidden="1">#REF!</definedName>
    <definedName name="XRefPaste24" localSheetId="2" hidden="1">#REF!</definedName>
    <definedName name="XRefPaste24" localSheetId="5" hidden="1">#REF!</definedName>
    <definedName name="XRefPaste24" localSheetId="8" hidden="1">#REF!</definedName>
    <definedName name="XRefPaste24" localSheetId="10" hidden="1">#REF!</definedName>
    <definedName name="XRefPaste24" localSheetId="9" hidden="1">#REF!</definedName>
    <definedName name="XRefPaste24" hidden="1">#REF!</definedName>
    <definedName name="XRefPaste24Row" localSheetId="3" hidden="1">#REF!</definedName>
    <definedName name="XRefPaste24Row" localSheetId="2" hidden="1">#REF!</definedName>
    <definedName name="XRefPaste24Row" localSheetId="5" hidden="1">#REF!</definedName>
    <definedName name="XRefPaste24Row" localSheetId="8" hidden="1">#REF!</definedName>
    <definedName name="XRefPaste24Row" localSheetId="10" hidden="1">#REF!</definedName>
    <definedName name="XRefPaste24Row" localSheetId="9" hidden="1">#REF!</definedName>
    <definedName name="XRefPaste24Row" hidden="1">#REF!</definedName>
    <definedName name="XRefPaste25" localSheetId="3" hidden="1">#REF!</definedName>
    <definedName name="XRefPaste25" localSheetId="2" hidden="1">#REF!</definedName>
    <definedName name="XRefPaste25" localSheetId="5" hidden="1">#REF!</definedName>
    <definedName name="XRefPaste25" localSheetId="8" hidden="1">#REF!</definedName>
    <definedName name="XRefPaste25" localSheetId="10" hidden="1">#REF!</definedName>
    <definedName name="XRefPaste25" localSheetId="9" hidden="1">#REF!</definedName>
    <definedName name="XRefPaste25" hidden="1">#REF!</definedName>
    <definedName name="XRefPaste25Row" localSheetId="3" hidden="1">#REF!</definedName>
    <definedName name="XRefPaste25Row" localSheetId="2" hidden="1">#REF!</definedName>
    <definedName name="XRefPaste25Row" localSheetId="5" hidden="1">#REF!</definedName>
    <definedName name="XRefPaste25Row" localSheetId="8" hidden="1">#REF!</definedName>
    <definedName name="XRefPaste25Row" localSheetId="10" hidden="1">#REF!</definedName>
    <definedName name="XRefPaste25Row" localSheetId="9" hidden="1">#REF!</definedName>
    <definedName name="XRefPaste25Row" hidden="1">#REF!</definedName>
    <definedName name="XRefPaste26" localSheetId="3" hidden="1">#REF!</definedName>
    <definedName name="XRefPaste26" localSheetId="2" hidden="1">#REF!</definedName>
    <definedName name="XRefPaste26" localSheetId="5" hidden="1">#REF!</definedName>
    <definedName name="XRefPaste26" localSheetId="8" hidden="1">#REF!</definedName>
    <definedName name="XRefPaste26" localSheetId="10" hidden="1">#REF!</definedName>
    <definedName name="XRefPaste26" localSheetId="9" hidden="1">#REF!</definedName>
    <definedName name="XRefPaste26" hidden="1">#REF!</definedName>
    <definedName name="XRefPaste26Row" localSheetId="3" hidden="1">#REF!</definedName>
    <definedName name="XRefPaste26Row" localSheetId="2" hidden="1">#REF!</definedName>
    <definedName name="XRefPaste26Row" localSheetId="5" hidden="1">#REF!</definedName>
    <definedName name="XRefPaste26Row" localSheetId="8" hidden="1">#REF!</definedName>
    <definedName name="XRefPaste26Row" localSheetId="10" hidden="1">#REF!</definedName>
    <definedName name="XRefPaste26Row" localSheetId="9" hidden="1">#REF!</definedName>
    <definedName name="XRefPaste26Row" hidden="1">#REF!</definedName>
    <definedName name="XRefPaste27" localSheetId="3" hidden="1">#REF!</definedName>
    <definedName name="XRefPaste27" localSheetId="2" hidden="1">#REF!</definedName>
    <definedName name="XRefPaste27" localSheetId="5" hidden="1">#REF!</definedName>
    <definedName name="XRefPaste27" localSheetId="8" hidden="1">#REF!</definedName>
    <definedName name="XRefPaste27" localSheetId="10" hidden="1">#REF!</definedName>
    <definedName name="XRefPaste27" localSheetId="9" hidden="1">#REF!</definedName>
    <definedName name="XRefPaste27" hidden="1">#REF!</definedName>
    <definedName name="XRefPaste27Row" localSheetId="3" hidden="1">[50]XREF!#REF!</definedName>
    <definedName name="XRefPaste27Row" localSheetId="2" hidden="1">[50]XREF!#REF!</definedName>
    <definedName name="XRefPaste27Row" localSheetId="5" hidden="1">[50]XREF!#REF!</definedName>
    <definedName name="XRefPaste27Row" localSheetId="8" hidden="1">[50]XREF!#REF!</definedName>
    <definedName name="XRefPaste27Row" localSheetId="10" hidden="1">[50]XREF!#REF!</definedName>
    <definedName name="XRefPaste27Row" localSheetId="9" hidden="1">[50]XREF!#REF!</definedName>
    <definedName name="XRefPaste27Row" hidden="1">[50]XREF!#REF!</definedName>
    <definedName name="XRefPaste28" localSheetId="3" hidden="1">#REF!</definedName>
    <definedName name="XRefPaste28" localSheetId="2" hidden="1">#REF!</definedName>
    <definedName name="XRefPaste28" localSheetId="5" hidden="1">#REF!</definedName>
    <definedName name="XRefPaste28" localSheetId="8" hidden="1">#REF!</definedName>
    <definedName name="XRefPaste28" localSheetId="10" hidden="1">#REF!</definedName>
    <definedName name="XRefPaste28" localSheetId="9" hidden="1">#REF!</definedName>
    <definedName name="XRefPaste28" hidden="1">#REF!</definedName>
    <definedName name="XRefPaste28Row" localSheetId="3" hidden="1">#REF!</definedName>
    <definedName name="XRefPaste28Row" localSheetId="2" hidden="1">#REF!</definedName>
    <definedName name="XRefPaste28Row" localSheetId="5" hidden="1">#REF!</definedName>
    <definedName name="XRefPaste28Row" localSheetId="8" hidden="1">#REF!</definedName>
    <definedName name="XRefPaste28Row" localSheetId="10" hidden="1">#REF!</definedName>
    <definedName name="XRefPaste28Row" localSheetId="9" hidden="1">#REF!</definedName>
    <definedName name="XRefPaste28Row" hidden="1">#REF!</definedName>
    <definedName name="XRefPaste29" localSheetId="3" hidden="1">#REF!</definedName>
    <definedName name="XRefPaste29" localSheetId="2" hidden="1">#REF!</definedName>
    <definedName name="XRefPaste29" localSheetId="5" hidden="1">#REF!</definedName>
    <definedName name="XRefPaste29" localSheetId="8" hidden="1">#REF!</definedName>
    <definedName name="XRefPaste29" localSheetId="10" hidden="1">#REF!</definedName>
    <definedName name="XRefPaste29" localSheetId="9" hidden="1">#REF!</definedName>
    <definedName name="XRefPaste29" hidden="1">#REF!</definedName>
    <definedName name="XRefPaste29Row" localSheetId="3" hidden="1">#REF!</definedName>
    <definedName name="XRefPaste29Row" localSheetId="2" hidden="1">#REF!</definedName>
    <definedName name="XRefPaste29Row" localSheetId="5" hidden="1">#REF!</definedName>
    <definedName name="XRefPaste29Row" localSheetId="8" hidden="1">#REF!</definedName>
    <definedName name="XRefPaste29Row" localSheetId="10" hidden="1">#REF!</definedName>
    <definedName name="XRefPaste29Row" localSheetId="9" hidden="1">#REF!</definedName>
    <definedName name="XRefPaste29Row" hidden="1">#REF!</definedName>
    <definedName name="XRefPaste2Row" localSheetId="3" hidden="1">#REF!</definedName>
    <definedName name="XRefPaste2Row" localSheetId="2" hidden="1">#REF!</definedName>
    <definedName name="XRefPaste2Row" localSheetId="5" hidden="1">#REF!</definedName>
    <definedName name="XRefPaste2Row" localSheetId="8" hidden="1">#REF!</definedName>
    <definedName name="XRefPaste2Row" localSheetId="10" hidden="1">#REF!</definedName>
    <definedName name="XRefPaste2Row" localSheetId="9" hidden="1">#REF!</definedName>
    <definedName name="XRefPaste2Row" hidden="1">#REF!</definedName>
    <definedName name="XRefPaste3" localSheetId="3" hidden="1">#REF!</definedName>
    <definedName name="XRefPaste3" localSheetId="2" hidden="1">#REF!</definedName>
    <definedName name="XRefPaste3" localSheetId="5" hidden="1">#REF!</definedName>
    <definedName name="XRefPaste3" localSheetId="8" hidden="1">#REF!</definedName>
    <definedName name="XRefPaste3" localSheetId="10" hidden="1">#REF!</definedName>
    <definedName name="XRefPaste3" localSheetId="9" hidden="1">#REF!</definedName>
    <definedName name="XRefPaste3" hidden="1">#REF!</definedName>
    <definedName name="XRefPaste30" localSheetId="3" hidden="1">[54]Lead!#REF!</definedName>
    <definedName name="XRefPaste30" localSheetId="2" hidden="1">[54]Lead!#REF!</definedName>
    <definedName name="XRefPaste30" localSheetId="5" hidden="1">[54]Lead!#REF!</definedName>
    <definedName name="XRefPaste30" localSheetId="8" hidden="1">[54]Lead!#REF!</definedName>
    <definedName name="XRefPaste30" localSheetId="10" hidden="1">[54]Lead!#REF!</definedName>
    <definedName name="XRefPaste30" localSheetId="9" hidden="1">[54]Lead!#REF!</definedName>
    <definedName name="XRefPaste30" hidden="1">[54]Lead!#REF!</definedName>
    <definedName name="XRefPaste30Row" localSheetId="3" hidden="1">#REF!</definedName>
    <definedName name="XRefPaste30Row" localSheetId="2" hidden="1">#REF!</definedName>
    <definedName name="XRefPaste30Row" localSheetId="5" hidden="1">#REF!</definedName>
    <definedName name="XRefPaste30Row" localSheetId="8" hidden="1">#REF!</definedName>
    <definedName name="XRefPaste30Row" localSheetId="10" hidden="1">#REF!</definedName>
    <definedName name="XRefPaste30Row" localSheetId="9" hidden="1">#REF!</definedName>
    <definedName name="XRefPaste30Row" hidden="1">#REF!</definedName>
    <definedName name="XRefPaste31" localSheetId="3" hidden="1">#REF!</definedName>
    <definedName name="XRefPaste31" localSheetId="2" hidden="1">#REF!</definedName>
    <definedName name="XRefPaste31" localSheetId="5" hidden="1">#REF!</definedName>
    <definedName name="XRefPaste31" localSheetId="8" hidden="1">#REF!</definedName>
    <definedName name="XRefPaste31" localSheetId="10" hidden="1">#REF!</definedName>
    <definedName name="XRefPaste31" localSheetId="9" hidden="1">#REF!</definedName>
    <definedName name="XRefPaste31" hidden="1">#REF!</definedName>
    <definedName name="XRefPaste31Row" localSheetId="3" hidden="1">#REF!</definedName>
    <definedName name="XRefPaste31Row" localSheetId="2" hidden="1">#REF!</definedName>
    <definedName name="XRefPaste31Row" localSheetId="5" hidden="1">#REF!</definedName>
    <definedName name="XRefPaste31Row" localSheetId="8" hidden="1">#REF!</definedName>
    <definedName name="XRefPaste31Row" localSheetId="10" hidden="1">#REF!</definedName>
    <definedName name="XRefPaste31Row" localSheetId="9" hidden="1">#REF!</definedName>
    <definedName name="XRefPaste31Row" hidden="1">#REF!</definedName>
    <definedName name="XRefPaste32" localSheetId="3" hidden="1">#REF!</definedName>
    <definedName name="XRefPaste32" localSheetId="2" hidden="1">#REF!</definedName>
    <definedName name="XRefPaste32" localSheetId="5" hidden="1">#REF!</definedName>
    <definedName name="XRefPaste32" localSheetId="8" hidden="1">#REF!</definedName>
    <definedName name="XRefPaste32" localSheetId="10" hidden="1">#REF!</definedName>
    <definedName name="XRefPaste32" localSheetId="9" hidden="1">#REF!</definedName>
    <definedName name="XRefPaste32" hidden="1">#REF!</definedName>
    <definedName name="XRefPaste32Row" localSheetId="3" hidden="1">#REF!</definedName>
    <definedName name="XRefPaste32Row" localSheetId="2" hidden="1">#REF!</definedName>
    <definedName name="XRefPaste32Row" localSheetId="5" hidden="1">#REF!</definedName>
    <definedName name="XRefPaste32Row" localSheetId="8" hidden="1">#REF!</definedName>
    <definedName name="XRefPaste32Row" localSheetId="10" hidden="1">#REF!</definedName>
    <definedName name="XRefPaste32Row" localSheetId="9" hidden="1">#REF!</definedName>
    <definedName name="XRefPaste32Row" hidden="1">#REF!</definedName>
    <definedName name="XRefPaste33" localSheetId="3" hidden="1">#REF!</definedName>
    <definedName name="XRefPaste33" localSheetId="2" hidden="1">#REF!</definedName>
    <definedName name="XRefPaste33" localSheetId="5" hidden="1">#REF!</definedName>
    <definedName name="XRefPaste33" localSheetId="8" hidden="1">#REF!</definedName>
    <definedName name="XRefPaste33" localSheetId="10" hidden="1">#REF!</definedName>
    <definedName name="XRefPaste33" localSheetId="9" hidden="1">#REF!</definedName>
    <definedName name="XRefPaste33" hidden="1">#REF!</definedName>
    <definedName name="XRefPaste33Row" localSheetId="3" hidden="1">#REF!</definedName>
    <definedName name="XRefPaste33Row" localSheetId="2" hidden="1">#REF!</definedName>
    <definedName name="XRefPaste33Row" localSheetId="5" hidden="1">#REF!</definedName>
    <definedName name="XRefPaste33Row" localSheetId="8" hidden="1">#REF!</definedName>
    <definedName name="XRefPaste33Row" localSheetId="10" hidden="1">#REF!</definedName>
    <definedName name="XRefPaste33Row" localSheetId="9" hidden="1">#REF!</definedName>
    <definedName name="XRefPaste33Row" hidden="1">#REF!</definedName>
    <definedName name="XRefPaste34" localSheetId="3" hidden="1">#REF!</definedName>
    <definedName name="XRefPaste34" localSheetId="2" hidden="1">#REF!</definedName>
    <definedName name="XRefPaste34" localSheetId="5" hidden="1">#REF!</definedName>
    <definedName name="XRefPaste34" localSheetId="8" hidden="1">#REF!</definedName>
    <definedName name="XRefPaste34" localSheetId="10" hidden="1">#REF!</definedName>
    <definedName name="XRefPaste34" localSheetId="9" hidden="1">#REF!</definedName>
    <definedName name="XRefPaste34" hidden="1">#REF!</definedName>
    <definedName name="XRefPaste34Row" localSheetId="3" hidden="1">#REF!</definedName>
    <definedName name="XRefPaste34Row" localSheetId="2" hidden="1">#REF!</definedName>
    <definedName name="XRefPaste34Row" localSheetId="5" hidden="1">#REF!</definedName>
    <definedName name="XRefPaste34Row" localSheetId="8" hidden="1">#REF!</definedName>
    <definedName name="XRefPaste34Row" localSheetId="10" hidden="1">#REF!</definedName>
    <definedName name="XRefPaste34Row" localSheetId="9" hidden="1">#REF!</definedName>
    <definedName name="XRefPaste34Row" hidden="1">#REF!</definedName>
    <definedName name="XRefPaste35" localSheetId="3" hidden="1">#REF!</definedName>
    <definedName name="XRefPaste35" localSheetId="2" hidden="1">#REF!</definedName>
    <definedName name="XRefPaste35" localSheetId="5" hidden="1">#REF!</definedName>
    <definedName name="XRefPaste35" localSheetId="8" hidden="1">#REF!</definedName>
    <definedName name="XRefPaste35" localSheetId="10" hidden="1">#REF!</definedName>
    <definedName name="XRefPaste35" localSheetId="9" hidden="1">#REF!</definedName>
    <definedName name="XRefPaste35" hidden="1">#REF!</definedName>
    <definedName name="XRefPaste35Row" localSheetId="3" hidden="1">[55]XREF!#REF!</definedName>
    <definedName name="XRefPaste35Row" localSheetId="2" hidden="1">[55]XREF!#REF!</definedName>
    <definedName name="XRefPaste35Row" localSheetId="5" hidden="1">[55]XREF!#REF!</definedName>
    <definedName name="XRefPaste35Row" localSheetId="8" hidden="1">[55]XREF!#REF!</definedName>
    <definedName name="XRefPaste35Row" localSheetId="10" hidden="1">[55]XREF!#REF!</definedName>
    <definedName name="XRefPaste35Row" localSheetId="9" hidden="1">[55]XREF!#REF!</definedName>
    <definedName name="XRefPaste35Row" hidden="1">[55]XREF!#REF!</definedName>
    <definedName name="XRefPaste36" localSheetId="3" hidden="1">#REF!</definedName>
    <definedName name="XRefPaste36" localSheetId="2" hidden="1">#REF!</definedName>
    <definedName name="XRefPaste36" localSheetId="5" hidden="1">#REF!</definedName>
    <definedName name="XRefPaste36" localSheetId="8" hidden="1">#REF!</definedName>
    <definedName name="XRefPaste36" localSheetId="10" hidden="1">#REF!</definedName>
    <definedName name="XRefPaste36" localSheetId="9" hidden="1">#REF!</definedName>
    <definedName name="XRefPaste36" hidden="1">#REF!</definedName>
    <definedName name="XRefPaste36Row" localSheetId="3" hidden="1">#REF!</definedName>
    <definedName name="XRefPaste36Row" localSheetId="2" hidden="1">#REF!</definedName>
    <definedName name="XRefPaste36Row" localSheetId="5" hidden="1">#REF!</definedName>
    <definedName name="XRefPaste36Row" localSheetId="8" hidden="1">#REF!</definedName>
    <definedName name="XRefPaste36Row" localSheetId="10" hidden="1">#REF!</definedName>
    <definedName name="XRefPaste36Row" localSheetId="9" hidden="1">#REF!</definedName>
    <definedName name="XRefPaste36Row" hidden="1">#REF!</definedName>
    <definedName name="XRefPaste37" localSheetId="3" hidden="1">#REF!</definedName>
    <definedName name="XRefPaste37" localSheetId="2" hidden="1">#REF!</definedName>
    <definedName name="XRefPaste37" localSheetId="5" hidden="1">#REF!</definedName>
    <definedName name="XRefPaste37" localSheetId="8" hidden="1">#REF!</definedName>
    <definedName name="XRefPaste37" localSheetId="10" hidden="1">#REF!</definedName>
    <definedName name="XRefPaste37" localSheetId="9" hidden="1">#REF!</definedName>
    <definedName name="XRefPaste37" hidden="1">#REF!</definedName>
    <definedName name="XRefPaste37Row" localSheetId="3" hidden="1">#REF!</definedName>
    <definedName name="XRefPaste37Row" localSheetId="2" hidden="1">#REF!</definedName>
    <definedName name="XRefPaste37Row" localSheetId="5" hidden="1">#REF!</definedName>
    <definedName name="XRefPaste37Row" localSheetId="8" hidden="1">#REF!</definedName>
    <definedName name="XRefPaste37Row" localSheetId="10" hidden="1">#REF!</definedName>
    <definedName name="XRefPaste37Row" localSheetId="9" hidden="1">#REF!</definedName>
    <definedName name="XRefPaste37Row" hidden="1">#REF!</definedName>
    <definedName name="XRefPaste38" localSheetId="3" hidden="1">[54]Lead!#REF!</definedName>
    <definedName name="XRefPaste38" localSheetId="2" hidden="1">[54]Lead!#REF!</definedName>
    <definedName name="XRefPaste38" localSheetId="5" hidden="1">[54]Lead!#REF!</definedName>
    <definedName name="XRefPaste38" localSheetId="8" hidden="1">[54]Lead!#REF!</definedName>
    <definedName name="XRefPaste38" localSheetId="10" hidden="1">[54]Lead!#REF!</definedName>
    <definedName name="XRefPaste38" localSheetId="9" hidden="1">[54]Lead!#REF!</definedName>
    <definedName name="XRefPaste38" hidden="1">[54]Lead!#REF!</definedName>
    <definedName name="XRefPaste38Row" localSheetId="3" hidden="1">#REF!</definedName>
    <definedName name="XRefPaste38Row" localSheetId="2" hidden="1">#REF!</definedName>
    <definedName name="XRefPaste38Row" localSheetId="5" hidden="1">#REF!</definedName>
    <definedName name="XRefPaste38Row" localSheetId="8" hidden="1">#REF!</definedName>
    <definedName name="XRefPaste38Row" localSheetId="10" hidden="1">#REF!</definedName>
    <definedName name="XRefPaste38Row" localSheetId="9" hidden="1">#REF!</definedName>
    <definedName name="XRefPaste38Row" hidden="1">#REF!</definedName>
    <definedName name="XRefPaste39" localSheetId="3" hidden="1">[38]circularização!#REF!</definedName>
    <definedName name="XRefPaste39" localSheetId="2" hidden="1">[38]circularização!#REF!</definedName>
    <definedName name="XRefPaste39" localSheetId="5" hidden="1">[38]circularização!#REF!</definedName>
    <definedName name="XRefPaste39" localSheetId="8" hidden="1">[38]circularização!#REF!</definedName>
    <definedName name="XRefPaste39" localSheetId="10" hidden="1">[38]circularização!#REF!</definedName>
    <definedName name="XRefPaste39" localSheetId="9" hidden="1">[38]circularização!#REF!</definedName>
    <definedName name="XRefPaste39" hidden="1">[38]circularização!#REF!</definedName>
    <definedName name="XRefPaste39Row" localSheetId="3" hidden="1">#REF!</definedName>
    <definedName name="XRefPaste39Row" localSheetId="2" hidden="1">#REF!</definedName>
    <definedName name="XRefPaste39Row" localSheetId="5" hidden="1">#REF!</definedName>
    <definedName name="XRefPaste39Row" localSheetId="8" hidden="1">#REF!</definedName>
    <definedName name="XRefPaste39Row" localSheetId="10" hidden="1">#REF!</definedName>
    <definedName name="XRefPaste39Row" localSheetId="9" hidden="1">#REF!</definedName>
    <definedName name="XRefPaste39Row" hidden="1">#REF!</definedName>
    <definedName name="XRefPaste3Row" localSheetId="3" hidden="1">#REF!</definedName>
    <definedName name="XRefPaste3Row" localSheetId="2" hidden="1">#REF!</definedName>
    <definedName name="XRefPaste3Row" localSheetId="5" hidden="1">#REF!</definedName>
    <definedName name="XRefPaste3Row" localSheetId="8" hidden="1">#REF!</definedName>
    <definedName name="XRefPaste3Row" localSheetId="10" hidden="1">#REF!</definedName>
    <definedName name="XRefPaste3Row" localSheetId="9" hidden="1">#REF!</definedName>
    <definedName name="XRefPaste3Row" hidden="1">#REF!</definedName>
    <definedName name="XRefPaste4" localSheetId="3" hidden="1">#REF!</definedName>
    <definedName name="XRefPaste4" localSheetId="2" hidden="1">#REF!</definedName>
    <definedName name="XRefPaste4" localSheetId="5" hidden="1">#REF!</definedName>
    <definedName name="XRefPaste4" localSheetId="8" hidden="1">#REF!</definedName>
    <definedName name="XRefPaste4" localSheetId="10" hidden="1">#REF!</definedName>
    <definedName name="XRefPaste4" localSheetId="9" hidden="1">#REF!</definedName>
    <definedName name="XRefPaste4" hidden="1">#REF!</definedName>
    <definedName name="XRefPaste40" localSheetId="3" hidden="1">[61]Lead!#REF!</definedName>
    <definedName name="XRefPaste40" localSheetId="2" hidden="1">[61]Lead!#REF!</definedName>
    <definedName name="XRefPaste40" localSheetId="5" hidden="1">[61]Lead!#REF!</definedName>
    <definedName name="XRefPaste40" localSheetId="8" hidden="1">[61]Lead!#REF!</definedName>
    <definedName name="XRefPaste40" localSheetId="10" hidden="1">[61]Lead!#REF!</definedName>
    <definedName name="XRefPaste40" localSheetId="9" hidden="1">[61]Lead!#REF!</definedName>
    <definedName name="XRefPaste40" hidden="1">[61]Lead!#REF!</definedName>
    <definedName name="XRefPaste40Row" localSheetId="3" hidden="1">#REF!</definedName>
    <definedName name="XRefPaste40Row" localSheetId="2" hidden="1">#REF!</definedName>
    <definedName name="XRefPaste40Row" localSheetId="5" hidden="1">#REF!</definedName>
    <definedName name="XRefPaste40Row" localSheetId="8" hidden="1">#REF!</definedName>
    <definedName name="XRefPaste40Row" localSheetId="10" hidden="1">#REF!</definedName>
    <definedName name="XRefPaste40Row" localSheetId="9" hidden="1">#REF!</definedName>
    <definedName name="XRefPaste40Row" hidden="1">#REF!</definedName>
    <definedName name="XRefPaste41" localSheetId="3" hidden="1">[38]circularização!#REF!</definedName>
    <definedName name="XRefPaste41" localSheetId="2" hidden="1">[38]circularização!#REF!</definedName>
    <definedName name="XRefPaste41" localSheetId="5" hidden="1">[38]circularização!#REF!</definedName>
    <definedName name="XRefPaste41" localSheetId="8" hidden="1">[38]circularização!#REF!</definedName>
    <definedName name="XRefPaste41" localSheetId="10" hidden="1">[38]circularização!#REF!</definedName>
    <definedName name="XRefPaste41" localSheetId="9" hidden="1">[38]circularização!#REF!</definedName>
    <definedName name="XRefPaste41" hidden="1">[38]circularização!#REF!</definedName>
    <definedName name="XRefPaste41Row" localSheetId="3" hidden="1">#REF!</definedName>
    <definedName name="XRefPaste41Row" localSheetId="2" hidden="1">#REF!</definedName>
    <definedName name="XRefPaste41Row" localSheetId="5" hidden="1">#REF!</definedName>
    <definedName name="XRefPaste41Row" localSheetId="8" hidden="1">#REF!</definedName>
    <definedName name="XRefPaste41Row" localSheetId="10" hidden="1">#REF!</definedName>
    <definedName name="XRefPaste41Row" localSheetId="9" hidden="1">#REF!</definedName>
    <definedName name="XRefPaste41Row" hidden="1">#REF!</definedName>
    <definedName name="XRefPaste42" localSheetId="3" hidden="1">#REF!</definedName>
    <definedName name="XRefPaste42" localSheetId="2" hidden="1">#REF!</definedName>
    <definedName name="XRefPaste42" localSheetId="5" hidden="1">#REF!</definedName>
    <definedName name="XRefPaste42" localSheetId="8" hidden="1">#REF!</definedName>
    <definedName name="XRefPaste42" localSheetId="10" hidden="1">#REF!</definedName>
    <definedName name="XRefPaste42" localSheetId="9" hidden="1">#REF!</definedName>
    <definedName name="XRefPaste42" hidden="1">#REF!</definedName>
    <definedName name="XRefPaste42Row" localSheetId="3" hidden="1">#REF!</definedName>
    <definedName name="XRefPaste42Row" localSheetId="2" hidden="1">#REF!</definedName>
    <definedName name="XRefPaste42Row" localSheetId="5" hidden="1">#REF!</definedName>
    <definedName name="XRefPaste42Row" localSheetId="8" hidden="1">#REF!</definedName>
    <definedName name="XRefPaste42Row" localSheetId="10" hidden="1">#REF!</definedName>
    <definedName name="XRefPaste42Row" localSheetId="9" hidden="1">#REF!</definedName>
    <definedName name="XRefPaste42Row" hidden="1">#REF!</definedName>
    <definedName name="XRefPaste43" localSheetId="3" hidden="1">#REF!</definedName>
    <definedName name="XRefPaste43" localSheetId="2" hidden="1">#REF!</definedName>
    <definedName name="XRefPaste43" localSheetId="5" hidden="1">#REF!</definedName>
    <definedName name="XRefPaste43" localSheetId="8" hidden="1">#REF!</definedName>
    <definedName name="XRefPaste43" localSheetId="10" hidden="1">#REF!</definedName>
    <definedName name="XRefPaste43" localSheetId="9" hidden="1">#REF!</definedName>
    <definedName name="XRefPaste43" hidden="1">#REF!</definedName>
    <definedName name="XRefPaste43Row" localSheetId="3" hidden="1">#REF!</definedName>
    <definedName name="XRefPaste43Row" localSheetId="2" hidden="1">#REF!</definedName>
    <definedName name="XRefPaste43Row" localSheetId="5" hidden="1">#REF!</definedName>
    <definedName name="XRefPaste43Row" localSheetId="8" hidden="1">#REF!</definedName>
    <definedName name="XRefPaste43Row" localSheetId="10" hidden="1">#REF!</definedName>
    <definedName name="XRefPaste43Row" localSheetId="9" hidden="1">#REF!</definedName>
    <definedName name="XRefPaste43Row" hidden="1">#REF!</definedName>
    <definedName name="XRefPaste44" localSheetId="3" hidden="1">#REF!</definedName>
    <definedName name="XRefPaste44" localSheetId="2" hidden="1">#REF!</definedName>
    <definedName name="XRefPaste44" localSheetId="5" hidden="1">#REF!</definedName>
    <definedName name="XRefPaste44" localSheetId="8" hidden="1">#REF!</definedName>
    <definedName name="XRefPaste44" localSheetId="10" hidden="1">#REF!</definedName>
    <definedName name="XRefPaste44" localSheetId="9" hidden="1">#REF!</definedName>
    <definedName name="XRefPaste44" hidden="1">#REF!</definedName>
    <definedName name="XRefPaste44Row" localSheetId="3" hidden="1">#REF!</definedName>
    <definedName name="XRefPaste44Row" localSheetId="2" hidden="1">#REF!</definedName>
    <definedName name="XRefPaste44Row" localSheetId="5" hidden="1">#REF!</definedName>
    <definedName name="XRefPaste44Row" localSheetId="8" hidden="1">#REF!</definedName>
    <definedName name="XRefPaste44Row" localSheetId="10" hidden="1">#REF!</definedName>
    <definedName name="XRefPaste44Row" localSheetId="9" hidden="1">#REF!</definedName>
    <definedName name="XRefPaste44Row" hidden="1">#REF!</definedName>
    <definedName name="XRefPaste45" localSheetId="3" hidden="1">#REF!</definedName>
    <definedName name="XRefPaste45" localSheetId="2" hidden="1">#REF!</definedName>
    <definedName name="XRefPaste45" localSheetId="5" hidden="1">#REF!</definedName>
    <definedName name="XRefPaste45" localSheetId="8" hidden="1">#REF!</definedName>
    <definedName name="XRefPaste45" localSheetId="10" hidden="1">#REF!</definedName>
    <definedName name="XRefPaste45" localSheetId="9" hidden="1">#REF!</definedName>
    <definedName name="XRefPaste45" hidden="1">#REF!</definedName>
    <definedName name="XRefPaste45Row" localSheetId="3" hidden="1">#REF!</definedName>
    <definedName name="XRefPaste45Row" localSheetId="2" hidden="1">#REF!</definedName>
    <definedName name="XRefPaste45Row" localSheetId="5" hidden="1">#REF!</definedName>
    <definedName name="XRefPaste45Row" localSheetId="8" hidden="1">#REF!</definedName>
    <definedName name="XRefPaste45Row" localSheetId="10" hidden="1">#REF!</definedName>
    <definedName name="XRefPaste45Row" localSheetId="9" hidden="1">#REF!</definedName>
    <definedName name="XRefPaste45Row" hidden="1">#REF!</definedName>
    <definedName name="XRefPaste46" localSheetId="3" hidden="1">#REF!</definedName>
    <definedName name="XRefPaste46" localSheetId="2" hidden="1">#REF!</definedName>
    <definedName name="XRefPaste46" localSheetId="5" hidden="1">#REF!</definedName>
    <definedName name="XRefPaste46" localSheetId="8" hidden="1">#REF!</definedName>
    <definedName name="XRefPaste46" localSheetId="10" hidden="1">#REF!</definedName>
    <definedName name="XRefPaste46" localSheetId="9" hidden="1">#REF!</definedName>
    <definedName name="XRefPaste46" hidden="1">#REF!</definedName>
    <definedName name="XRefPaste46Row" localSheetId="3" hidden="1">#REF!</definedName>
    <definedName name="XRefPaste46Row" localSheetId="2" hidden="1">#REF!</definedName>
    <definedName name="XRefPaste46Row" localSheetId="5" hidden="1">#REF!</definedName>
    <definedName name="XRefPaste46Row" localSheetId="8" hidden="1">#REF!</definedName>
    <definedName name="XRefPaste46Row" localSheetId="10" hidden="1">#REF!</definedName>
    <definedName name="XRefPaste46Row" localSheetId="9" hidden="1">#REF!</definedName>
    <definedName name="XRefPaste46Row" hidden="1">#REF!</definedName>
    <definedName name="XRefPaste47" localSheetId="3" hidden="1">[38]circularização!#REF!</definedName>
    <definedName name="XRefPaste47" localSheetId="2" hidden="1">[38]circularização!#REF!</definedName>
    <definedName name="XRefPaste47" localSheetId="5" hidden="1">[38]circularização!#REF!</definedName>
    <definedName name="XRefPaste47" localSheetId="8" hidden="1">[38]circularização!#REF!</definedName>
    <definedName name="XRefPaste47" localSheetId="10" hidden="1">[38]circularização!#REF!</definedName>
    <definedName name="XRefPaste47" localSheetId="9" hidden="1">[38]circularização!#REF!</definedName>
    <definedName name="XRefPaste47" hidden="1">[38]circularização!#REF!</definedName>
    <definedName name="XRefPaste47Row" localSheetId="3" hidden="1">#REF!</definedName>
    <definedName name="XRefPaste47Row" localSheetId="2" hidden="1">#REF!</definedName>
    <definedName name="XRefPaste47Row" localSheetId="5" hidden="1">#REF!</definedName>
    <definedName name="XRefPaste47Row" localSheetId="8" hidden="1">#REF!</definedName>
    <definedName name="XRefPaste47Row" localSheetId="10" hidden="1">#REF!</definedName>
    <definedName name="XRefPaste47Row" localSheetId="9" hidden="1">#REF!</definedName>
    <definedName name="XRefPaste47Row" hidden="1">#REF!</definedName>
    <definedName name="XRefPaste48" localSheetId="3" hidden="1">#REF!</definedName>
    <definedName name="XRefPaste48" localSheetId="2" hidden="1">#REF!</definedName>
    <definedName name="XRefPaste48" localSheetId="5" hidden="1">#REF!</definedName>
    <definedName name="XRefPaste48" localSheetId="8" hidden="1">#REF!</definedName>
    <definedName name="XRefPaste48" localSheetId="10" hidden="1">#REF!</definedName>
    <definedName name="XRefPaste48" localSheetId="9" hidden="1">#REF!</definedName>
    <definedName name="XRefPaste48" hidden="1">#REF!</definedName>
    <definedName name="XRefPaste48Row" localSheetId="3" hidden="1">#REF!</definedName>
    <definedName name="XRefPaste48Row" localSheetId="2" hidden="1">#REF!</definedName>
    <definedName name="XRefPaste48Row" localSheetId="5" hidden="1">#REF!</definedName>
    <definedName name="XRefPaste48Row" localSheetId="8" hidden="1">#REF!</definedName>
    <definedName name="XRefPaste48Row" localSheetId="10" hidden="1">#REF!</definedName>
    <definedName name="XRefPaste48Row" localSheetId="9" hidden="1">#REF!</definedName>
    <definedName name="XRefPaste48Row" hidden="1">#REF!</definedName>
    <definedName name="XRefPaste49" localSheetId="3" hidden="1">#REF!</definedName>
    <definedName name="XRefPaste49" localSheetId="2" hidden="1">#REF!</definedName>
    <definedName name="XRefPaste49" localSheetId="5" hidden="1">#REF!</definedName>
    <definedName name="XRefPaste49" localSheetId="8" hidden="1">#REF!</definedName>
    <definedName name="XRefPaste49" localSheetId="10" hidden="1">#REF!</definedName>
    <definedName name="XRefPaste49" localSheetId="9" hidden="1">#REF!</definedName>
    <definedName name="XRefPaste49" hidden="1">#REF!</definedName>
    <definedName name="XRefPaste49Row" localSheetId="3" hidden="1">#REF!</definedName>
    <definedName name="XRefPaste49Row" localSheetId="2" hidden="1">#REF!</definedName>
    <definedName name="XRefPaste49Row" localSheetId="5" hidden="1">#REF!</definedName>
    <definedName name="XRefPaste49Row" localSheetId="8" hidden="1">#REF!</definedName>
    <definedName name="XRefPaste49Row" localSheetId="10" hidden="1">#REF!</definedName>
    <definedName name="XRefPaste49Row" localSheetId="9" hidden="1">#REF!</definedName>
    <definedName name="XRefPaste49Row" hidden="1">#REF!</definedName>
    <definedName name="XRefPaste4Row" localSheetId="3" hidden="1">#REF!</definedName>
    <definedName name="XRefPaste4Row" localSheetId="2" hidden="1">#REF!</definedName>
    <definedName name="XRefPaste4Row" localSheetId="5" hidden="1">#REF!</definedName>
    <definedName name="XRefPaste4Row" localSheetId="8" hidden="1">#REF!</definedName>
    <definedName name="XRefPaste4Row" localSheetId="10" hidden="1">#REF!</definedName>
    <definedName name="XRefPaste4Row" localSheetId="9" hidden="1">#REF!</definedName>
    <definedName name="XRefPaste4Row" hidden="1">#REF!</definedName>
    <definedName name="XRefPaste5" localSheetId="3" hidden="1">#REF!</definedName>
    <definedName name="XRefPaste5" localSheetId="2" hidden="1">#REF!</definedName>
    <definedName name="XRefPaste5" localSheetId="5" hidden="1">#REF!</definedName>
    <definedName name="XRefPaste5" localSheetId="8" hidden="1">#REF!</definedName>
    <definedName name="XRefPaste5" localSheetId="10" hidden="1">#REF!</definedName>
    <definedName name="XRefPaste5" localSheetId="9" hidden="1">#REF!</definedName>
    <definedName name="XRefPaste5" hidden="1">#REF!</definedName>
    <definedName name="XRefPaste50" localSheetId="3" hidden="1">#REF!</definedName>
    <definedName name="XRefPaste50" localSheetId="2" hidden="1">#REF!</definedName>
    <definedName name="XRefPaste50" localSheetId="5" hidden="1">#REF!</definedName>
    <definedName name="XRefPaste50" localSheetId="8" hidden="1">#REF!</definedName>
    <definedName name="XRefPaste50" localSheetId="10" hidden="1">#REF!</definedName>
    <definedName name="XRefPaste50" localSheetId="9" hidden="1">#REF!</definedName>
    <definedName name="XRefPaste50" hidden="1">#REF!</definedName>
    <definedName name="XRefPaste50Row" localSheetId="3" hidden="1">#REF!</definedName>
    <definedName name="XRefPaste50Row" localSheetId="2" hidden="1">#REF!</definedName>
    <definedName name="XRefPaste50Row" localSheetId="5" hidden="1">#REF!</definedName>
    <definedName name="XRefPaste50Row" localSheetId="8" hidden="1">#REF!</definedName>
    <definedName name="XRefPaste50Row" localSheetId="10" hidden="1">#REF!</definedName>
    <definedName name="XRefPaste50Row" localSheetId="9" hidden="1">#REF!</definedName>
    <definedName name="XRefPaste50Row" hidden="1">#REF!</definedName>
    <definedName name="XRefPaste51" localSheetId="3" hidden="1">#REF!</definedName>
    <definedName name="XRefPaste51" localSheetId="2" hidden="1">#REF!</definedName>
    <definedName name="XRefPaste51" localSheetId="5" hidden="1">#REF!</definedName>
    <definedName name="XRefPaste51" localSheetId="8" hidden="1">#REF!</definedName>
    <definedName name="XRefPaste51" localSheetId="10" hidden="1">#REF!</definedName>
    <definedName name="XRefPaste51" localSheetId="9" hidden="1">#REF!</definedName>
    <definedName name="XRefPaste51" hidden="1">#REF!</definedName>
    <definedName name="XRefPaste51Row" localSheetId="3" hidden="1">#REF!</definedName>
    <definedName name="XRefPaste51Row" localSheetId="2" hidden="1">#REF!</definedName>
    <definedName name="XRefPaste51Row" localSheetId="5" hidden="1">#REF!</definedName>
    <definedName name="XRefPaste51Row" localSheetId="8" hidden="1">#REF!</definedName>
    <definedName name="XRefPaste51Row" localSheetId="10" hidden="1">#REF!</definedName>
    <definedName name="XRefPaste51Row" localSheetId="9" hidden="1">#REF!</definedName>
    <definedName name="XRefPaste51Row" hidden="1">#REF!</definedName>
    <definedName name="XRefPaste52" localSheetId="3" hidden="1">#REF!</definedName>
    <definedName name="XRefPaste52" localSheetId="2" hidden="1">#REF!</definedName>
    <definedName name="XRefPaste52" localSheetId="5" hidden="1">#REF!</definedName>
    <definedName name="XRefPaste52" localSheetId="8" hidden="1">#REF!</definedName>
    <definedName name="XRefPaste52" localSheetId="10" hidden="1">#REF!</definedName>
    <definedName name="XRefPaste52" localSheetId="9" hidden="1">#REF!</definedName>
    <definedName name="XRefPaste52" hidden="1">#REF!</definedName>
    <definedName name="XRefPaste52Row" localSheetId="3" hidden="1">#REF!</definedName>
    <definedName name="XRefPaste52Row" localSheetId="2" hidden="1">#REF!</definedName>
    <definedName name="XRefPaste52Row" localSheetId="5" hidden="1">#REF!</definedName>
    <definedName name="XRefPaste52Row" localSheetId="8" hidden="1">#REF!</definedName>
    <definedName name="XRefPaste52Row" localSheetId="10" hidden="1">#REF!</definedName>
    <definedName name="XRefPaste52Row" localSheetId="9" hidden="1">#REF!</definedName>
    <definedName name="XRefPaste52Row" hidden="1">#REF!</definedName>
    <definedName name="XRefPaste53" localSheetId="3" hidden="1">#REF!</definedName>
    <definedName name="XRefPaste53" localSheetId="2" hidden="1">#REF!</definedName>
    <definedName name="XRefPaste53" localSheetId="5" hidden="1">#REF!</definedName>
    <definedName name="XRefPaste53" localSheetId="8" hidden="1">#REF!</definedName>
    <definedName name="XRefPaste53" localSheetId="10" hidden="1">#REF!</definedName>
    <definedName name="XRefPaste53" localSheetId="9" hidden="1">#REF!</definedName>
    <definedName name="XRefPaste53" hidden="1">#REF!</definedName>
    <definedName name="XRefPaste53Row" localSheetId="3" hidden="1">#REF!</definedName>
    <definedName name="XRefPaste53Row" localSheetId="2" hidden="1">#REF!</definedName>
    <definedName name="XRefPaste53Row" localSheetId="5" hidden="1">#REF!</definedName>
    <definedName name="XRefPaste53Row" localSheetId="8" hidden="1">#REF!</definedName>
    <definedName name="XRefPaste53Row" localSheetId="10" hidden="1">#REF!</definedName>
    <definedName name="XRefPaste53Row" localSheetId="9" hidden="1">#REF!</definedName>
    <definedName name="XRefPaste53Row" hidden="1">#REF!</definedName>
    <definedName name="XRefPaste54" localSheetId="3" hidden="1">#REF!</definedName>
    <definedName name="XRefPaste54" localSheetId="2" hidden="1">#REF!</definedName>
    <definedName name="XRefPaste54" localSheetId="5" hidden="1">#REF!</definedName>
    <definedName name="XRefPaste54" localSheetId="8" hidden="1">#REF!</definedName>
    <definedName name="XRefPaste54" localSheetId="10" hidden="1">#REF!</definedName>
    <definedName name="XRefPaste54" localSheetId="9" hidden="1">#REF!</definedName>
    <definedName name="XRefPaste54" hidden="1">#REF!</definedName>
    <definedName name="XRefPaste54Row" localSheetId="3" hidden="1">#REF!</definedName>
    <definedName name="XRefPaste54Row" localSheetId="2" hidden="1">#REF!</definedName>
    <definedName name="XRefPaste54Row" localSheetId="5" hidden="1">#REF!</definedName>
    <definedName name="XRefPaste54Row" localSheetId="8" hidden="1">#REF!</definedName>
    <definedName name="XRefPaste54Row" localSheetId="10" hidden="1">#REF!</definedName>
    <definedName name="XRefPaste54Row" localSheetId="9" hidden="1">#REF!</definedName>
    <definedName name="XRefPaste54Row" hidden="1">#REF!</definedName>
    <definedName name="XRefPaste55" localSheetId="3" hidden="1">[41]Mapa!#REF!</definedName>
    <definedName name="XRefPaste55" localSheetId="2" hidden="1">[41]Mapa!#REF!</definedName>
    <definedName name="XRefPaste55" localSheetId="5" hidden="1">[41]Mapa!#REF!</definedName>
    <definedName name="XRefPaste55" localSheetId="8" hidden="1">[41]Mapa!#REF!</definedName>
    <definedName name="XRefPaste55" localSheetId="10" hidden="1">[41]Mapa!#REF!</definedName>
    <definedName name="XRefPaste55" localSheetId="9" hidden="1">[41]Mapa!#REF!</definedName>
    <definedName name="XRefPaste55" hidden="1">[41]Mapa!#REF!</definedName>
    <definedName name="XRefPaste55Row" localSheetId="3" hidden="1">#REF!</definedName>
    <definedName name="XRefPaste55Row" localSheetId="2" hidden="1">#REF!</definedName>
    <definedName name="XRefPaste55Row" localSheetId="5" hidden="1">#REF!</definedName>
    <definedName name="XRefPaste55Row" localSheetId="8" hidden="1">#REF!</definedName>
    <definedName name="XRefPaste55Row" localSheetId="10" hidden="1">#REF!</definedName>
    <definedName name="XRefPaste55Row" localSheetId="9" hidden="1">#REF!</definedName>
    <definedName name="XRefPaste55Row" hidden="1">#REF!</definedName>
    <definedName name="XRefPaste56" localSheetId="3" hidden="1">#REF!</definedName>
    <definedName name="XRefPaste56" localSheetId="2" hidden="1">#REF!</definedName>
    <definedName name="XRefPaste56" localSheetId="5" hidden="1">#REF!</definedName>
    <definedName name="XRefPaste56" localSheetId="8" hidden="1">#REF!</definedName>
    <definedName name="XRefPaste56" localSheetId="10" hidden="1">#REF!</definedName>
    <definedName name="XRefPaste56" localSheetId="9" hidden="1">#REF!</definedName>
    <definedName name="XRefPaste56" hidden="1">#REF!</definedName>
    <definedName name="XRefPaste56Row" localSheetId="3" hidden="1">#REF!</definedName>
    <definedName name="XRefPaste56Row" localSheetId="2" hidden="1">#REF!</definedName>
    <definedName name="XRefPaste56Row" localSheetId="5" hidden="1">#REF!</definedName>
    <definedName name="XRefPaste56Row" localSheetId="8" hidden="1">#REF!</definedName>
    <definedName name="XRefPaste56Row" localSheetId="10" hidden="1">#REF!</definedName>
    <definedName name="XRefPaste56Row" localSheetId="9" hidden="1">#REF!</definedName>
    <definedName name="XRefPaste56Row" hidden="1">#REF!</definedName>
    <definedName name="XRefPaste57" localSheetId="3" hidden="1">[41]Mapa!#REF!</definedName>
    <definedName name="XRefPaste57" localSheetId="2" hidden="1">[41]Mapa!#REF!</definedName>
    <definedName name="XRefPaste57" localSheetId="5" hidden="1">[41]Mapa!#REF!</definedName>
    <definedName name="XRefPaste57" localSheetId="8" hidden="1">[41]Mapa!#REF!</definedName>
    <definedName name="XRefPaste57" localSheetId="10" hidden="1">[41]Mapa!#REF!</definedName>
    <definedName name="XRefPaste57" localSheetId="9" hidden="1">[41]Mapa!#REF!</definedName>
    <definedName name="XRefPaste57" hidden="1">[41]Mapa!#REF!</definedName>
    <definedName name="XRefPaste57Row" localSheetId="3" hidden="1">#REF!</definedName>
    <definedName name="XRefPaste57Row" localSheetId="2" hidden="1">#REF!</definedName>
    <definedName name="XRefPaste57Row" localSheetId="5" hidden="1">#REF!</definedName>
    <definedName name="XRefPaste57Row" localSheetId="8" hidden="1">#REF!</definedName>
    <definedName name="XRefPaste57Row" localSheetId="10" hidden="1">#REF!</definedName>
    <definedName name="XRefPaste57Row" localSheetId="9" hidden="1">#REF!</definedName>
    <definedName name="XRefPaste57Row" hidden="1">#REF!</definedName>
    <definedName name="XRefPaste58" localSheetId="3" hidden="1">[60]BP!#REF!</definedName>
    <definedName name="XRefPaste58" localSheetId="2" hidden="1">[60]BP!#REF!</definedName>
    <definedName name="XRefPaste58" localSheetId="5" hidden="1">[60]BP!#REF!</definedName>
    <definedName name="XRefPaste58" localSheetId="8" hidden="1">[60]BP!#REF!</definedName>
    <definedName name="XRefPaste58" localSheetId="10" hidden="1">[60]BP!#REF!</definedName>
    <definedName name="XRefPaste58" localSheetId="9" hidden="1">[60]BP!#REF!</definedName>
    <definedName name="XRefPaste58" hidden="1">[60]BP!#REF!</definedName>
    <definedName name="XRefPaste58Row" localSheetId="3" hidden="1">#REF!</definedName>
    <definedName name="XRefPaste58Row" localSheetId="2" hidden="1">#REF!</definedName>
    <definedName name="XRefPaste58Row" localSheetId="5" hidden="1">#REF!</definedName>
    <definedName name="XRefPaste58Row" localSheetId="8" hidden="1">#REF!</definedName>
    <definedName name="XRefPaste58Row" localSheetId="10" hidden="1">#REF!</definedName>
    <definedName name="XRefPaste58Row" localSheetId="9" hidden="1">#REF!</definedName>
    <definedName name="XRefPaste58Row" hidden="1">#REF!</definedName>
    <definedName name="XRefPaste59" localSheetId="3" hidden="1">[62]BP!#REF!</definedName>
    <definedName name="XRefPaste59" localSheetId="2" hidden="1">[62]BP!#REF!</definedName>
    <definedName name="XRefPaste59" localSheetId="5" hidden="1">[62]BP!#REF!</definedName>
    <definedName name="XRefPaste59" localSheetId="8" hidden="1">[62]BP!#REF!</definedName>
    <definedName name="XRefPaste59" localSheetId="10" hidden="1">[62]BP!#REF!</definedName>
    <definedName name="XRefPaste59" localSheetId="9" hidden="1">[62]BP!#REF!</definedName>
    <definedName name="XRefPaste59" hidden="1">[62]BP!#REF!</definedName>
    <definedName name="XRefPaste59Row" localSheetId="3" hidden="1">#REF!</definedName>
    <definedName name="XRefPaste59Row" localSheetId="2" hidden="1">#REF!</definedName>
    <definedName name="XRefPaste59Row" localSheetId="5" hidden="1">#REF!</definedName>
    <definedName name="XRefPaste59Row" localSheetId="8" hidden="1">#REF!</definedName>
    <definedName name="XRefPaste59Row" localSheetId="10" hidden="1">#REF!</definedName>
    <definedName name="XRefPaste59Row" localSheetId="9" hidden="1">#REF!</definedName>
    <definedName name="XRefPaste59Row" hidden="1">#REF!</definedName>
    <definedName name="XRefPaste5Row" localSheetId="3" hidden="1">#REF!</definedName>
    <definedName name="XRefPaste5Row" localSheetId="2" hidden="1">#REF!</definedName>
    <definedName name="XRefPaste5Row" localSheetId="5" hidden="1">#REF!</definedName>
    <definedName name="XRefPaste5Row" localSheetId="8" hidden="1">#REF!</definedName>
    <definedName name="XRefPaste5Row" localSheetId="10" hidden="1">#REF!</definedName>
    <definedName name="XRefPaste5Row" localSheetId="9" hidden="1">#REF!</definedName>
    <definedName name="XRefPaste5Row" hidden="1">#REF!</definedName>
    <definedName name="XRefPaste6" localSheetId="3" hidden="1">[63]ELP!#REF!</definedName>
    <definedName name="XRefPaste6" localSheetId="2" hidden="1">[63]ELP!#REF!</definedName>
    <definedName name="XRefPaste6" localSheetId="5" hidden="1">[63]ELP!#REF!</definedName>
    <definedName name="XRefPaste6" localSheetId="8" hidden="1">[63]ELP!#REF!</definedName>
    <definedName name="XRefPaste6" localSheetId="10" hidden="1">[63]ELP!#REF!</definedName>
    <definedName name="XRefPaste6" localSheetId="9" hidden="1">[63]ELP!#REF!</definedName>
    <definedName name="XRefPaste6" hidden="1">[63]ELP!#REF!</definedName>
    <definedName name="XRefPaste60" localSheetId="3" hidden="1">[41]Mapa!#REF!</definedName>
    <definedName name="XRefPaste60" localSheetId="2" hidden="1">[41]Mapa!#REF!</definedName>
    <definedName name="XRefPaste60" localSheetId="5" hidden="1">[41]Mapa!#REF!</definedName>
    <definedName name="XRefPaste60" localSheetId="8" hidden="1">[41]Mapa!#REF!</definedName>
    <definedName name="XRefPaste60" localSheetId="10" hidden="1">[41]Mapa!#REF!</definedName>
    <definedName name="XRefPaste60" localSheetId="9" hidden="1">[41]Mapa!#REF!</definedName>
    <definedName name="XRefPaste60" hidden="1">[41]Mapa!#REF!</definedName>
    <definedName name="XRefPaste60Row" localSheetId="3" hidden="1">#REF!</definedName>
    <definedName name="XRefPaste60Row" localSheetId="2" hidden="1">#REF!</definedName>
    <definedName name="XRefPaste60Row" localSheetId="5" hidden="1">#REF!</definedName>
    <definedName name="XRefPaste60Row" localSheetId="8" hidden="1">#REF!</definedName>
    <definedName name="XRefPaste60Row" localSheetId="10" hidden="1">#REF!</definedName>
    <definedName name="XRefPaste60Row" localSheetId="9" hidden="1">#REF!</definedName>
    <definedName name="XRefPaste60Row" hidden="1">#REF!</definedName>
    <definedName name="XRefPaste61" hidden="1">'[40]Mapa de movimentação '!$K$51</definedName>
    <definedName name="XRefPaste61Row" localSheetId="3" hidden="1">#REF!</definedName>
    <definedName name="XRefPaste61Row" localSheetId="2" hidden="1">#REF!</definedName>
    <definedName name="XRefPaste61Row" localSheetId="5" hidden="1">#REF!</definedName>
    <definedName name="XRefPaste61Row" localSheetId="8" hidden="1">#REF!</definedName>
    <definedName name="XRefPaste61Row" localSheetId="10" hidden="1">#REF!</definedName>
    <definedName name="XRefPaste61Row" localSheetId="9" hidden="1">#REF!</definedName>
    <definedName name="XRefPaste61Row" hidden="1">#REF!</definedName>
    <definedName name="XRefPaste62" localSheetId="3" hidden="1">[41]Mapa!#REF!</definedName>
    <definedName name="XRefPaste62" localSheetId="2" hidden="1">[41]Mapa!#REF!</definedName>
    <definedName name="XRefPaste62" localSheetId="5" hidden="1">[41]Mapa!#REF!</definedName>
    <definedName name="XRefPaste62" localSheetId="8" hidden="1">[41]Mapa!#REF!</definedName>
    <definedName name="XRefPaste62" localSheetId="10" hidden="1">[41]Mapa!#REF!</definedName>
    <definedName name="XRefPaste62" localSheetId="9" hidden="1">[41]Mapa!#REF!</definedName>
    <definedName name="XRefPaste62" hidden="1">[41]Mapa!#REF!</definedName>
    <definedName name="XRefPaste62Row" localSheetId="3" hidden="1">#REF!</definedName>
    <definedName name="XRefPaste62Row" localSheetId="2" hidden="1">#REF!</definedName>
    <definedName name="XRefPaste62Row" localSheetId="5" hidden="1">#REF!</definedName>
    <definedName name="XRefPaste62Row" localSheetId="8" hidden="1">#REF!</definedName>
    <definedName name="XRefPaste62Row" localSheetId="10" hidden="1">#REF!</definedName>
    <definedName name="XRefPaste62Row" localSheetId="9" hidden="1">#REF!</definedName>
    <definedName name="XRefPaste62Row" hidden="1">#REF!</definedName>
    <definedName name="XRefPaste63" localSheetId="3" hidden="1">[41]Adições!#REF!</definedName>
    <definedName name="XRefPaste63" localSheetId="2" hidden="1">[41]Adições!#REF!</definedName>
    <definedName name="XRefPaste63" localSheetId="5" hidden="1">[41]Adições!#REF!</definedName>
    <definedName name="XRefPaste63" localSheetId="8" hidden="1">[41]Adições!#REF!</definedName>
    <definedName name="XRefPaste63" localSheetId="10" hidden="1">[41]Adições!#REF!</definedName>
    <definedName name="XRefPaste63" localSheetId="9" hidden="1">[41]Adições!#REF!</definedName>
    <definedName name="XRefPaste63" hidden="1">[41]Adições!#REF!</definedName>
    <definedName name="XRefPaste63Row" localSheetId="3" hidden="1">#REF!</definedName>
    <definedName name="XRefPaste63Row" localSheetId="2" hidden="1">#REF!</definedName>
    <definedName name="XRefPaste63Row" localSheetId="5" hidden="1">#REF!</definedName>
    <definedName name="XRefPaste63Row" localSheetId="8" hidden="1">#REF!</definedName>
    <definedName name="XRefPaste63Row" localSheetId="10" hidden="1">#REF!</definedName>
    <definedName name="XRefPaste63Row" localSheetId="9" hidden="1">#REF!</definedName>
    <definedName name="XRefPaste63Row" hidden="1">#REF!</definedName>
    <definedName name="XRefPaste64" localSheetId="3" hidden="1">[41]Mapa!#REF!</definedName>
    <definedName name="XRefPaste64" localSheetId="2" hidden="1">[41]Mapa!#REF!</definedName>
    <definedName name="XRefPaste64" localSheetId="5" hidden="1">[41]Mapa!#REF!</definedName>
    <definedName name="XRefPaste64" localSheetId="8" hidden="1">[41]Mapa!#REF!</definedName>
    <definedName name="XRefPaste64" localSheetId="10" hidden="1">[41]Mapa!#REF!</definedName>
    <definedName name="XRefPaste64" localSheetId="9" hidden="1">[41]Mapa!#REF!</definedName>
    <definedName name="XRefPaste64" hidden="1">[41]Mapa!#REF!</definedName>
    <definedName name="XRefPaste64Row" localSheetId="3" hidden="1">#REF!</definedName>
    <definedName name="XRefPaste64Row" localSheetId="2" hidden="1">#REF!</definedName>
    <definedName name="XRefPaste64Row" localSheetId="5" hidden="1">#REF!</definedName>
    <definedName name="XRefPaste64Row" localSheetId="8" hidden="1">#REF!</definedName>
    <definedName name="XRefPaste64Row" localSheetId="10" hidden="1">#REF!</definedName>
    <definedName name="XRefPaste64Row" localSheetId="9" hidden="1">#REF!</definedName>
    <definedName name="XRefPaste64Row" hidden="1">#REF!</definedName>
    <definedName name="XRefPaste65" localSheetId="3" hidden="1">#REF!</definedName>
    <definedName name="XRefPaste65" localSheetId="2" hidden="1">#REF!</definedName>
    <definedName name="XRefPaste65" localSheetId="5" hidden="1">#REF!</definedName>
    <definedName name="XRefPaste65" localSheetId="8" hidden="1">#REF!</definedName>
    <definedName name="XRefPaste65" localSheetId="10" hidden="1">#REF!</definedName>
    <definedName name="XRefPaste65" localSheetId="9" hidden="1">#REF!</definedName>
    <definedName name="XRefPaste65" hidden="1">#REF!</definedName>
    <definedName name="XRefPaste65Row" localSheetId="3" hidden="1">#REF!</definedName>
    <definedName name="XRefPaste65Row" localSheetId="2" hidden="1">#REF!</definedName>
    <definedName name="XRefPaste65Row" localSheetId="5" hidden="1">#REF!</definedName>
    <definedName name="XRefPaste65Row" localSheetId="8" hidden="1">#REF!</definedName>
    <definedName name="XRefPaste65Row" localSheetId="10" hidden="1">#REF!</definedName>
    <definedName name="XRefPaste65Row" localSheetId="9" hidden="1">#REF!</definedName>
    <definedName name="XRefPaste65Row" hidden="1">#REF!</definedName>
    <definedName name="XRefPaste66" localSheetId="3" hidden="1">#REF!</definedName>
    <definedName name="XRefPaste66" localSheetId="2" hidden="1">#REF!</definedName>
    <definedName name="XRefPaste66" localSheetId="5" hidden="1">#REF!</definedName>
    <definedName name="XRefPaste66" localSheetId="8" hidden="1">#REF!</definedName>
    <definedName name="XRefPaste66" localSheetId="10" hidden="1">#REF!</definedName>
    <definedName name="XRefPaste66" localSheetId="9" hidden="1">#REF!</definedName>
    <definedName name="XRefPaste66" hidden="1">#REF!</definedName>
    <definedName name="XRefPaste66Row" localSheetId="3" hidden="1">#REF!</definedName>
    <definedName name="XRefPaste66Row" localSheetId="2" hidden="1">#REF!</definedName>
    <definedName name="XRefPaste66Row" localSheetId="5" hidden="1">#REF!</definedName>
    <definedName name="XRefPaste66Row" localSheetId="8" hidden="1">#REF!</definedName>
    <definedName name="XRefPaste66Row" localSheetId="10" hidden="1">#REF!</definedName>
    <definedName name="XRefPaste66Row" localSheetId="9" hidden="1">#REF!</definedName>
    <definedName name="XRefPaste66Row" hidden="1">#REF!</definedName>
    <definedName name="XRefPaste67" localSheetId="3" hidden="1">[41]Mapa!#REF!</definedName>
    <definedName name="XRefPaste67" localSheetId="2" hidden="1">[41]Mapa!#REF!</definedName>
    <definedName name="XRefPaste67" localSheetId="5" hidden="1">[41]Mapa!#REF!</definedName>
    <definedName name="XRefPaste67" localSheetId="8" hidden="1">[41]Mapa!#REF!</definedName>
    <definedName name="XRefPaste67" localSheetId="10" hidden="1">[41]Mapa!#REF!</definedName>
    <definedName name="XRefPaste67" localSheetId="9" hidden="1">[41]Mapa!#REF!</definedName>
    <definedName name="XRefPaste67" hidden="1">[41]Mapa!#REF!</definedName>
    <definedName name="XRefPaste67Row" localSheetId="3" hidden="1">#REF!</definedName>
    <definedName name="XRefPaste67Row" localSheetId="2" hidden="1">#REF!</definedName>
    <definedName name="XRefPaste67Row" localSheetId="5" hidden="1">#REF!</definedName>
    <definedName name="XRefPaste67Row" localSheetId="8" hidden="1">#REF!</definedName>
    <definedName name="XRefPaste67Row" localSheetId="10" hidden="1">#REF!</definedName>
    <definedName name="XRefPaste67Row" localSheetId="9" hidden="1">#REF!</definedName>
    <definedName name="XRefPaste67Row" hidden="1">#REF!</definedName>
    <definedName name="XRefPaste68" localSheetId="3" hidden="1">#REF!</definedName>
    <definedName name="XRefPaste68" localSheetId="2" hidden="1">#REF!</definedName>
    <definedName name="XRefPaste68" localSheetId="5" hidden="1">#REF!</definedName>
    <definedName name="XRefPaste68" localSheetId="8" hidden="1">#REF!</definedName>
    <definedName name="XRefPaste68" localSheetId="10" hidden="1">#REF!</definedName>
    <definedName name="XRefPaste68" localSheetId="9" hidden="1">#REF!</definedName>
    <definedName name="XRefPaste68" hidden="1">#REF!</definedName>
    <definedName name="XRefPaste68Row" localSheetId="3" hidden="1">#REF!</definedName>
    <definedName name="XRefPaste68Row" localSheetId="2" hidden="1">#REF!</definedName>
    <definedName name="XRefPaste68Row" localSheetId="5" hidden="1">#REF!</definedName>
    <definedName name="XRefPaste68Row" localSheetId="8" hidden="1">#REF!</definedName>
    <definedName name="XRefPaste68Row" localSheetId="10" hidden="1">#REF!</definedName>
    <definedName name="XRefPaste68Row" localSheetId="9" hidden="1">#REF!</definedName>
    <definedName name="XRefPaste68Row" hidden="1">#REF!</definedName>
    <definedName name="XRefPaste69" localSheetId="3" hidden="1">#REF!</definedName>
    <definedName name="XRefPaste69" localSheetId="2" hidden="1">#REF!</definedName>
    <definedName name="XRefPaste69" localSheetId="5" hidden="1">#REF!</definedName>
    <definedName name="XRefPaste69" localSheetId="8" hidden="1">#REF!</definedName>
    <definedName name="XRefPaste69" localSheetId="10" hidden="1">#REF!</definedName>
    <definedName name="XRefPaste69" localSheetId="9" hidden="1">#REF!</definedName>
    <definedName name="XRefPaste69" hidden="1">#REF!</definedName>
    <definedName name="XRefPaste69Row" localSheetId="3" hidden="1">#REF!</definedName>
    <definedName name="XRefPaste69Row" localSheetId="2" hidden="1">#REF!</definedName>
    <definedName name="XRefPaste69Row" localSheetId="5" hidden="1">#REF!</definedName>
    <definedName name="XRefPaste69Row" localSheetId="8" hidden="1">#REF!</definedName>
    <definedName name="XRefPaste69Row" localSheetId="10" hidden="1">#REF!</definedName>
    <definedName name="XRefPaste69Row" localSheetId="9" hidden="1">#REF!</definedName>
    <definedName name="XRefPaste69Row" hidden="1">#REF!</definedName>
    <definedName name="XRefPaste6Row" localSheetId="3" hidden="1">#REF!</definedName>
    <definedName name="XRefPaste6Row" localSheetId="2" hidden="1">#REF!</definedName>
    <definedName name="XRefPaste6Row" localSheetId="5" hidden="1">#REF!</definedName>
    <definedName name="XRefPaste6Row" localSheetId="8" hidden="1">#REF!</definedName>
    <definedName name="XRefPaste6Row" localSheetId="10" hidden="1">#REF!</definedName>
    <definedName name="XRefPaste6Row" localSheetId="9" hidden="1">#REF!</definedName>
    <definedName name="XRefPaste6Row" hidden="1">#REF!</definedName>
    <definedName name="XRefPaste7" localSheetId="3" hidden="1">#REF!</definedName>
    <definedName name="XRefPaste7" localSheetId="2" hidden="1">#REF!</definedName>
    <definedName name="XRefPaste7" localSheetId="5" hidden="1">#REF!</definedName>
    <definedName name="XRefPaste7" localSheetId="8" hidden="1">#REF!</definedName>
    <definedName name="XRefPaste7" localSheetId="10" hidden="1">#REF!</definedName>
    <definedName name="XRefPaste7" localSheetId="9" hidden="1">#REF!</definedName>
    <definedName name="XRefPaste7" hidden="1">#REF!</definedName>
    <definedName name="XRefPaste70" localSheetId="3" hidden="1">#REF!</definedName>
    <definedName name="XRefPaste70" localSheetId="2" hidden="1">#REF!</definedName>
    <definedName name="XRefPaste70" localSheetId="5" hidden="1">#REF!</definedName>
    <definedName name="XRefPaste70" localSheetId="8" hidden="1">#REF!</definedName>
    <definedName name="XRefPaste70" localSheetId="10" hidden="1">#REF!</definedName>
    <definedName name="XRefPaste70" localSheetId="9" hidden="1">#REF!</definedName>
    <definedName name="XRefPaste70" hidden="1">#REF!</definedName>
    <definedName name="XRefPaste70Row" localSheetId="3" hidden="1">#REF!</definedName>
    <definedName name="XRefPaste70Row" localSheetId="2" hidden="1">#REF!</definedName>
    <definedName name="XRefPaste70Row" localSheetId="5" hidden="1">#REF!</definedName>
    <definedName name="XRefPaste70Row" localSheetId="8" hidden="1">#REF!</definedName>
    <definedName name="XRefPaste70Row" localSheetId="10" hidden="1">#REF!</definedName>
    <definedName name="XRefPaste70Row" localSheetId="9" hidden="1">#REF!</definedName>
    <definedName name="XRefPaste70Row" hidden="1">#REF!</definedName>
    <definedName name="XRefPaste71" localSheetId="3" hidden="1">#REF!</definedName>
    <definedName name="XRefPaste71" localSheetId="2" hidden="1">#REF!</definedName>
    <definedName name="XRefPaste71" localSheetId="5" hidden="1">#REF!</definedName>
    <definedName name="XRefPaste71" localSheetId="8" hidden="1">#REF!</definedName>
    <definedName name="XRefPaste71" localSheetId="10" hidden="1">#REF!</definedName>
    <definedName name="XRefPaste71" localSheetId="9" hidden="1">#REF!</definedName>
    <definedName name="XRefPaste71" hidden="1">#REF!</definedName>
    <definedName name="XRefPaste71Row" localSheetId="3" hidden="1">#REF!</definedName>
    <definedName name="XRefPaste71Row" localSheetId="2" hidden="1">#REF!</definedName>
    <definedName name="XRefPaste71Row" localSheetId="5" hidden="1">#REF!</definedName>
    <definedName name="XRefPaste71Row" localSheetId="8" hidden="1">#REF!</definedName>
    <definedName name="XRefPaste71Row" localSheetId="10" hidden="1">#REF!</definedName>
    <definedName name="XRefPaste71Row" localSheetId="9" hidden="1">#REF!</definedName>
    <definedName name="XRefPaste71Row" hidden="1">#REF!</definedName>
    <definedName name="XRefPaste72" localSheetId="3" hidden="1">#REF!</definedName>
    <definedName name="XRefPaste72" localSheetId="2" hidden="1">#REF!</definedName>
    <definedName name="XRefPaste72" localSheetId="5" hidden="1">#REF!</definedName>
    <definedName name="XRefPaste72" localSheetId="8" hidden="1">#REF!</definedName>
    <definedName name="XRefPaste72" localSheetId="10" hidden="1">#REF!</definedName>
    <definedName name="XRefPaste72" localSheetId="9" hidden="1">#REF!</definedName>
    <definedName name="XRefPaste72" hidden="1">#REF!</definedName>
    <definedName name="XRefPaste72Row" localSheetId="3" hidden="1">#REF!</definedName>
    <definedName name="XRefPaste72Row" localSheetId="2" hidden="1">#REF!</definedName>
    <definedName name="XRefPaste72Row" localSheetId="5" hidden="1">#REF!</definedName>
    <definedName name="XRefPaste72Row" localSheetId="8" hidden="1">#REF!</definedName>
    <definedName name="XRefPaste72Row" localSheetId="10" hidden="1">#REF!</definedName>
    <definedName name="XRefPaste72Row" localSheetId="9" hidden="1">#REF!</definedName>
    <definedName name="XRefPaste72Row" hidden="1">#REF!</definedName>
    <definedName name="XRefPaste73" localSheetId="3" hidden="1">'[64]Mapa 31.01.04'!#REF!</definedName>
    <definedName name="XRefPaste73" localSheetId="2" hidden="1">'[64]Mapa 31.01.04'!#REF!</definedName>
    <definedName name="XRefPaste73" localSheetId="5" hidden="1">'[64]Mapa 31.01.04'!#REF!</definedName>
    <definedName name="XRefPaste73" localSheetId="8" hidden="1">'[64]Mapa 31.01.04'!#REF!</definedName>
    <definedName name="XRefPaste73" localSheetId="10" hidden="1">'[64]Mapa 31.01.04'!#REF!</definedName>
    <definedName name="XRefPaste73" localSheetId="9" hidden="1">'[64]Mapa 31.01.04'!#REF!</definedName>
    <definedName name="XRefPaste73" hidden="1">'[64]Mapa 31.01.04'!#REF!</definedName>
    <definedName name="XRefPaste73Row" localSheetId="3" hidden="1">#REF!</definedName>
    <definedName name="XRefPaste73Row" localSheetId="2" hidden="1">#REF!</definedName>
    <definedName name="XRefPaste73Row" localSheetId="5" hidden="1">#REF!</definedName>
    <definedName name="XRefPaste73Row" localSheetId="8" hidden="1">#REF!</definedName>
    <definedName name="XRefPaste73Row" localSheetId="10" hidden="1">#REF!</definedName>
    <definedName name="XRefPaste73Row" localSheetId="9" hidden="1">#REF!</definedName>
    <definedName name="XRefPaste73Row" hidden="1">#REF!</definedName>
    <definedName name="XRefPaste74" localSheetId="3" hidden="1">#REF!</definedName>
    <definedName name="XRefPaste74" localSheetId="2" hidden="1">#REF!</definedName>
    <definedName name="XRefPaste74" localSheetId="5" hidden="1">#REF!</definedName>
    <definedName name="XRefPaste74" localSheetId="8" hidden="1">#REF!</definedName>
    <definedName name="XRefPaste74" localSheetId="10" hidden="1">#REF!</definedName>
    <definedName name="XRefPaste74" localSheetId="9" hidden="1">#REF!</definedName>
    <definedName name="XRefPaste74" hidden="1">#REF!</definedName>
    <definedName name="XRefPaste74Row" localSheetId="3" hidden="1">#REF!</definedName>
    <definedName name="XRefPaste74Row" localSheetId="2" hidden="1">#REF!</definedName>
    <definedName name="XRefPaste74Row" localSheetId="5" hidden="1">#REF!</definedName>
    <definedName name="XRefPaste74Row" localSheetId="8" hidden="1">#REF!</definedName>
    <definedName name="XRefPaste74Row" localSheetId="10" hidden="1">#REF!</definedName>
    <definedName name="XRefPaste74Row" localSheetId="9" hidden="1">#REF!</definedName>
    <definedName name="XRefPaste74Row" hidden="1">#REF!</definedName>
    <definedName name="XRefPaste75" localSheetId="3" hidden="1">[62]BP!#REF!</definedName>
    <definedName name="XRefPaste75" localSheetId="2" hidden="1">[62]BP!#REF!</definedName>
    <definedName name="XRefPaste75" localSheetId="5" hidden="1">[62]BP!#REF!</definedName>
    <definedName name="XRefPaste75" localSheetId="8" hidden="1">[62]BP!#REF!</definedName>
    <definedName name="XRefPaste75" localSheetId="10" hidden="1">[62]BP!#REF!</definedName>
    <definedName name="XRefPaste75" localSheetId="9" hidden="1">[62]BP!#REF!</definedName>
    <definedName name="XRefPaste75" hidden="1">[62]BP!#REF!</definedName>
    <definedName name="XRefPaste75Row" localSheetId="3" hidden="1">#REF!</definedName>
    <definedName name="XRefPaste75Row" localSheetId="2" hidden="1">#REF!</definedName>
    <definedName name="XRefPaste75Row" localSheetId="5" hidden="1">#REF!</definedName>
    <definedName name="XRefPaste75Row" localSheetId="8" hidden="1">#REF!</definedName>
    <definedName name="XRefPaste75Row" localSheetId="10" hidden="1">#REF!</definedName>
    <definedName name="XRefPaste75Row" localSheetId="9" hidden="1">#REF!</definedName>
    <definedName name="XRefPaste75Row" hidden="1">#REF!</definedName>
    <definedName name="XRefPaste76" localSheetId="3" hidden="1">[62]BP!#REF!</definedName>
    <definedName name="XRefPaste76" localSheetId="2" hidden="1">[62]BP!#REF!</definedName>
    <definedName name="XRefPaste76" localSheetId="5" hidden="1">[62]BP!#REF!</definedName>
    <definedName name="XRefPaste76" localSheetId="8" hidden="1">[62]BP!#REF!</definedName>
    <definedName name="XRefPaste76" localSheetId="10" hidden="1">[62]BP!#REF!</definedName>
    <definedName name="XRefPaste76" localSheetId="9" hidden="1">[62]BP!#REF!</definedName>
    <definedName name="XRefPaste76" hidden="1">[62]BP!#REF!</definedName>
    <definedName name="XRefPaste76Row" localSheetId="3" hidden="1">#REF!</definedName>
    <definedName name="XRefPaste76Row" localSheetId="2" hidden="1">#REF!</definedName>
    <definedName name="XRefPaste76Row" localSheetId="5" hidden="1">#REF!</definedName>
    <definedName name="XRefPaste76Row" localSheetId="8" hidden="1">#REF!</definedName>
    <definedName name="XRefPaste76Row" localSheetId="10" hidden="1">#REF!</definedName>
    <definedName name="XRefPaste76Row" localSheetId="9" hidden="1">#REF!</definedName>
    <definedName name="XRefPaste76Row" hidden="1">#REF!</definedName>
    <definedName name="XRefPaste79" localSheetId="3" hidden="1">'[64]Mapa 31.01.04'!#REF!</definedName>
    <definedName name="XRefPaste79" localSheetId="2" hidden="1">'[64]Mapa 31.01.04'!#REF!</definedName>
    <definedName name="XRefPaste79" localSheetId="5" hidden="1">'[64]Mapa 31.01.04'!#REF!</definedName>
    <definedName name="XRefPaste79" localSheetId="8" hidden="1">'[64]Mapa 31.01.04'!#REF!</definedName>
    <definedName name="XRefPaste79" localSheetId="10" hidden="1">'[64]Mapa 31.01.04'!#REF!</definedName>
    <definedName name="XRefPaste79" localSheetId="9" hidden="1">'[64]Mapa 31.01.04'!#REF!</definedName>
    <definedName name="XRefPaste79" hidden="1">'[64]Mapa 31.01.04'!#REF!</definedName>
    <definedName name="XRefPaste79Row" localSheetId="3" hidden="1">#REF!</definedName>
    <definedName name="XRefPaste79Row" localSheetId="2" hidden="1">#REF!</definedName>
    <definedName name="XRefPaste79Row" localSheetId="5" hidden="1">#REF!</definedName>
    <definedName name="XRefPaste79Row" localSheetId="8" hidden="1">#REF!</definedName>
    <definedName name="XRefPaste79Row" localSheetId="10" hidden="1">#REF!</definedName>
    <definedName name="XRefPaste79Row" localSheetId="9" hidden="1">#REF!</definedName>
    <definedName name="XRefPaste79Row" hidden="1">#REF!</definedName>
    <definedName name="XRefPaste7Row" localSheetId="3" hidden="1">#REF!</definedName>
    <definedName name="XRefPaste7Row" localSheetId="2" hidden="1">#REF!</definedName>
    <definedName name="XRefPaste7Row" localSheetId="5" hidden="1">#REF!</definedName>
    <definedName name="XRefPaste7Row" localSheetId="8" hidden="1">#REF!</definedName>
    <definedName name="XRefPaste7Row" localSheetId="10" hidden="1">#REF!</definedName>
    <definedName name="XRefPaste7Row" localSheetId="9" hidden="1">#REF!</definedName>
    <definedName name="XRefPaste7Row" hidden="1">#REF!</definedName>
    <definedName name="XRefPaste8" localSheetId="3" hidden="1">#REF!</definedName>
    <definedName name="XRefPaste8" localSheetId="2" hidden="1">#REF!</definedName>
    <definedName name="XRefPaste8" localSheetId="5" hidden="1">#REF!</definedName>
    <definedName name="XRefPaste8" localSheetId="8" hidden="1">#REF!</definedName>
    <definedName name="XRefPaste8" localSheetId="10" hidden="1">#REF!</definedName>
    <definedName name="XRefPaste8" localSheetId="9" hidden="1">#REF!</definedName>
    <definedName name="XRefPaste8" hidden="1">#REF!</definedName>
    <definedName name="XRefPaste80" localSheetId="3" hidden="1">'[64]Mapa 31.01.04'!#REF!</definedName>
    <definedName name="XRefPaste80" localSheetId="2" hidden="1">'[64]Mapa 31.01.04'!#REF!</definedName>
    <definedName name="XRefPaste80" localSheetId="5" hidden="1">'[64]Mapa 31.01.04'!#REF!</definedName>
    <definedName name="XRefPaste80" localSheetId="8" hidden="1">'[64]Mapa 31.01.04'!#REF!</definedName>
    <definedName name="XRefPaste80" localSheetId="10" hidden="1">'[64]Mapa 31.01.04'!#REF!</definedName>
    <definedName name="XRefPaste80" localSheetId="9" hidden="1">'[64]Mapa 31.01.04'!#REF!</definedName>
    <definedName name="XRefPaste80" hidden="1">'[64]Mapa 31.01.04'!#REF!</definedName>
    <definedName name="XRefPaste81" localSheetId="3" hidden="1">'[64]Mapa 31.01.04'!#REF!</definedName>
    <definedName name="XRefPaste81" localSheetId="2" hidden="1">'[64]Mapa 31.01.04'!#REF!</definedName>
    <definedName name="XRefPaste81" localSheetId="5" hidden="1">'[64]Mapa 31.01.04'!#REF!</definedName>
    <definedName name="XRefPaste81" localSheetId="8" hidden="1">'[64]Mapa 31.01.04'!#REF!</definedName>
    <definedName name="XRefPaste81" localSheetId="10" hidden="1">'[64]Mapa 31.01.04'!#REF!</definedName>
    <definedName name="XRefPaste81" localSheetId="9" hidden="1">'[64]Mapa 31.01.04'!#REF!</definedName>
    <definedName name="XRefPaste81" hidden="1">'[64]Mapa 31.01.04'!#REF!</definedName>
    <definedName name="XRefPaste81Row" localSheetId="3" hidden="1">#REF!</definedName>
    <definedName name="XRefPaste81Row" localSheetId="2" hidden="1">#REF!</definedName>
    <definedName name="XRefPaste81Row" localSheetId="5" hidden="1">#REF!</definedName>
    <definedName name="XRefPaste81Row" localSheetId="8" hidden="1">#REF!</definedName>
    <definedName name="XRefPaste81Row" localSheetId="10" hidden="1">#REF!</definedName>
    <definedName name="XRefPaste81Row" localSheetId="9" hidden="1">#REF!</definedName>
    <definedName name="XRefPaste81Row" hidden="1">#REF!</definedName>
    <definedName name="XRefPaste82" localSheetId="3" hidden="1">'[64]Mapa 31.01.04'!#REF!</definedName>
    <definedName name="XRefPaste82" localSheetId="2" hidden="1">'[64]Mapa 31.01.04'!#REF!</definedName>
    <definedName name="XRefPaste82" localSheetId="5" hidden="1">'[64]Mapa 31.01.04'!#REF!</definedName>
    <definedName name="XRefPaste82" localSheetId="8" hidden="1">'[64]Mapa 31.01.04'!#REF!</definedName>
    <definedName name="XRefPaste82" localSheetId="10" hidden="1">'[64]Mapa 31.01.04'!#REF!</definedName>
    <definedName name="XRefPaste82" localSheetId="9" hidden="1">'[64]Mapa 31.01.04'!#REF!</definedName>
    <definedName name="XRefPaste82" hidden="1">'[64]Mapa 31.01.04'!#REF!</definedName>
    <definedName name="XRefPaste82Row" localSheetId="3" hidden="1">#REF!</definedName>
    <definedName name="XRefPaste82Row" localSheetId="2" hidden="1">#REF!</definedName>
    <definedName name="XRefPaste82Row" localSheetId="5" hidden="1">#REF!</definedName>
    <definedName name="XRefPaste82Row" localSheetId="8" hidden="1">#REF!</definedName>
    <definedName name="XRefPaste82Row" localSheetId="10" hidden="1">#REF!</definedName>
    <definedName name="XRefPaste82Row" localSheetId="9" hidden="1">#REF!</definedName>
    <definedName name="XRefPaste82Row" hidden="1">#REF!</definedName>
    <definedName name="XRefPaste83" localSheetId="3" hidden="1">'[64]Mapa 31.01.04'!#REF!</definedName>
    <definedName name="XRefPaste83" localSheetId="2" hidden="1">'[64]Mapa 31.01.04'!#REF!</definedName>
    <definedName name="XRefPaste83" localSheetId="5" hidden="1">'[64]Mapa 31.01.04'!#REF!</definedName>
    <definedName name="XRefPaste83" localSheetId="8" hidden="1">'[64]Mapa 31.01.04'!#REF!</definedName>
    <definedName name="XRefPaste83" localSheetId="10" hidden="1">'[64]Mapa 31.01.04'!#REF!</definedName>
    <definedName name="XRefPaste83" localSheetId="9" hidden="1">'[64]Mapa 31.01.04'!#REF!</definedName>
    <definedName name="XRefPaste83" hidden="1">'[64]Mapa 31.01.04'!#REF!</definedName>
    <definedName name="XRefPaste84" localSheetId="3" hidden="1">'[64]Mapa 31.01.04'!#REF!</definedName>
    <definedName name="XRefPaste84" localSheetId="2" hidden="1">'[64]Mapa 31.01.04'!#REF!</definedName>
    <definedName name="XRefPaste84" localSheetId="5" hidden="1">'[64]Mapa 31.01.04'!#REF!</definedName>
    <definedName name="XRefPaste84" localSheetId="8" hidden="1">'[64]Mapa 31.01.04'!#REF!</definedName>
    <definedName name="XRefPaste84" localSheetId="10" hidden="1">'[64]Mapa 31.01.04'!#REF!</definedName>
    <definedName name="XRefPaste84" localSheetId="9" hidden="1">'[64]Mapa 31.01.04'!#REF!</definedName>
    <definedName name="XRefPaste84" hidden="1">'[64]Mapa 31.01.04'!#REF!</definedName>
    <definedName name="XRefPaste84Row" localSheetId="3" hidden="1">#REF!</definedName>
    <definedName name="XRefPaste84Row" localSheetId="2" hidden="1">#REF!</definedName>
    <definedName name="XRefPaste84Row" localSheetId="5" hidden="1">#REF!</definedName>
    <definedName name="XRefPaste84Row" localSheetId="8" hidden="1">#REF!</definedName>
    <definedName name="XRefPaste84Row" localSheetId="10" hidden="1">#REF!</definedName>
    <definedName name="XRefPaste84Row" localSheetId="9" hidden="1">#REF!</definedName>
    <definedName name="XRefPaste84Row" hidden="1">#REF!</definedName>
    <definedName name="XRefPaste85" localSheetId="3" hidden="1">'[64]Mapa 31.01.04'!#REF!</definedName>
    <definedName name="XRefPaste85" localSheetId="2" hidden="1">'[64]Mapa 31.01.04'!#REF!</definedName>
    <definedName name="XRefPaste85" localSheetId="5" hidden="1">'[64]Mapa 31.01.04'!#REF!</definedName>
    <definedName name="XRefPaste85" localSheetId="8" hidden="1">'[64]Mapa 31.01.04'!#REF!</definedName>
    <definedName name="XRefPaste85" localSheetId="10" hidden="1">'[64]Mapa 31.01.04'!#REF!</definedName>
    <definedName name="XRefPaste85" localSheetId="9" hidden="1">'[64]Mapa 31.01.04'!#REF!</definedName>
    <definedName name="XRefPaste85" hidden="1">'[64]Mapa 31.01.04'!#REF!</definedName>
    <definedName name="XRefPaste85Row" localSheetId="3" hidden="1">#REF!</definedName>
    <definedName name="XRefPaste85Row" localSheetId="2" hidden="1">#REF!</definedName>
    <definedName name="XRefPaste85Row" localSheetId="5" hidden="1">#REF!</definedName>
    <definedName name="XRefPaste85Row" localSheetId="8" hidden="1">#REF!</definedName>
    <definedName name="XRefPaste85Row" localSheetId="10" hidden="1">#REF!</definedName>
    <definedName name="XRefPaste85Row" localSheetId="9" hidden="1">#REF!</definedName>
    <definedName name="XRefPaste85Row" hidden="1">#REF!</definedName>
    <definedName name="XRefPaste86" localSheetId="3" hidden="1">'[64]Mapa 31.01.04'!#REF!</definedName>
    <definedName name="XRefPaste86" localSheetId="2" hidden="1">'[64]Mapa 31.01.04'!#REF!</definedName>
    <definedName name="XRefPaste86" localSheetId="5" hidden="1">'[64]Mapa 31.01.04'!#REF!</definedName>
    <definedName name="XRefPaste86" localSheetId="8" hidden="1">'[64]Mapa 31.01.04'!#REF!</definedName>
    <definedName name="XRefPaste86" localSheetId="10" hidden="1">'[64]Mapa 31.01.04'!#REF!</definedName>
    <definedName name="XRefPaste86" localSheetId="9" hidden="1">'[64]Mapa 31.01.04'!#REF!</definedName>
    <definedName name="XRefPaste86" hidden="1">'[64]Mapa 31.01.04'!#REF!</definedName>
    <definedName name="XRefPaste86Row" localSheetId="3" hidden="1">#REF!</definedName>
    <definedName name="XRefPaste86Row" localSheetId="2" hidden="1">#REF!</definedName>
    <definedName name="XRefPaste86Row" localSheetId="5" hidden="1">#REF!</definedName>
    <definedName name="XRefPaste86Row" localSheetId="8" hidden="1">#REF!</definedName>
    <definedName name="XRefPaste86Row" localSheetId="10" hidden="1">#REF!</definedName>
    <definedName name="XRefPaste86Row" localSheetId="9" hidden="1">#REF!</definedName>
    <definedName name="XRefPaste86Row" hidden="1">#REF!</definedName>
    <definedName name="XRefPaste87" localSheetId="3" hidden="1">#REF!</definedName>
    <definedName name="XRefPaste87" localSheetId="2" hidden="1">#REF!</definedName>
    <definedName name="XRefPaste87" localSheetId="5" hidden="1">#REF!</definedName>
    <definedName name="XRefPaste87" localSheetId="8" hidden="1">#REF!</definedName>
    <definedName name="XRefPaste87" localSheetId="10" hidden="1">#REF!</definedName>
    <definedName name="XRefPaste87" localSheetId="9" hidden="1">#REF!</definedName>
    <definedName name="XRefPaste87" hidden="1">#REF!</definedName>
    <definedName name="XRefPaste87Row" localSheetId="3" hidden="1">[64]XREF!#REF!</definedName>
    <definedName name="XRefPaste87Row" localSheetId="2" hidden="1">[64]XREF!#REF!</definedName>
    <definedName name="XRefPaste87Row" localSheetId="5" hidden="1">[64]XREF!#REF!</definedName>
    <definedName name="XRefPaste87Row" localSheetId="8" hidden="1">[64]XREF!#REF!</definedName>
    <definedName name="XRefPaste87Row" localSheetId="10" hidden="1">[64]XREF!#REF!</definedName>
    <definedName name="XRefPaste87Row" localSheetId="9" hidden="1">[64]XREF!#REF!</definedName>
    <definedName name="XRefPaste87Row" hidden="1">[64]XREF!#REF!</definedName>
    <definedName name="XRefPaste88Row" localSheetId="3" hidden="1">#REF!</definedName>
    <definedName name="XRefPaste88Row" localSheetId="2" hidden="1">#REF!</definedName>
    <definedName name="XRefPaste88Row" localSheetId="5" hidden="1">#REF!</definedName>
    <definedName name="XRefPaste88Row" localSheetId="8" hidden="1">#REF!</definedName>
    <definedName name="XRefPaste88Row" localSheetId="10" hidden="1">#REF!</definedName>
    <definedName name="XRefPaste88Row" localSheetId="9" hidden="1">#REF!</definedName>
    <definedName name="XRefPaste88Row" hidden="1">#REF!</definedName>
    <definedName name="XRefPaste89Row" localSheetId="3" hidden="1">#REF!</definedName>
    <definedName name="XRefPaste89Row" localSheetId="2" hidden="1">#REF!</definedName>
    <definedName name="XRefPaste89Row" localSheetId="5" hidden="1">#REF!</definedName>
    <definedName name="XRefPaste89Row" localSheetId="8" hidden="1">#REF!</definedName>
    <definedName name="XRefPaste89Row" localSheetId="10" hidden="1">#REF!</definedName>
    <definedName name="XRefPaste89Row" localSheetId="9" hidden="1">#REF!</definedName>
    <definedName name="XRefPaste89Row" hidden="1">#REF!</definedName>
    <definedName name="XRefPaste8Row" localSheetId="3" hidden="1">#REF!</definedName>
    <definedName name="XRefPaste8Row" localSheetId="2" hidden="1">#REF!</definedName>
    <definedName name="XRefPaste8Row" localSheetId="5" hidden="1">#REF!</definedName>
    <definedName name="XRefPaste8Row" localSheetId="8" hidden="1">#REF!</definedName>
    <definedName name="XRefPaste8Row" localSheetId="10" hidden="1">#REF!</definedName>
    <definedName name="XRefPaste8Row" localSheetId="9" hidden="1">#REF!</definedName>
    <definedName name="XRefPaste8Row" hidden="1">#REF!</definedName>
    <definedName name="XRefPaste9" localSheetId="3" hidden="1">#REF!</definedName>
    <definedName name="XRefPaste9" localSheetId="2" hidden="1">#REF!</definedName>
    <definedName name="XRefPaste9" localSheetId="5" hidden="1">#REF!</definedName>
    <definedName name="XRefPaste9" localSheetId="8" hidden="1">#REF!</definedName>
    <definedName name="XRefPaste9" localSheetId="10" hidden="1">#REF!</definedName>
    <definedName name="XRefPaste9" localSheetId="9" hidden="1">#REF!</definedName>
    <definedName name="XRefPaste9" hidden="1">#REF!</definedName>
    <definedName name="XRefPaste90" localSheetId="3" hidden="1">'[61]Pas Juros e V.M.C.'!#REF!</definedName>
    <definedName name="XRefPaste90" localSheetId="2" hidden="1">'[61]Pas Juros e V.M.C.'!#REF!</definedName>
    <definedName name="XRefPaste90" localSheetId="5" hidden="1">'[61]Pas Juros e V.M.C.'!#REF!</definedName>
    <definedName name="XRefPaste90" localSheetId="8" hidden="1">'[61]Pas Juros e V.M.C.'!#REF!</definedName>
    <definedName name="XRefPaste90" localSheetId="10" hidden="1">'[61]Pas Juros e V.M.C.'!#REF!</definedName>
    <definedName name="XRefPaste90" localSheetId="9" hidden="1">'[61]Pas Juros e V.M.C.'!#REF!</definedName>
    <definedName name="XRefPaste90" hidden="1">'[61]Pas Juros e V.M.C.'!#REF!</definedName>
    <definedName name="XRefPaste90Row" localSheetId="3" hidden="1">#REF!</definedName>
    <definedName name="XRefPaste90Row" localSheetId="2" hidden="1">#REF!</definedName>
    <definedName name="XRefPaste90Row" localSheetId="5" hidden="1">#REF!</definedName>
    <definedName name="XRefPaste90Row" localSheetId="8" hidden="1">#REF!</definedName>
    <definedName name="XRefPaste90Row" localSheetId="10" hidden="1">#REF!</definedName>
    <definedName name="XRefPaste90Row" localSheetId="9" hidden="1">#REF!</definedName>
    <definedName name="XRefPaste90Row" hidden="1">#REF!</definedName>
    <definedName name="XRefPaste91" localSheetId="3" hidden="1">'[61]Pas Juros e V.M.C.'!#REF!</definedName>
    <definedName name="XRefPaste91" localSheetId="2" hidden="1">'[61]Pas Juros e V.M.C.'!#REF!</definedName>
    <definedName name="XRefPaste91" localSheetId="5" hidden="1">'[61]Pas Juros e V.M.C.'!#REF!</definedName>
    <definedName name="XRefPaste91" localSheetId="8" hidden="1">'[61]Pas Juros e V.M.C.'!#REF!</definedName>
    <definedName name="XRefPaste91" localSheetId="10" hidden="1">'[61]Pas Juros e V.M.C.'!#REF!</definedName>
    <definedName name="XRefPaste91" localSheetId="9" hidden="1">'[61]Pas Juros e V.M.C.'!#REF!</definedName>
    <definedName name="XRefPaste91" hidden="1">'[61]Pas Juros e V.M.C.'!#REF!</definedName>
    <definedName name="XRefPaste91Row" localSheetId="3" hidden="1">[64]XREF!#REF!</definedName>
    <definedName name="XRefPaste91Row" localSheetId="2" hidden="1">[64]XREF!#REF!</definedName>
    <definedName name="XRefPaste91Row" localSheetId="5" hidden="1">[64]XREF!#REF!</definedName>
    <definedName name="XRefPaste91Row" localSheetId="8" hidden="1">[64]XREF!#REF!</definedName>
    <definedName name="XRefPaste91Row" localSheetId="10" hidden="1">[64]XREF!#REF!</definedName>
    <definedName name="XRefPaste91Row" localSheetId="9" hidden="1">[64]XREF!#REF!</definedName>
    <definedName name="XRefPaste91Row" hidden="1">[64]XREF!#REF!</definedName>
    <definedName name="XRefPaste92" localSheetId="3" hidden="1">'[61]Pas Juros e V.M.C.'!#REF!</definedName>
    <definedName name="XRefPaste92" localSheetId="2" hidden="1">'[61]Pas Juros e V.M.C.'!#REF!</definedName>
    <definedName name="XRefPaste92" localSheetId="5" hidden="1">'[61]Pas Juros e V.M.C.'!#REF!</definedName>
    <definedName name="XRefPaste92" localSheetId="8" hidden="1">'[61]Pas Juros e V.M.C.'!#REF!</definedName>
    <definedName name="XRefPaste92" localSheetId="10" hidden="1">'[61]Pas Juros e V.M.C.'!#REF!</definedName>
    <definedName name="XRefPaste92" localSheetId="9" hidden="1">'[61]Pas Juros e V.M.C.'!#REF!</definedName>
    <definedName name="XRefPaste92" hidden="1">'[61]Pas Juros e V.M.C.'!#REF!</definedName>
    <definedName name="XRefPaste92Row" localSheetId="3" hidden="1">#REF!</definedName>
    <definedName name="XRefPaste92Row" localSheetId="2" hidden="1">#REF!</definedName>
    <definedName name="XRefPaste92Row" localSheetId="5" hidden="1">#REF!</definedName>
    <definedName name="XRefPaste92Row" localSheetId="8" hidden="1">#REF!</definedName>
    <definedName name="XRefPaste92Row" localSheetId="10" hidden="1">#REF!</definedName>
    <definedName name="XRefPaste92Row" localSheetId="9" hidden="1">#REF!</definedName>
    <definedName name="XRefPaste92Row" hidden="1">#REF!</definedName>
    <definedName name="XRefPaste93Row" localSheetId="3" hidden="1">#REF!</definedName>
    <definedName name="XRefPaste93Row" localSheetId="2" hidden="1">#REF!</definedName>
    <definedName name="XRefPaste93Row" localSheetId="5" hidden="1">#REF!</definedName>
    <definedName name="XRefPaste93Row" localSheetId="8" hidden="1">#REF!</definedName>
    <definedName name="XRefPaste93Row" localSheetId="10" hidden="1">#REF!</definedName>
    <definedName name="XRefPaste93Row" localSheetId="9" hidden="1">#REF!</definedName>
    <definedName name="XRefPaste93Row" hidden="1">#REF!</definedName>
    <definedName name="XRefPaste94Row" localSheetId="3" hidden="1">#REF!</definedName>
    <definedName name="XRefPaste94Row" localSheetId="2" hidden="1">#REF!</definedName>
    <definedName name="XRefPaste94Row" localSheetId="5" hidden="1">#REF!</definedName>
    <definedName name="XRefPaste94Row" localSheetId="8" hidden="1">#REF!</definedName>
    <definedName name="XRefPaste94Row" localSheetId="10" hidden="1">#REF!</definedName>
    <definedName name="XRefPaste94Row" localSheetId="9" hidden="1">#REF!</definedName>
    <definedName name="XRefPaste94Row" hidden="1">#REF!</definedName>
    <definedName name="XRefPaste95Row" localSheetId="3" hidden="1">#REF!</definedName>
    <definedName name="XRefPaste95Row" localSheetId="2" hidden="1">#REF!</definedName>
    <definedName name="XRefPaste95Row" localSheetId="5" hidden="1">#REF!</definedName>
    <definedName name="XRefPaste95Row" localSheetId="8" hidden="1">#REF!</definedName>
    <definedName name="XRefPaste95Row" localSheetId="10" hidden="1">#REF!</definedName>
    <definedName name="XRefPaste95Row" localSheetId="9" hidden="1">#REF!</definedName>
    <definedName name="XRefPaste95Row" hidden="1">#REF!</definedName>
    <definedName name="XRefPaste97Row" localSheetId="3" hidden="1">#REF!</definedName>
    <definedName name="XRefPaste97Row" localSheetId="2" hidden="1">#REF!</definedName>
    <definedName name="XRefPaste97Row" localSheetId="5" hidden="1">#REF!</definedName>
    <definedName name="XRefPaste97Row" localSheetId="8" hidden="1">#REF!</definedName>
    <definedName name="XRefPaste97Row" localSheetId="10" hidden="1">#REF!</definedName>
    <definedName name="XRefPaste97Row" localSheetId="9" hidden="1">#REF!</definedName>
    <definedName name="XRefPaste97Row" hidden="1">#REF!</definedName>
    <definedName name="XRefPaste98Row" localSheetId="3" hidden="1">#REF!</definedName>
    <definedName name="XRefPaste98Row" localSheetId="2" hidden="1">#REF!</definedName>
    <definedName name="XRefPaste98Row" localSheetId="5" hidden="1">#REF!</definedName>
    <definedName name="XRefPaste98Row" localSheetId="8" hidden="1">#REF!</definedName>
    <definedName name="XRefPaste98Row" localSheetId="10" hidden="1">#REF!</definedName>
    <definedName name="XRefPaste98Row" localSheetId="9" hidden="1">#REF!</definedName>
    <definedName name="XRefPaste98Row" hidden="1">#REF!</definedName>
    <definedName name="XRefPaste99Row" localSheetId="3" hidden="1">#REF!</definedName>
    <definedName name="XRefPaste99Row" localSheetId="2" hidden="1">#REF!</definedName>
    <definedName name="XRefPaste99Row" localSheetId="5" hidden="1">#REF!</definedName>
    <definedName name="XRefPaste99Row" localSheetId="8" hidden="1">#REF!</definedName>
    <definedName name="XRefPaste99Row" localSheetId="10" hidden="1">#REF!</definedName>
    <definedName name="XRefPaste99Row" localSheetId="9" hidden="1">#REF!</definedName>
    <definedName name="XRefPaste99Row" hidden="1">#REF!</definedName>
    <definedName name="XRefPaste9Row" localSheetId="3" hidden="1">#REF!</definedName>
    <definedName name="XRefPaste9Row" localSheetId="2" hidden="1">#REF!</definedName>
    <definedName name="XRefPaste9Row" localSheetId="5" hidden="1">#REF!</definedName>
    <definedName name="XRefPaste9Row" localSheetId="8" hidden="1">#REF!</definedName>
    <definedName name="XRefPaste9Row" localSheetId="10" hidden="1">#REF!</definedName>
    <definedName name="XRefPaste9Row" localSheetId="9" hidden="1">#REF!</definedName>
    <definedName name="XRefPaste9Row" hidden="1">#REF!</definedName>
    <definedName name="XRefPasteRangeCount" hidden="1">7</definedName>
    <definedName name="xxxxxooooo" localSheetId="3" hidden="1">#REF!</definedName>
    <definedName name="xxxxxooooo" localSheetId="2" hidden="1">#REF!</definedName>
    <definedName name="xxxxxooooo" localSheetId="5" hidden="1">#REF!</definedName>
    <definedName name="xxxxxooooo" localSheetId="8" hidden="1">#REF!</definedName>
    <definedName name="xxxxxooooo" localSheetId="10" hidden="1">#REF!</definedName>
    <definedName name="xxxxxooooo" localSheetId="9" hidden="1">#REF!</definedName>
    <definedName name="xxxxxooooo" hidden="1">#REF!</definedName>
    <definedName name="Z" localSheetId="3">#REF!</definedName>
    <definedName name="Z" localSheetId="2">#REF!</definedName>
    <definedName name="Z" localSheetId="5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1" localSheetId="3">#REF!</definedName>
    <definedName name="Z_1" localSheetId="2">#REF!</definedName>
    <definedName name="Z_1" localSheetId="5">#REF!</definedName>
    <definedName name="Z_1" localSheetId="8">#REF!</definedName>
    <definedName name="Z_1" localSheetId="10">#REF!</definedName>
    <definedName name="Z_1" localSheetId="9">#REF!</definedName>
    <definedName name="Z_1">#REF!</definedName>
    <definedName name="Z_3" localSheetId="3">#REF!</definedName>
    <definedName name="Z_3" localSheetId="2">#REF!</definedName>
    <definedName name="Z_3" localSheetId="5">#REF!</definedName>
    <definedName name="Z_3" localSheetId="8">#REF!</definedName>
    <definedName name="Z_3" localSheetId="10">#REF!</definedName>
    <definedName name="Z_3" localSheetId="9">#REF!</definedName>
    <definedName name="Z_3">#REF!</definedName>
    <definedName name="Z757Z120" localSheetId="3">#REF!</definedName>
    <definedName name="Z757Z120" localSheetId="2">#REF!</definedName>
    <definedName name="Z757Z120" localSheetId="5">#REF!</definedName>
    <definedName name="Z757Z120" localSheetId="8">#REF!</definedName>
    <definedName name="Z757Z120" localSheetId="10">#REF!</definedName>
    <definedName name="Z757Z120" localSheetId="9">#REF!</definedName>
    <definedName name="Z757Z120">#REF!</definedName>
    <definedName name="ZZ" localSheetId="3">#REF!</definedName>
    <definedName name="ZZ" localSheetId="2">#REF!</definedName>
    <definedName name="ZZ" localSheetId="5">#REF!</definedName>
    <definedName name="ZZ" localSheetId="8">#REF!</definedName>
    <definedName name="ZZ" localSheetId="10">#REF!</definedName>
    <definedName name="ZZ" localSheetId="9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32" i="33" l="1"/>
  <c r="BU28" i="33" l="1"/>
  <c r="BU17" i="33"/>
  <c r="BU24" i="33"/>
  <c r="BU42" i="32"/>
  <c r="BU33" i="32"/>
  <c r="BU45" i="32"/>
  <c r="BU43" i="32" s="1"/>
  <c r="BU14" i="32"/>
  <c r="BU7" i="36"/>
  <c r="BU7" i="14"/>
  <c r="BU6" i="14"/>
  <c r="CM8" i="34"/>
  <c r="CM7" i="34"/>
  <c r="BU6" i="34"/>
  <c r="CM6" i="34" s="1"/>
  <c r="CM7" i="35"/>
  <c r="CM8" i="35"/>
  <c r="CM10" i="35"/>
  <c r="CM11" i="35"/>
  <c r="BU9" i="35"/>
  <c r="BU12" i="35" s="1"/>
  <c r="CM12" i="35" s="1"/>
  <c r="BU6" i="35"/>
  <c r="CM6" i="35" s="1"/>
  <c r="CM9" i="38"/>
  <c r="CM8" i="38"/>
  <c r="CM7" i="38"/>
  <c r="CM6" i="38"/>
  <c r="BU10" i="38"/>
  <c r="BU11" i="38" s="1"/>
  <c r="CM9" i="27"/>
  <c r="CM8" i="27"/>
  <c r="CM6" i="25"/>
  <c r="CM7" i="25"/>
  <c r="CM9" i="25"/>
  <c r="CM11" i="25"/>
  <c r="BU8" i="25"/>
  <c r="CM8" i="25" s="1"/>
  <c r="BU52" i="33"/>
  <c r="BU39" i="33"/>
  <c r="BU31" i="33"/>
  <c r="BU18" i="33"/>
  <c r="CM23" i="29"/>
  <c r="CM22" i="29"/>
  <c r="CM20" i="29"/>
  <c r="CM18" i="29"/>
  <c r="CM17" i="29"/>
  <c r="CM13" i="29"/>
  <c r="CM12" i="29"/>
  <c r="CM11" i="29"/>
  <c r="CM10" i="29"/>
  <c r="CM8" i="29"/>
  <c r="CM7" i="29"/>
  <c r="CM6" i="29"/>
  <c r="BU16" i="29"/>
  <c r="BU9" i="29"/>
  <c r="BU55" i="32"/>
  <c r="BU31" i="32"/>
  <c r="BU15" i="32"/>
  <c r="BU7" i="32"/>
  <c r="CM23" i="36"/>
  <c r="CM22" i="36"/>
  <c r="CM21" i="36"/>
  <c r="CM20" i="36"/>
  <c r="CM19" i="36"/>
  <c r="CM18" i="36"/>
  <c r="CM17" i="36"/>
  <c r="CM16" i="36"/>
  <c r="CM15" i="36"/>
  <c r="CM14" i="36"/>
  <c r="CM13" i="36"/>
  <c r="CM12" i="36"/>
  <c r="CM11" i="36"/>
  <c r="CM9" i="36"/>
  <c r="CM8" i="36"/>
  <c r="CM14" i="14"/>
  <c r="BT28" i="33"/>
  <c r="BU15" i="29" l="1"/>
  <c r="CM10" i="38"/>
  <c r="BU10" i="25"/>
  <c r="CM10" i="25" s="1"/>
  <c r="BU8" i="14"/>
  <c r="BU9" i="14" s="1"/>
  <c r="BU63" i="32"/>
  <c r="BU27" i="32"/>
  <c r="CM9" i="35"/>
  <c r="BU15" i="14"/>
  <c r="BU6" i="33"/>
  <c r="BU48" i="33" s="1"/>
  <c r="BU55" i="33" s="1"/>
  <c r="BT17" i="33"/>
  <c r="BT45" i="32"/>
  <c r="BT42" i="32"/>
  <c r="BT33" i="32"/>
  <c r="BT14" i="32"/>
  <c r="BT16" i="29"/>
  <c r="CC15" i="36"/>
  <c r="CD15" i="36"/>
  <c r="CE15" i="36"/>
  <c r="CF15" i="36"/>
  <c r="CB15" i="36"/>
  <c r="CA15" i="36"/>
  <c r="BZ15" i="36"/>
  <c r="BY15" i="36"/>
  <c r="BX15" i="36"/>
  <c r="CH18" i="36"/>
  <c r="CK21" i="36"/>
  <c r="BU19" i="29" l="1"/>
  <c r="BU21" i="29" s="1"/>
  <c r="BU12" i="25"/>
  <c r="CM12" i="25" s="1"/>
  <c r="BU65" i="32"/>
  <c r="BT7" i="36"/>
  <c r="BU6" i="36" l="1"/>
  <c r="BU10" i="36" s="1"/>
  <c r="BU24" i="36" s="1"/>
  <c r="BU10" i="14" s="1"/>
  <c r="BU11" i="14" s="1"/>
  <c r="BU12" i="14"/>
  <c r="BU13" i="14" s="1"/>
  <c r="BT7" i="14"/>
  <c r="BT15" i="14" s="1"/>
  <c r="BT6" i="14"/>
  <c r="BT55" i="32" l="1"/>
  <c r="BT43" i="32"/>
  <c r="BT31" i="32"/>
  <c r="BT15" i="32"/>
  <c r="BT7" i="32"/>
  <c r="BT9" i="29"/>
  <c r="BT52" i="33"/>
  <c r="BT39" i="33"/>
  <c r="BT31" i="33"/>
  <c r="BT24" i="33"/>
  <c r="BT18" i="33"/>
  <c r="BT8" i="25"/>
  <c r="BT10" i="25" s="1"/>
  <c r="BT6" i="27"/>
  <c r="BT9" i="35"/>
  <c r="BT6" i="35"/>
  <c r="BT6" i="34"/>
  <c r="BR7" i="14"/>
  <c r="BT8" i="14" l="1"/>
  <c r="BT9" i="14" s="1"/>
  <c r="BT15" i="29"/>
  <c r="BT12" i="35"/>
  <c r="BT27" i="32"/>
  <c r="BT63" i="32"/>
  <c r="BT12" i="25"/>
  <c r="BT6" i="33"/>
  <c r="BS14" i="32"/>
  <c r="BT48" i="33" l="1"/>
  <c r="BT55" i="33" s="1"/>
  <c r="BT65" i="32"/>
  <c r="BT19" i="29"/>
  <c r="BS7" i="36"/>
  <c r="CM7" i="36" s="1"/>
  <c r="BS9" i="36"/>
  <c r="BS14" i="29"/>
  <c r="CM14" i="29" s="1"/>
  <c r="BT21" i="29" l="1"/>
  <c r="BS7" i="32"/>
  <c r="BS45" i="32"/>
  <c r="BS43" i="32" s="1"/>
  <c r="BS42" i="32"/>
  <c r="BS50" i="33"/>
  <c r="BS52" i="33" s="1"/>
  <c r="BS28" i="33"/>
  <c r="BS24" i="33" s="1"/>
  <c r="BS17" i="33"/>
  <c r="BS6" i="14"/>
  <c r="CM6" i="14" s="1"/>
  <c r="BS7" i="14"/>
  <c r="CM7" i="14" s="1"/>
  <c r="BS10" i="38"/>
  <c r="BS6" i="27"/>
  <c r="BS8" i="25"/>
  <c r="CL23" i="36"/>
  <c r="CL22" i="36"/>
  <c r="CL20" i="36"/>
  <c r="CL18" i="36"/>
  <c r="CL16" i="36"/>
  <c r="CL15" i="36"/>
  <c r="CL14" i="36"/>
  <c r="CL12" i="36"/>
  <c r="CL11" i="36"/>
  <c r="BS55" i="32"/>
  <c r="BS31" i="32"/>
  <c r="BS15" i="32"/>
  <c r="CL20" i="29"/>
  <c r="CL14" i="29"/>
  <c r="CL11" i="29"/>
  <c r="CL10" i="29"/>
  <c r="CL8" i="29"/>
  <c r="CL7" i="29"/>
  <c r="BS16" i="29"/>
  <c r="CM16" i="29" s="1"/>
  <c r="BS9" i="29"/>
  <c r="CM9" i="29" s="1"/>
  <c r="BS39" i="33"/>
  <c r="BS31" i="33"/>
  <c r="BS18" i="33"/>
  <c r="CL11" i="25"/>
  <c r="CL11" i="35"/>
  <c r="CL10" i="35"/>
  <c r="CL8" i="35"/>
  <c r="CL7" i="35"/>
  <c r="BS9" i="35"/>
  <c r="BS6" i="35"/>
  <c r="CL8" i="34"/>
  <c r="CL7" i="34"/>
  <c r="BS6" i="34"/>
  <c r="BR39" i="33"/>
  <c r="BR17" i="33"/>
  <c r="BT6" i="36" l="1"/>
  <c r="BT10" i="36" s="1"/>
  <c r="BT24" i="36" s="1"/>
  <c r="BT10" i="14" s="1"/>
  <c r="BT11" i="14" s="1"/>
  <c r="BS10" i="25"/>
  <c r="BT12" i="14"/>
  <c r="BT13" i="14" s="1"/>
  <c r="BS11" i="38"/>
  <c r="BS15" i="29"/>
  <c r="CM15" i="29" s="1"/>
  <c r="BS8" i="14"/>
  <c r="CM8" i="14" s="1"/>
  <c r="BS15" i="14"/>
  <c r="BS12" i="35"/>
  <c r="BS12" i="25"/>
  <c r="BS63" i="32"/>
  <c r="BS27" i="32"/>
  <c r="BS6" i="33"/>
  <c r="BS48" i="33" s="1"/>
  <c r="BS55" i="33" s="1"/>
  <c r="BR33" i="32"/>
  <c r="BR42" i="32"/>
  <c r="BR14" i="32"/>
  <c r="BS9" i="14" l="1"/>
  <c r="BS19" i="29"/>
  <c r="CM19" i="29" s="1"/>
  <c r="BS65" i="32"/>
  <c r="BR50" i="33"/>
  <c r="BR45" i="32"/>
  <c r="BS21" i="29" l="1"/>
  <c r="CM21" i="29" s="1"/>
  <c r="BS12" i="14"/>
  <c r="CM12" i="14" s="1"/>
  <c r="BR9" i="29"/>
  <c r="BR7" i="36"/>
  <c r="BR6" i="14"/>
  <c r="BR6" i="34"/>
  <c r="BR9" i="35"/>
  <c r="BR6" i="35"/>
  <c r="BR10" i="38"/>
  <c r="BR11" i="38" s="1"/>
  <c r="BR6" i="27"/>
  <c r="BR8" i="25"/>
  <c r="BR52" i="33"/>
  <c r="BR31" i="33"/>
  <c r="BR24" i="33"/>
  <c r="BR18" i="33"/>
  <c r="BR16" i="29"/>
  <c r="BR8" i="36" s="1"/>
  <c r="BR55" i="32"/>
  <c r="BR43" i="32"/>
  <c r="BR30" i="32"/>
  <c r="BR31" i="32"/>
  <c r="BR15" i="32"/>
  <c r="BR7" i="32"/>
  <c r="BS6" i="36" l="1"/>
  <c r="CM6" i="36" s="1"/>
  <c r="BR15" i="29"/>
  <c r="BR19" i="29" s="1"/>
  <c r="BR21" i="29" s="1"/>
  <c r="BR6" i="36" s="1"/>
  <c r="BR10" i="36" s="1"/>
  <c r="BR24" i="36" s="1"/>
  <c r="BR10" i="14" s="1"/>
  <c r="BR11" i="14" s="1"/>
  <c r="BR8" i="14"/>
  <c r="BR9" i="14" s="1"/>
  <c r="BS13" i="14"/>
  <c r="BR6" i="33"/>
  <c r="BR48" i="33" s="1"/>
  <c r="BR55" i="33" s="1"/>
  <c r="BR10" i="25"/>
  <c r="BR12" i="25" s="1"/>
  <c r="BR12" i="35"/>
  <c r="BR63" i="32"/>
  <c r="BR27" i="32"/>
  <c r="BQ21" i="36"/>
  <c r="CL21" i="36" s="1"/>
  <c r="BQ19" i="36"/>
  <c r="CL19" i="36" s="1"/>
  <c r="BQ17" i="36"/>
  <c r="CL17" i="36" s="1"/>
  <c r="BQ13" i="36"/>
  <c r="CL13" i="36" s="1"/>
  <c r="BQ7" i="36"/>
  <c r="BS10" i="36" l="1"/>
  <c r="CM10" i="36" s="1"/>
  <c r="BR65" i="32"/>
  <c r="BR12" i="14"/>
  <c r="BR13" i="14" s="1"/>
  <c r="BQ45" i="32"/>
  <c r="BQ42" i="32"/>
  <c r="BQ31" i="32" s="1"/>
  <c r="BQ14" i="32"/>
  <c r="BQ7" i="32" s="1"/>
  <c r="BQ55" i="32"/>
  <c r="BQ43" i="32"/>
  <c r="BQ30" i="32"/>
  <c r="BQ15" i="32"/>
  <c r="BQ22" i="29"/>
  <c r="CL22" i="29" s="1"/>
  <c r="BQ18" i="29"/>
  <c r="CL18" i="29" s="1"/>
  <c r="BQ17" i="29"/>
  <c r="CL17" i="29" s="1"/>
  <c r="BQ13" i="29"/>
  <c r="CL13" i="29" s="1"/>
  <c r="BQ12" i="29"/>
  <c r="CL12" i="29" s="1"/>
  <c r="BS24" i="36" l="1"/>
  <c r="CM24" i="36" s="1"/>
  <c r="BQ63" i="32"/>
  <c r="BQ27" i="32"/>
  <c r="BQ16" i="29"/>
  <c r="BQ8" i="36" s="1"/>
  <c r="BQ26" i="33"/>
  <c r="BQ28" i="33"/>
  <c r="BQ23" i="33"/>
  <c r="BQ17" i="33"/>
  <c r="BQ9" i="33"/>
  <c r="BS10" i="14" l="1"/>
  <c r="CM10" i="14" s="1"/>
  <c r="BQ65" i="32"/>
  <c r="BQ50" i="33"/>
  <c r="BQ52" i="33" s="1"/>
  <c r="BQ39" i="33"/>
  <c r="BQ31" i="33"/>
  <c r="BQ24" i="33"/>
  <c r="BQ18" i="33"/>
  <c r="BQ9" i="38"/>
  <c r="BQ8" i="38"/>
  <c r="BQ7" i="38"/>
  <c r="BQ6" i="38"/>
  <c r="BQ9" i="35"/>
  <c r="BQ6" i="35"/>
  <c r="BQ6" i="34"/>
  <c r="BS11" i="14" l="1"/>
  <c r="BQ6" i="33"/>
  <c r="BQ48" i="33" s="1"/>
  <c r="BQ55" i="33" s="1"/>
  <c r="BQ10" i="38"/>
  <c r="BQ11" i="38" s="1"/>
  <c r="BQ12" i="35"/>
  <c r="BP14" i="32" l="1"/>
  <c r="BP28" i="33"/>
  <c r="BP23" i="33"/>
  <c r="BP17" i="33"/>
  <c r="BP9" i="38"/>
  <c r="CL9" i="38" s="1"/>
  <c r="BP8" i="38"/>
  <c r="CL8" i="38" s="1"/>
  <c r="BP7" i="38"/>
  <c r="CL7" i="38" s="1"/>
  <c r="BP6" i="38"/>
  <c r="CL6" i="38" s="1"/>
  <c r="BP14" i="14"/>
  <c r="BP7" i="36"/>
  <c r="BQ14" i="14" l="1"/>
  <c r="BR14" i="14" s="1"/>
  <c r="BR15" i="14" s="1"/>
  <c r="BP45" i="32"/>
  <c r="BP42" i="32"/>
  <c r="BP33" i="32"/>
  <c r="BP31" i="32" s="1"/>
  <c r="BP55" i="32"/>
  <c r="BP43" i="32"/>
  <c r="BP30" i="32"/>
  <c r="BP15" i="32"/>
  <c r="BP7" i="32"/>
  <c r="CL14" i="14" l="1"/>
  <c r="BP63" i="32"/>
  <c r="BP27" i="32"/>
  <c r="BP23" i="29"/>
  <c r="BP16" i="29"/>
  <c r="BP8" i="36" s="1"/>
  <c r="BP24" i="33"/>
  <c r="BP18" i="33"/>
  <c r="BP50" i="33"/>
  <c r="BP52" i="33" s="1"/>
  <c r="BP39" i="33"/>
  <c r="BP31" i="33"/>
  <c r="BP9" i="25"/>
  <c r="BP7" i="25"/>
  <c r="BP6" i="25"/>
  <c r="BP9" i="27"/>
  <c r="BP8" i="27"/>
  <c r="BP7" i="27"/>
  <c r="BP9" i="35"/>
  <c r="BP6" i="35"/>
  <c r="BQ23" i="29" l="1"/>
  <c r="CL23" i="29" s="1"/>
  <c r="BQ7" i="25"/>
  <c r="CL7" i="25" s="1"/>
  <c r="BQ6" i="25"/>
  <c r="BQ6" i="14" s="1"/>
  <c r="BQ9" i="25"/>
  <c r="CL9" i="25" s="1"/>
  <c r="BQ8" i="27"/>
  <c r="CL8" i="27" s="1"/>
  <c r="BQ9" i="27"/>
  <c r="CL9" i="27" s="1"/>
  <c r="BQ7" i="27"/>
  <c r="CL7" i="27" s="1"/>
  <c r="BP6" i="14"/>
  <c r="BP65" i="32"/>
  <c r="BP6" i="33"/>
  <c r="BP48" i="33" s="1"/>
  <c r="BP55" i="33" s="1"/>
  <c r="BP8" i="25"/>
  <c r="BP10" i="25" s="1"/>
  <c r="BP6" i="27"/>
  <c r="BP10" i="38"/>
  <c r="BP11" i="38" s="1"/>
  <c r="BP12" i="35"/>
  <c r="CL6" i="25" l="1"/>
  <c r="BQ8" i="25"/>
  <c r="BQ10" i="25" s="1"/>
  <c r="BQ6" i="29" s="1"/>
  <c r="BQ6" i="27"/>
  <c r="BP12" i="25"/>
  <c r="BP6" i="29"/>
  <c r="BP6" i="34"/>
  <c r="BK36" i="33"/>
  <c r="AG36" i="33"/>
  <c r="BO9" i="36"/>
  <c r="BQ12" i="25" l="1"/>
  <c r="CL9" i="36"/>
  <c r="BQ9" i="36"/>
  <c r="BQ7" i="14"/>
  <c r="BQ15" i="14" s="1"/>
  <c r="BQ9" i="29"/>
  <c r="BP9" i="29"/>
  <c r="BP7" i="14"/>
  <c r="BP15" i="14" s="1"/>
  <c r="BO45" i="32"/>
  <c r="BO42" i="32"/>
  <c r="BO33" i="32"/>
  <c r="BO14" i="32"/>
  <c r="BO15" i="32"/>
  <c r="BQ8" i="14" l="1"/>
  <c r="BQ9" i="14" s="1"/>
  <c r="BQ15" i="29"/>
  <c r="BQ19" i="29" s="1"/>
  <c r="BQ21" i="29" s="1"/>
  <c r="BP15" i="29"/>
  <c r="BP19" i="29" s="1"/>
  <c r="BP21" i="29" s="1"/>
  <c r="BP8" i="14"/>
  <c r="BP9" i="14" s="1"/>
  <c r="BO50" i="33"/>
  <c r="BO26" i="33"/>
  <c r="BN26" i="33"/>
  <c r="BO28" i="33"/>
  <c r="BO17" i="33"/>
  <c r="BO9" i="33"/>
  <c r="BQ12" i="14" l="1"/>
  <c r="BQ13" i="14" s="1"/>
  <c r="BQ6" i="36"/>
  <c r="BQ10" i="36" s="1"/>
  <c r="BQ24" i="36" s="1"/>
  <c r="BQ10" i="14" s="1"/>
  <c r="BQ11" i="14" s="1"/>
  <c r="BP12" i="14"/>
  <c r="BP13" i="14" s="1"/>
  <c r="BP6" i="36"/>
  <c r="BP10" i="36" s="1"/>
  <c r="BP24" i="36" s="1"/>
  <c r="BP10" i="14" s="1"/>
  <c r="BP11" i="14" s="1"/>
  <c r="BO6" i="14"/>
  <c r="CL6" i="14" s="1"/>
  <c r="BO7" i="36"/>
  <c r="CL7" i="36" s="1"/>
  <c r="BO55" i="32"/>
  <c r="BO43" i="32"/>
  <c r="BO31" i="32"/>
  <c r="BO30" i="32"/>
  <c r="BO7" i="32"/>
  <c r="BO16" i="29"/>
  <c r="CL16" i="29" s="1"/>
  <c r="BO52" i="33"/>
  <c r="BO39" i="33"/>
  <c r="BO31" i="33"/>
  <c r="BO24" i="33"/>
  <c r="BO18" i="33"/>
  <c r="BO9" i="35"/>
  <c r="CL9" i="35" s="1"/>
  <c r="BO6" i="35"/>
  <c r="CL6" i="35" s="1"/>
  <c r="BO6" i="34"/>
  <c r="CL6" i="34" s="1"/>
  <c r="BO63" i="32" l="1"/>
  <c r="BO8" i="36"/>
  <c r="CL8" i="36" s="1"/>
  <c r="BO6" i="33"/>
  <c r="BO12" i="35"/>
  <c r="CL12" i="35" s="1"/>
  <c r="BO27" i="32"/>
  <c r="CK20" i="36"/>
  <c r="BO48" i="33" l="1"/>
  <c r="BO55" i="33" s="1"/>
  <c r="BO65" i="32"/>
  <c r="BN45" i="32"/>
  <c r="BN42" i="32"/>
  <c r="BN33" i="32"/>
  <c r="BN14" i="32"/>
  <c r="BM22" i="29"/>
  <c r="BN22" i="29" l="1"/>
  <c r="BN50" i="33"/>
  <c r="BN32" i="33"/>
  <c r="BN17" i="33"/>
  <c r="BN9" i="33"/>
  <c r="BN55" i="32" l="1"/>
  <c r="BN43" i="32"/>
  <c r="BN31" i="32"/>
  <c r="BN30" i="32"/>
  <c r="BN15" i="32"/>
  <c r="BN7" i="32"/>
  <c r="BM42" i="32"/>
  <c r="BM14" i="32"/>
  <c r="BN63" i="32" l="1"/>
  <c r="BN27" i="32"/>
  <c r="BM26" i="33"/>
  <c r="BM23" i="33"/>
  <c r="BM17" i="33"/>
  <c r="BN65" i="32" l="1"/>
  <c r="BM13" i="36"/>
  <c r="BM22" i="32" l="1"/>
  <c r="BM23" i="29"/>
  <c r="BM50" i="33"/>
  <c r="BM32" i="33"/>
  <c r="BM28" i="33"/>
  <c r="BM9" i="33"/>
  <c r="BI9" i="33"/>
  <c r="BN23" i="29" l="1"/>
  <c r="BM55" i="32"/>
  <c r="BM43" i="32"/>
  <c r="BM31" i="32"/>
  <c r="BM30" i="32"/>
  <c r="BM15" i="32"/>
  <c r="BM7" i="32"/>
  <c r="BL9" i="35"/>
  <c r="BL6" i="35"/>
  <c r="BL6" i="34"/>
  <c r="BL14" i="14"/>
  <c r="BL9" i="36"/>
  <c r="BM9" i="36" l="1"/>
  <c r="BN9" i="36" s="1"/>
  <c r="BL12" i="35"/>
  <c r="BM63" i="32"/>
  <c r="BM27" i="32"/>
  <c r="BL42" i="32"/>
  <c r="BL31" i="32" s="1"/>
  <c r="BL14" i="32"/>
  <c r="BL7" i="32" s="1"/>
  <c r="BL55" i="32"/>
  <c r="BL43" i="32"/>
  <c r="BL30" i="32"/>
  <c r="BL15" i="32"/>
  <c r="BL9" i="25"/>
  <c r="BL18" i="29"/>
  <c r="BL17" i="29"/>
  <c r="BL14" i="29"/>
  <c r="BL13" i="29"/>
  <c r="BL12" i="29"/>
  <c r="BL11" i="29"/>
  <c r="BL10" i="29"/>
  <c r="BL50" i="33"/>
  <c r="BL32" i="33"/>
  <c r="BL28" i="33"/>
  <c r="BL26" i="33"/>
  <c r="BL23" i="33"/>
  <c r="BL17" i="33"/>
  <c r="BM17" i="29" l="1"/>
  <c r="BM12" i="29"/>
  <c r="BM13" i="29"/>
  <c r="BM18" i="29"/>
  <c r="BM9" i="25"/>
  <c r="BM65" i="32"/>
  <c r="BL63" i="32"/>
  <c r="BL27" i="32"/>
  <c r="BN9" i="25" l="1"/>
  <c r="BL65" i="32"/>
  <c r="BL9" i="27" l="1"/>
  <c r="BL8" i="27"/>
  <c r="BL7" i="27"/>
  <c r="BL6" i="38"/>
  <c r="BL9" i="38"/>
  <c r="BL8" i="38"/>
  <c r="BL7" i="38"/>
  <c r="BM8" i="27" l="1"/>
  <c r="BM7" i="27"/>
  <c r="BM9" i="27"/>
  <c r="BM8" i="38"/>
  <c r="BM9" i="38"/>
  <c r="BM7" i="38"/>
  <c r="BM6" i="38"/>
  <c r="BK32" i="33"/>
  <c r="BK14" i="14" s="1"/>
  <c r="BK28" i="33"/>
  <c r="BK26" i="33"/>
  <c r="BK23" i="33"/>
  <c r="BK17" i="33"/>
  <c r="BG14" i="14"/>
  <c r="BK7" i="25"/>
  <c r="BL7" i="25" s="1"/>
  <c r="BK6" i="25"/>
  <c r="BL6" i="25" s="1"/>
  <c r="BM14" i="14" l="1"/>
  <c r="BM6" i="25"/>
  <c r="BN6" i="25" s="1"/>
  <c r="BM7" i="25"/>
  <c r="BN7" i="25" s="1"/>
  <c r="BN9" i="27"/>
  <c r="BN7" i="27"/>
  <c r="BN8" i="27"/>
  <c r="BN7" i="38"/>
  <c r="BN9" i="38"/>
  <c r="BN6" i="38"/>
  <c r="BN8" i="38"/>
  <c r="BL6" i="14"/>
  <c r="BK6" i="14"/>
  <c r="CK23" i="36"/>
  <c r="CK19" i="36"/>
  <c r="CK17" i="36"/>
  <c r="CK16" i="36"/>
  <c r="CK15" i="36"/>
  <c r="CK14" i="36"/>
  <c r="CK12" i="36"/>
  <c r="CK11" i="36"/>
  <c r="BN7" i="36"/>
  <c r="BM7" i="36"/>
  <c r="BL7" i="36"/>
  <c r="BK7" i="36"/>
  <c r="BN14" i="14" l="1"/>
  <c r="BN6" i="14"/>
  <c r="BO8" i="25"/>
  <c r="CL8" i="25" s="1"/>
  <c r="BM6" i="14"/>
  <c r="BO6" i="27"/>
  <c r="CL6" i="27" s="1"/>
  <c r="BK55" i="32"/>
  <c r="BK43" i="32"/>
  <c r="BK31" i="32"/>
  <c r="BK30" i="32"/>
  <c r="BK15" i="32"/>
  <c r="BK7" i="32"/>
  <c r="BK16" i="29"/>
  <c r="BK8" i="36" s="1"/>
  <c r="BK50" i="33"/>
  <c r="BK52" i="33" s="1"/>
  <c r="BN52" i="33"/>
  <c r="BM52" i="33"/>
  <c r="BL52" i="33"/>
  <c r="BN39" i="33"/>
  <c r="BM39" i="33"/>
  <c r="BL39" i="33"/>
  <c r="BK39" i="33"/>
  <c r="BN31" i="33"/>
  <c r="BM31" i="33"/>
  <c r="BL31" i="33"/>
  <c r="BK31" i="33"/>
  <c r="BK24" i="33"/>
  <c r="BN24" i="33"/>
  <c r="BM24" i="33"/>
  <c r="BL24" i="33"/>
  <c r="BN18" i="33"/>
  <c r="BM18" i="33"/>
  <c r="BL18" i="33"/>
  <c r="BK18" i="33"/>
  <c r="BN6" i="27"/>
  <c r="BM6" i="27"/>
  <c r="BL6" i="27"/>
  <c r="BK6" i="27"/>
  <c r="BK10" i="38"/>
  <c r="BK11" i="38" s="1"/>
  <c r="BL10" i="38"/>
  <c r="CK11" i="35"/>
  <c r="CK10" i="35"/>
  <c r="CK8" i="35"/>
  <c r="CK7" i="35"/>
  <c r="BN9" i="35"/>
  <c r="BM9" i="35"/>
  <c r="BK9" i="35"/>
  <c r="BN6" i="35"/>
  <c r="BM6" i="35"/>
  <c r="BK6" i="35"/>
  <c r="BN6" i="34"/>
  <c r="BM6" i="34"/>
  <c r="BK6" i="34"/>
  <c r="BO10" i="25" l="1"/>
  <c r="CL10" i="25" s="1"/>
  <c r="BO10" i="38"/>
  <c r="CL10" i="38" s="1"/>
  <c r="BL11" i="38"/>
  <c r="BM12" i="35"/>
  <c r="BN12" i="35"/>
  <c r="BN6" i="33"/>
  <c r="BN48" i="33" s="1"/>
  <c r="BL6" i="33"/>
  <c r="BL48" i="33" s="1"/>
  <c r="BK27" i="32"/>
  <c r="BM6" i="33"/>
  <c r="BM48" i="33" s="1"/>
  <c r="BK12" i="35"/>
  <c r="BK63" i="32"/>
  <c r="BL16" i="29"/>
  <c r="BM16" i="29"/>
  <c r="BM8" i="36" s="1"/>
  <c r="BK6" i="33"/>
  <c r="BL8" i="25"/>
  <c r="BK8" i="25"/>
  <c r="BM10" i="38"/>
  <c r="BM11" i="38" s="1"/>
  <c r="BK48" i="33" l="1"/>
  <c r="BK55" i="33" s="1"/>
  <c r="BO12" i="25"/>
  <c r="CL12" i="25" s="1"/>
  <c r="BO6" i="29"/>
  <c r="CL6" i="29" s="1"/>
  <c r="BO11" i="38"/>
  <c r="BL8" i="36"/>
  <c r="BN55" i="33"/>
  <c r="BL10" i="25"/>
  <c r="BL6" i="29" s="1"/>
  <c r="BM55" i="33"/>
  <c r="BL55" i="33"/>
  <c r="BK65" i="32"/>
  <c r="BK10" i="25"/>
  <c r="BN16" i="29"/>
  <c r="BN8" i="36" s="1"/>
  <c r="BM8" i="25"/>
  <c r="BM10" i="25" s="1"/>
  <c r="BN8" i="25"/>
  <c r="BN10" i="25" s="1"/>
  <c r="BN10" i="38"/>
  <c r="BN11" i="38" s="1"/>
  <c r="BJ14" i="29"/>
  <c r="CK14" i="29" s="1"/>
  <c r="BJ10" i="29"/>
  <c r="CK10" i="29" s="1"/>
  <c r="BJ8" i="29"/>
  <c r="CK8" i="29" s="1"/>
  <c r="BJ7" i="29"/>
  <c r="CK7" i="29" s="1"/>
  <c r="BJ50" i="33"/>
  <c r="BJ32" i="33"/>
  <c r="BF32" i="33"/>
  <c r="BJ26" i="33"/>
  <c r="BF26" i="33"/>
  <c r="BJ28" i="33"/>
  <c r="BF28" i="33"/>
  <c r="BJ23" i="33"/>
  <c r="BJ17" i="33"/>
  <c r="BF17" i="33"/>
  <c r="BF8" i="33"/>
  <c r="BJ9" i="33"/>
  <c r="BO9" i="29" l="1"/>
  <c r="CL9" i="29" s="1"/>
  <c r="BO7" i="14"/>
  <c r="CL7" i="14" s="1"/>
  <c r="BL12" i="25"/>
  <c r="BN12" i="25"/>
  <c r="BN6" i="29"/>
  <c r="BM12" i="25"/>
  <c r="BM6" i="29"/>
  <c r="BL9" i="29"/>
  <c r="BL7" i="14"/>
  <c r="BK12" i="25"/>
  <c r="BK6" i="29"/>
  <c r="BJ55" i="32"/>
  <c r="BJ43" i="32"/>
  <c r="BJ31" i="32"/>
  <c r="BJ30" i="32"/>
  <c r="BJ15" i="32"/>
  <c r="BJ7" i="32"/>
  <c r="BI11" i="29"/>
  <c r="BJ52" i="33"/>
  <c r="BJ39" i="33"/>
  <c r="BJ31" i="33"/>
  <c r="BJ24" i="33"/>
  <c r="BJ18" i="33"/>
  <c r="BI9" i="27"/>
  <c r="BI8" i="27"/>
  <c r="BI7" i="27"/>
  <c r="BI9" i="35"/>
  <c r="BI6" i="35"/>
  <c r="CK8" i="34"/>
  <c r="CK7" i="34"/>
  <c r="BJ6" i="34"/>
  <c r="CM15" i="14" l="1"/>
  <c r="BO15" i="14"/>
  <c r="BO15" i="29"/>
  <c r="CL15" i="29" s="1"/>
  <c r="BO8" i="14"/>
  <c r="CL8" i="14" s="1"/>
  <c r="BL15" i="14"/>
  <c r="BN9" i="29"/>
  <c r="BN7" i="14"/>
  <c r="BN15" i="14" s="1"/>
  <c r="BI12" i="35"/>
  <c r="BM9" i="29"/>
  <c r="BM7" i="14"/>
  <c r="BL15" i="29"/>
  <c r="BL8" i="14"/>
  <c r="BK9" i="29"/>
  <c r="BK7" i="14"/>
  <c r="BJ11" i="29"/>
  <c r="CK11" i="29" s="1"/>
  <c r="BJ7" i="27"/>
  <c r="CK7" i="27" s="1"/>
  <c r="BJ9" i="27"/>
  <c r="CK9" i="27" s="1"/>
  <c r="BJ8" i="27"/>
  <c r="CK8" i="27" s="1"/>
  <c r="BJ63" i="32"/>
  <c r="BJ27" i="32"/>
  <c r="BJ6" i="33"/>
  <c r="BI6" i="27"/>
  <c r="BI18" i="36"/>
  <c r="CK18" i="36" s="1"/>
  <c r="BJ48" i="33" l="1"/>
  <c r="BJ55" i="33" s="1"/>
  <c r="CM9" i="14"/>
  <c r="BO9" i="14"/>
  <c r="BO19" i="29"/>
  <c r="CL19" i="29" s="1"/>
  <c r="BL9" i="14"/>
  <c r="BL19" i="29"/>
  <c r="BN8" i="14"/>
  <c r="BN9" i="14" s="1"/>
  <c r="BN15" i="29"/>
  <c r="BN19" i="29" s="1"/>
  <c r="BN21" i="29" s="1"/>
  <c r="BM15" i="14"/>
  <c r="BM8" i="14"/>
  <c r="BM9" i="14" s="1"/>
  <c r="BM15" i="29"/>
  <c r="BM19" i="29" s="1"/>
  <c r="BM21" i="29" s="1"/>
  <c r="BK15" i="14"/>
  <c r="BK15" i="29"/>
  <c r="BK8" i="14"/>
  <c r="BJ65" i="32"/>
  <c r="BI22" i="29"/>
  <c r="BI23" i="29"/>
  <c r="BI20" i="29"/>
  <c r="BO21" i="29" l="1"/>
  <c r="CL21" i="29" s="1"/>
  <c r="BL21" i="29"/>
  <c r="BN12" i="14"/>
  <c r="BN13" i="14" s="1"/>
  <c r="BN6" i="36"/>
  <c r="BN10" i="36" s="1"/>
  <c r="BN24" i="36" s="1"/>
  <c r="BN10" i="14" s="1"/>
  <c r="BN11" i="14" s="1"/>
  <c r="BM12" i="14"/>
  <c r="BM13" i="14" s="1"/>
  <c r="BM6" i="36"/>
  <c r="BM10" i="36" s="1"/>
  <c r="BM24" i="36" s="1"/>
  <c r="BM10" i="14" s="1"/>
  <c r="BM11" i="14" s="1"/>
  <c r="BK9" i="14"/>
  <c r="BK19" i="29"/>
  <c r="BJ20" i="29"/>
  <c r="BJ7" i="36" s="1"/>
  <c r="BJ23" i="29"/>
  <c r="CK23" i="29" s="1"/>
  <c r="BJ22" i="29"/>
  <c r="CK22" i="29" s="1"/>
  <c r="BH14" i="14"/>
  <c r="BH13" i="36"/>
  <c r="BH9" i="36"/>
  <c r="BH7" i="36"/>
  <c r="BI55" i="32"/>
  <c r="BI43" i="32"/>
  <c r="BI31" i="32"/>
  <c r="BI30" i="32"/>
  <c r="BI15" i="32"/>
  <c r="BI7" i="32"/>
  <c r="BH18" i="29"/>
  <c r="BH17" i="29"/>
  <c r="BH13" i="29"/>
  <c r="BH12" i="29"/>
  <c r="BI50" i="33"/>
  <c r="BI52" i="33" s="1"/>
  <c r="BI39" i="33"/>
  <c r="BI31" i="33"/>
  <c r="BI24" i="33"/>
  <c r="BI18" i="33"/>
  <c r="BH11" i="25"/>
  <c r="BH9" i="25"/>
  <c r="BH6" i="27"/>
  <c r="BH6" i="38"/>
  <c r="BH9" i="38"/>
  <c r="BH8" i="38"/>
  <c r="BH7" i="38"/>
  <c r="BH9" i="35"/>
  <c r="BH6" i="35"/>
  <c r="BH6" i="34"/>
  <c r="BO6" i="36" l="1"/>
  <c r="CL6" i="36" s="1"/>
  <c r="CK20" i="29"/>
  <c r="BO12" i="14"/>
  <c r="CL12" i="14" s="1"/>
  <c r="BL6" i="36"/>
  <c r="BL12" i="14"/>
  <c r="BI6" i="33"/>
  <c r="BK21" i="29"/>
  <c r="BH16" i="29"/>
  <c r="BI8" i="38"/>
  <c r="BJ8" i="38" s="1"/>
  <c r="BI12" i="29"/>
  <c r="BJ12" i="29" s="1"/>
  <c r="BI13" i="29"/>
  <c r="BJ13" i="29" s="1"/>
  <c r="BI17" i="29"/>
  <c r="BJ17" i="29" s="1"/>
  <c r="CK17" i="29" s="1"/>
  <c r="BI6" i="38"/>
  <c r="BI18" i="29"/>
  <c r="BJ18" i="29" s="1"/>
  <c r="BI9" i="36"/>
  <c r="BI13" i="36"/>
  <c r="CK13" i="36" s="1"/>
  <c r="BI11" i="25"/>
  <c r="BJ11" i="25" s="1"/>
  <c r="BI9" i="38"/>
  <c r="BJ9" i="38" s="1"/>
  <c r="BI7" i="38"/>
  <c r="BI9" i="25"/>
  <c r="BJ9" i="25" s="1"/>
  <c r="BI14" i="14"/>
  <c r="BJ14" i="14" s="1"/>
  <c r="BH10" i="38"/>
  <c r="BH12" i="35"/>
  <c r="BI63" i="32"/>
  <c r="BI27" i="32"/>
  <c r="BE6" i="35"/>
  <c r="BI48" i="33" l="1"/>
  <c r="BI55" i="33" s="1"/>
  <c r="BO10" i="36"/>
  <c r="CL10" i="36" s="1"/>
  <c r="BO13" i="14"/>
  <c r="CM13" i="14"/>
  <c r="BL13" i="14"/>
  <c r="BL10" i="36"/>
  <c r="CK18" i="29"/>
  <c r="CK13" i="29"/>
  <c r="CK12" i="29"/>
  <c r="CK9" i="25"/>
  <c r="CK8" i="38"/>
  <c r="CK9" i="38"/>
  <c r="CK14" i="14"/>
  <c r="CK11" i="25"/>
  <c r="BK6" i="36"/>
  <c r="BK12" i="14"/>
  <c r="BH8" i="36"/>
  <c r="BH11" i="38"/>
  <c r="BI10" i="38"/>
  <c r="BI11" i="38" s="1"/>
  <c r="BJ7" i="38"/>
  <c r="BJ9" i="36"/>
  <c r="CK9" i="36" s="1"/>
  <c r="BJ16" i="29"/>
  <c r="BJ8" i="36" s="1"/>
  <c r="BJ6" i="38"/>
  <c r="BI65" i="32"/>
  <c r="BO24" i="36" l="1"/>
  <c r="CL24" i="36" s="1"/>
  <c r="BL24" i="36"/>
  <c r="CK6" i="38"/>
  <c r="BJ10" i="38"/>
  <c r="BJ11" i="38" s="1"/>
  <c r="CK7" i="38"/>
  <c r="BK13" i="14"/>
  <c r="BK10" i="36"/>
  <c r="BO10" i="14" l="1"/>
  <c r="CL10" i="14" s="1"/>
  <c r="BL10" i="14"/>
  <c r="BK24" i="36"/>
  <c r="BI7" i="36"/>
  <c r="BO11" i="14" l="1"/>
  <c r="CM11" i="14"/>
  <c r="BL11" i="14"/>
  <c r="BK10" i="14"/>
  <c r="BH7" i="32"/>
  <c r="BH15" i="32"/>
  <c r="BH55" i="32"/>
  <c r="BH43" i="32"/>
  <c r="BH31" i="32"/>
  <c r="BH30" i="32"/>
  <c r="BI16" i="29"/>
  <c r="BH50" i="33"/>
  <c r="BG50" i="33"/>
  <c r="BK11" i="14" l="1"/>
  <c r="BI8" i="36"/>
  <c r="BH63" i="32"/>
  <c r="BH27" i="32"/>
  <c r="BH65" i="32" l="1"/>
  <c r="BH52" i="33" l="1"/>
  <c r="BH39" i="33"/>
  <c r="BH31" i="33"/>
  <c r="BH24" i="33"/>
  <c r="BH18" i="33"/>
  <c r="BH6" i="33" l="1"/>
  <c r="BH48" i="33" l="1"/>
  <c r="BH55" i="33" s="1"/>
  <c r="BJ6" i="27"/>
  <c r="BD9" i="38"/>
  <c r="BD8" i="38"/>
  <c r="BE8" i="38" s="1"/>
  <c r="BD7" i="38"/>
  <c r="BE7" i="38" s="1"/>
  <c r="BD6" i="38"/>
  <c r="BE6" i="38" s="1"/>
  <c r="BF6" i="38" s="1"/>
  <c r="BJ9" i="35"/>
  <c r="BJ6" i="35"/>
  <c r="BG6" i="34"/>
  <c r="BF8" i="38" l="1"/>
  <c r="BF7" i="38"/>
  <c r="BE9" i="38"/>
  <c r="BE10" i="38" s="1"/>
  <c r="BE11" i="38" s="1"/>
  <c r="CJ6" i="38"/>
  <c r="BD10" i="38"/>
  <c r="BJ12" i="35"/>
  <c r="BF9" i="38" l="1"/>
  <c r="BF10" i="38" s="1"/>
  <c r="BG45" i="32"/>
  <c r="BG14" i="32"/>
  <c r="BG26" i="33"/>
  <c r="BG28" i="33"/>
  <c r="BG17" i="33" l="1"/>
  <c r="BG7" i="25"/>
  <c r="BG6" i="25"/>
  <c r="BH7" i="25" l="1"/>
  <c r="BH6" i="25"/>
  <c r="BG7" i="36"/>
  <c r="CK7" i="36" s="1"/>
  <c r="BI6" i="25" l="1"/>
  <c r="BI7" i="25"/>
  <c r="BH6" i="14"/>
  <c r="BH8" i="25"/>
  <c r="BG55" i="32"/>
  <c r="BG43" i="32"/>
  <c r="BG31" i="32"/>
  <c r="BG30" i="32"/>
  <c r="BG15" i="32"/>
  <c r="BG7" i="32"/>
  <c r="BG16" i="29"/>
  <c r="BG8" i="36" l="1"/>
  <c r="CK8" i="36" s="1"/>
  <c r="CK16" i="29"/>
  <c r="BH10" i="25"/>
  <c r="BJ6" i="25"/>
  <c r="CK6" i="25" s="1"/>
  <c r="BJ7" i="25"/>
  <c r="CK7" i="25" s="1"/>
  <c r="BI8" i="25"/>
  <c r="BI10" i="25" s="1"/>
  <c r="BI12" i="25" s="1"/>
  <c r="BH12" i="25"/>
  <c r="BH6" i="29"/>
  <c r="BI6" i="14"/>
  <c r="BG27" i="32"/>
  <c r="BG63" i="32"/>
  <c r="BG8" i="25"/>
  <c r="BG6" i="14"/>
  <c r="BG52" i="33"/>
  <c r="BG39" i="33"/>
  <c r="BG31" i="33"/>
  <c r="BG24" i="33"/>
  <c r="BG18" i="33"/>
  <c r="BG6" i="27"/>
  <c r="CK6" i="27" s="1"/>
  <c r="BJ6" i="14" l="1"/>
  <c r="CK6" i="14" s="1"/>
  <c r="BG10" i="25"/>
  <c r="BG6" i="29" s="1"/>
  <c r="BG6" i="33"/>
  <c r="BJ8" i="25"/>
  <c r="BJ10" i="25" s="1"/>
  <c r="BJ12" i="25" s="1"/>
  <c r="BI6" i="29"/>
  <c r="BI9" i="29" s="1"/>
  <c r="BJ6" i="29"/>
  <c r="BH9" i="29"/>
  <c r="BH7" i="14"/>
  <c r="BG65" i="32"/>
  <c r="BG6" i="35"/>
  <c r="CK6" i="35" s="1"/>
  <c r="BG9" i="35"/>
  <c r="CK9" i="35" s="1"/>
  <c r="BI6" i="34"/>
  <c r="BG12" i="25" l="1"/>
  <c r="CK12" i="25" s="1"/>
  <c r="BG48" i="33"/>
  <c r="BG55" i="33" s="1"/>
  <c r="BI7" i="14"/>
  <c r="BI15" i="14" s="1"/>
  <c r="CK6" i="29"/>
  <c r="CK8" i="25"/>
  <c r="CK10" i="25"/>
  <c r="BH15" i="14"/>
  <c r="CK6" i="34"/>
  <c r="BH15" i="29"/>
  <c r="BH8" i="14"/>
  <c r="BI15" i="29"/>
  <c r="BI19" i="29" s="1"/>
  <c r="BI21" i="29" s="1"/>
  <c r="BI8" i="14"/>
  <c r="BJ9" i="29"/>
  <c r="BJ7" i="14"/>
  <c r="BJ15" i="14" s="1"/>
  <c r="BG9" i="29"/>
  <c r="BG7" i="14"/>
  <c r="BG12" i="35"/>
  <c r="CK12" i="35" s="1"/>
  <c r="BF7" i="29"/>
  <c r="BC50" i="33"/>
  <c r="BD50" i="33" s="1"/>
  <c r="BE50" i="33" s="1"/>
  <c r="BF50" i="33" s="1"/>
  <c r="CK7" i="14" l="1"/>
  <c r="CK15" i="14" s="1"/>
  <c r="BI9" i="14"/>
  <c r="BG8" i="14"/>
  <c r="BG9" i="14" s="1"/>
  <c r="CK9" i="29"/>
  <c r="BH9" i="14"/>
  <c r="BH19" i="29"/>
  <c r="BJ8" i="14"/>
  <c r="BJ9" i="14" s="1"/>
  <c r="BJ15" i="29"/>
  <c r="BJ19" i="29" s="1"/>
  <c r="BJ21" i="29" s="1"/>
  <c r="BI6" i="36"/>
  <c r="BI10" i="36" s="1"/>
  <c r="BI24" i="36" s="1"/>
  <c r="BI10" i="14" s="1"/>
  <c r="BI11" i="14" s="1"/>
  <c r="BI12" i="14"/>
  <c r="BI13" i="14" s="1"/>
  <c r="BG15" i="29"/>
  <c r="BG15" i="14"/>
  <c r="CJ23" i="36"/>
  <c r="CJ18" i="36"/>
  <c r="CJ17" i="36"/>
  <c r="CJ16" i="36"/>
  <c r="CJ15" i="36"/>
  <c r="CJ14" i="36"/>
  <c r="CJ12" i="36"/>
  <c r="CJ11" i="36"/>
  <c r="BF7" i="36"/>
  <c r="BF55" i="32"/>
  <c r="BF43" i="32"/>
  <c r="BF7" i="32"/>
  <c r="BF31" i="32"/>
  <c r="BF30" i="32"/>
  <c r="BF15" i="32"/>
  <c r="CJ7" i="29"/>
  <c r="BF52" i="33"/>
  <c r="BF39" i="33"/>
  <c r="BF31" i="33"/>
  <c r="BF24" i="33"/>
  <c r="BF18" i="33"/>
  <c r="CJ11" i="35"/>
  <c r="CJ10" i="35"/>
  <c r="CJ8" i="35"/>
  <c r="CJ7" i="35"/>
  <c r="BF9" i="35"/>
  <c r="BF6" i="35"/>
  <c r="CJ8" i="34"/>
  <c r="CJ7" i="34"/>
  <c r="BF6" i="34"/>
  <c r="CK15" i="29" l="1"/>
  <c r="CK8" i="14"/>
  <c r="CK9" i="14" s="1"/>
  <c r="BH21" i="29"/>
  <c r="BJ6" i="36"/>
  <c r="BJ10" i="36" s="1"/>
  <c r="BJ24" i="36" s="1"/>
  <c r="BJ10" i="14" s="1"/>
  <c r="BJ11" i="14" s="1"/>
  <c r="BJ12" i="14"/>
  <c r="BJ13" i="14" s="1"/>
  <c r="BG19" i="29"/>
  <c r="BF27" i="32"/>
  <c r="BF6" i="33"/>
  <c r="BF63" i="32"/>
  <c r="BF12" i="35"/>
  <c r="BE14" i="14"/>
  <c r="BF14" i="14" s="1"/>
  <c r="BF48" i="33" l="1"/>
  <c r="BF55" i="33" s="1"/>
  <c r="BG21" i="29"/>
  <c r="BG6" i="36" s="1"/>
  <c r="CK19" i="29"/>
  <c r="BH6" i="36"/>
  <c r="BH12" i="14"/>
  <c r="BF65" i="32"/>
  <c r="CJ14" i="14"/>
  <c r="BE13" i="36"/>
  <c r="CK6" i="36" l="1"/>
  <c r="BG12" i="14"/>
  <c r="CK21" i="29"/>
  <c r="BH13" i="14"/>
  <c r="BH10" i="36"/>
  <c r="BG10" i="36"/>
  <c r="BF13" i="36"/>
  <c r="CJ13" i="36" s="1"/>
  <c r="BE17" i="33"/>
  <c r="BE9" i="33"/>
  <c r="CK10" i="36" l="1"/>
  <c r="CK12" i="14"/>
  <c r="CK13" i="14" s="1"/>
  <c r="BG13" i="14"/>
  <c r="BH24" i="36"/>
  <c r="BG24" i="36"/>
  <c r="BE55" i="32"/>
  <c r="BE43" i="32"/>
  <c r="BE31" i="32"/>
  <c r="BE30" i="32"/>
  <c r="BE15" i="32"/>
  <c r="BE7" i="32"/>
  <c r="BD8" i="29"/>
  <c r="BD23" i="29"/>
  <c r="BD22" i="29"/>
  <c r="BD20" i="29"/>
  <c r="BD7" i="36" s="1"/>
  <c r="BD14" i="29"/>
  <c r="BD13" i="29"/>
  <c r="BD12" i="29"/>
  <c r="BD10" i="29"/>
  <c r="BE52" i="33"/>
  <c r="BE39" i="33"/>
  <c r="BE31" i="33"/>
  <c r="BE24" i="33"/>
  <c r="BE18" i="33"/>
  <c r="BD11" i="25"/>
  <c r="BD9" i="25"/>
  <c r="BD9" i="27"/>
  <c r="BD8" i="27"/>
  <c r="BD7" i="27"/>
  <c r="BD9" i="35"/>
  <c r="BD6" i="35"/>
  <c r="BD6" i="34"/>
  <c r="CK24" i="36" l="1"/>
  <c r="BH10" i="14"/>
  <c r="BG10" i="14"/>
  <c r="BD12" i="35"/>
  <c r="BE9" i="27"/>
  <c r="BF9" i="27" s="1"/>
  <c r="BE11" i="25"/>
  <c r="BE10" i="29"/>
  <c r="BF10" i="29" s="1"/>
  <c r="CJ10" i="29" s="1"/>
  <c r="BE14" i="29"/>
  <c r="CJ14" i="29" s="1"/>
  <c r="BE22" i="29"/>
  <c r="BF22" i="29" s="1"/>
  <c r="BE7" i="27"/>
  <c r="BF7" i="27" s="1"/>
  <c r="CJ7" i="27" s="1"/>
  <c r="BE12" i="29"/>
  <c r="BF12" i="29" s="1"/>
  <c r="CJ12" i="29" s="1"/>
  <c r="BE8" i="29"/>
  <c r="BF8" i="29" s="1"/>
  <c r="BE23" i="29"/>
  <c r="BF23" i="29" s="1"/>
  <c r="CJ23" i="29" s="1"/>
  <c r="CJ7" i="38"/>
  <c r="BE8" i="27"/>
  <c r="BF8" i="27" s="1"/>
  <c r="BE9" i="25"/>
  <c r="BF9" i="25" s="1"/>
  <c r="BE13" i="29"/>
  <c r="BE20" i="29"/>
  <c r="BE7" i="36" s="1"/>
  <c r="BE63" i="32"/>
  <c r="BE27" i="32"/>
  <c r="BE6" i="33"/>
  <c r="BD6" i="27"/>
  <c r="BD9" i="36"/>
  <c r="BE48" i="33" l="1"/>
  <c r="BE55" i="33" s="1"/>
  <c r="CK10" i="14"/>
  <c r="CK11" i="14" s="1"/>
  <c r="BH11" i="14"/>
  <c r="BF13" i="29"/>
  <c r="CJ13" i="29" s="1"/>
  <c r="BF11" i="25"/>
  <c r="CJ11" i="25" s="1"/>
  <c r="CJ22" i="29"/>
  <c r="BG11" i="14"/>
  <c r="CJ9" i="38"/>
  <c r="BF6" i="27"/>
  <c r="CJ8" i="38"/>
  <c r="CJ20" i="29"/>
  <c r="CJ8" i="27"/>
  <c r="CJ9" i="25"/>
  <c r="CJ8" i="29"/>
  <c r="CJ9" i="27"/>
  <c r="BE9" i="36"/>
  <c r="BE65" i="32"/>
  <c r="BG10" i="38" l="1"/>
  <c r="BF9" i="36"/>
  <c r="CJ9" i="36" s="1"/>
  <c r="BD55" i="32"/>
  <c r="BD43" i="32"/>
  <c r="BD31" i="32"/>
  <c r="BD30" i="32"/>
  <c r="BD15" i="32"/>
  <c r="BD7" i="32"/>
  <c r="BD52" i="33"/>
  <c r="BD39" i="33"/>
  <c r="BD31" i="33"/>
  <c r="BD24" i="33"/>
  <c r="BD18" i="33"/>
  <c r="BE6" i="27"/>
  <c r="BE9" i="35"/>
  <c r="BE6" i="34"/>
  <c r="CK10" i="38" l="1"/>
  <c r="CK11" i="38" s="1"/>
  <c r="BD6" i="33"/>
  <c r="BE12" i="35"/>
  <c r="BD63" i="32"/>
  <c r="BD27" i="32"/>
  <c r="CI8" i="34"/>
  <c r="CI11" i="35"/>
  <c r="CI10" i="35"/>
  <c r="CI8" i="35"/>
  <c r="CI7" i="35"/>
  <c r="CI11" i="25"/>
  <c r="CI23" i="36"/>
  <c r="CI17" i="36"/>
  <c r="CI16" i="36"/>
  <c r="CI15" i="36"/>
  <c r="CI14" i="36"/>
  <c r="CI12" i="36"/>
  <c r="BD48" i="33" l="1"/>
  <c r="BD55" i="33" s="1"/>
  <c r="BD65" i="32"/>
  <c r="BC7" i="14"/>
  <c r="BC15" i="14" l="1"/>
  <c r="BC7" i="36" l="1"/>
  <c r="CJ7" i="36" s="1"/>
  <c r="BC30" i="32"/>
  <c r="BC18" i="29"/>
  <c r="BC17" i="29"/>
  <c r="BC11" i="29"/>
  <c r="BD17" i="29" l="1"/>
  <c r="BD18" i="29"/>
  <c r="BD11" i="29"/>
  <c r="BC55" i="32"/>
  <c r="BC43" i="32"/>
  <c r="BC31" i="32"/>
  <c r="BC15" i="32"/>
  <c r="BC7" i="32"/>
  <c r="BC16" i="29"/>
  <c r="BC9" i="29"/>
  <c r="BD16" i="29" l="1"/>
  <c r="BD8" i="36" s="1"/>
  <c r="BE18" i="29"/>
  <c r="BF18" i="29" s="1"/>
  <c r="CJ18" i="29" s="1"/>
  <c r="BE17" i="29"/>
  <c r="BE11" i="29"/>
  <c r="CJ11" i="29" s="1"/>
  <c r="BC8" i="14"/>
  <c r="BC8" i="36"/>
  <c r="BC63" i="32"/>
  <c r="BC27" i="32"/>
  <c r="BE16" i="29" l="1"/>
  <c r="BE8" i="36" s="1"/>
  <c r="BF17" i="29"/>
  <c r="BF16" i="29" s="1"/>
  <c r="BF8" i="36" s="1"/>
  <c r="BC9" i="14"/>
  <c r="BC65" i="32"/>
  <c r="CJ8" i="36" l="1"/>
  <c r="CJ17" i="29"/>
  <c r="CJ16" i="29"/>
  <c r="BC52" i="33"/>
  <c r="BC39" i="33"/>
  <c r="BC31" i="33"/>
  <c r="BC24" i="33"/>
  <c r="BC18" i="33"/>
  <c r="BC7" i="25"/>
  <c r="BC6" i="25"/>
  <c r="BC6" i="14" l="1"/>
  <c r="BD6" i="25"/>
  <c r="BD7" i="25"/>
  <c r="BE7" i="25" s="1"/>
  <c r="BC6" i="33"/>
  <c r="BC48" i="33" l="1"/>
  <c r="BC55" i="33" s="1"/>
  <c r="BE6" i="25"/>
  <c r="BF6" i="25" s="1"/>
  <c r="BF7" i="25"/>
  <c r="CJ7" i="25" s="1"/>
  <c r="BD6" i="14"/>
  <c r="BD8" i="25"/>
  <c r="BD10" i="25" s="1"/>
  <c r="BC6" i="27"/>
  <c r="CJ6" i="27" s="1"/>
  <c r="BC10" i="38"/>
  <c r="BC9" i="35"/>
  <c r="CJ9" i="35" s="1"/>
  <c r="BC6" i="35"/>
  <c r="CJ6" i="35" s="1"/>
  <c r="BE8" i="25" l="1"/>
  <c r="BE10" i="25" s="1"/>
  <c r="BE6" i="29" s="1"/>
  <c r="BE6" i="14"/>
  <c r="BF6" i="14"/>
  <c r="BF8" i="25"/>
  <c r="BF10" i="25" s="1"/>
  <c r="BF6" i="29" s="1"/>
  <c r="CJ6" i="25"/>
  <c r="BD12" i="25"/>
  <c r="BD6" i="29"/>
  <c r="BC11" i="38"/>
  <c r="CJ10" i="38"/>
  <c r="BC8" i="25"/>
  <c r="BC12" i="35"/>
  <c r="CJ12" i="35" s="1"/>
  <c r="BE12" i="25" l="1"/>
  <c r="CJ6" i="14"/>
  <c r="CJ8" i="25"/>
  <c r="BF12" i="25"/>
  <c r="BF9" i="29"/>
  <c r="BF7" i="14"/>
  <c r="BF15" i="14" s="1"/>
  <c r="BD7" i="14"/>
  <c r="CJ6" i="29"/>
  <c r="BD9" i="29"/>
  <c r="BE9" i="29"/>
  <c r="BE7" i="14"/>
  <c r="BE15" i="14" s="1"/>
  <c r="BC10" i="25"/>
  <c r="BE8" i="14" l="1"/>
  <c r="BE9" i="14" s="1"/>
  <c r="BE15" i="29"/>
  <c r="BE19" i="29" s="1"/>
  <c r="BE21" i="29" s="1"/>
  <c r="BD15" i="14"/>
  <c r="CJ7" i="14"/>
  <c r="CJ15" i="14" s="1"/>
  <c r="BC12" i="25"/>
  <c r="CJ12" i="25" s="1"/>
  <c r="CJ10" i="25"/>
  <c r="BD8" i="14"/>
  <c r="BD15" i="29"/>
  <c r="CJ9" i="29"/>
  <c r="BF8" i="14"/>
  <c r="BF9" i="14" s="1"/>
  <c r="BF15" i="29"/>
  <c r="BF19" i="29" s="1"/>
  <c r="BF21" i="29" s="1"/>
  <c r="BC6" i="34"/>
  <c r="CJ6" i="34" s="1"/>
  <c r="BD19" i="29" l="1"/>
  <c r="BF12" i="14"/>
  <c r="BF13" i="14" s="1"/>
  <c r="BF6" i="36"/>
  <c r="BF10" i="36" s="1"/>
  <c r="BF24" i="36" s="1"/>
  <c r="BF10" i="14" s="1"/>
  <c r="BF11" i="14" s="1"/>
  <c r="BE6" i="36"/>
  <c r="BE10" i="36" s="1"/>
  <c r="BE24" i="36" s="1"/>
  <c r="BE10" i="14" s="1"/>
  <c r="BE11" i="14" s="1"/>
  <c r="BE12" i="14"/>
  <c r="BE13" i="14" s="1"/>
  <c r="BD9" i="14"/>
  <c r="CJ8" i="14"/>
  <c r="CJ9" i="14" s="1"/>
  <c r="AZ7" i="38"/>
  <c r="BD21" i="29" l="1"/>
  <c r="BA7" i="38"/>
  <c r="BB7" i="38" s="1"/>
  <c r="CI7" i="38" s="1"/>
  <c r="BB11" i="36"/>
  <c r="CI11" i="36" s="1"/>
  <c r="BD6" i="36" l="1"/>
  <c r="BD12" i="14"/>
  <c r="BB55" i="32"/>
  <c r="BB43" i="32"/>
  <c r="BB31" i="32"/>
  <c r="BB30" i="32"/>
  <c r="BB15" i="32"/>
  <c r="BB7" i="32"/>
  <c r="BB20" i="29"/>
  <c r="BB14" i="29"/>
  <c r="CI14" i="29" s="1"/>
  <c r="BB10" i="29"/>
  <c r="CI10" i="29" s="1"/>
  <c r="BB8" i="29"/>
  <c r="CI8" i="29" s="1"/>
  <c r="BB7" i="29"/>
  <c r="CI7" i="29" s="1"/>
  <c r="BB6" i="29"/>
  <c r="BD10" i="36" l="1"/>
  <c r="BD13" i="14"/>
  <c r="BB7" i="14"/>
  <c r="BB15" i="14" s="1"/>
  <c r="CI6" i="29"/>
  <c r="BB7" i="36"/>
  <c r="CI20" i="29"/>
  <c r="BB63" i="32"/>
  <c r="BB27" i="32"/>
  <c r="BB9" i="29"/>
  <c r="BD24" i="36" l="1"/>
  <c r="BB8" i="14"/>
  <c r="BB9" i="14" s="1"/>
  <c r="BB65" i="32"/>
  <c r="BD10" i="14" l="1"/>
  <c r="BB39" i="33"/>
  <c r="BB31" i="33"/>
  <c r="BB24" i="33"/>
  <c r="BB18" i="33"/>
  <c r="BD11" i="14" l="1"/>
  <c r="BB6" i="33"/>
  <c r="BB48" i="33" s="1"/>
  <c r="BB7" i="27"/>
  <c r="CI7" i="27" s="1"/>
  <c r="BB9" i="35"/>
  <c r="BB6" i="35"/>
  <c r="AY7" i="34"/>
  <c r="CI7" i="34" s="1"/>
  <c r="BB12" i="35" l="1"/>
  <c r="BB6" i="34" l="1"/>
  <c r="AZ6" i="27" l="1"/>
  <c r="AY6" i="27"/>
  <c r="AX6" i="27"/>
  <c r="AU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CH7" i="27"/>
  <c r="CG7" i="27"/>
  <c r="CF7" i="27"/>
  <c r="CE7" i="27"/>
  <c r="CD7" i="27"/>
  <c r="CC7" i="27"/>
  <c r="CB7" i="27"/>
  <c r="CA7" i="27"/>
  <c r="BZ7" i="27"/>
  <c r="BY7" i="27"/>
  <c r="BX7" i="27"/>
  <c r="BW7" i="27"/>
  <c r="CH8" i="27"/>
  <c r="CG8" i="27"/>
  <c r="CF8" i="27"/>
  <c r="CE8" i="27"/>
  <c r="CD8" i="27"/>
  <c r="CC8" i="27"/>
  <c r="CB8" i="27"/>
  <c r="CA8" i="27"/>
  <c r="BZ8" i="27"/>
  <c r="BY8" i="27"/>
  <c r="BX8" i="27"/>
  <c r="BW8" i="27"/>
  <c r="C6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AI6" i="35"/>
  <c r="AJ6" i="35"/>
  <c r="AK6" i="35"/>
  <c r="AL6" i="35"/>
  <c r="AM6" i="35"/>
  <c r="AN6" i="35"/>
  <c r="AO6" i="35"/>
  <c r="AP6" i="35"/>
  <c r="AQ6" i="35"/>
  <c r="AR6" i="35"/>
  <c r="AS6" i="35"/>
  <c r="AT6" i="35"/>
  <c r="AU6" i="35"/>
  <c r="AV6" i="35"/>
  <c r="AW6" i="35"/>
  <c r="AX6" i="35"/>
  <c r="AY6" i="35"/>
  <c r="AZ6" i="35"/>
  <c r="BA6" i="35"/>
  <c r="BW7" i="35"/>
  <c r="BX7" i="35"/>
  <c r="BY7" i="35"/>
  <c r="BZ7" i="35"/>
  <c r="CA7" i="35"/>
  <c r="CB7" i="35"/>
  <c r="CC7" i="35"/>
  <c r="CD7" i="35"/>
  <c r="CE7" i="35"/>
  <c r="CF7" i="35"/>
  <c r="CG7" i="35"/>
  <c r="CH7" i="35"/>
  <c r="BW8" i="35"/>
  <c r="BX8" i="35"/>
  <c r="BY8" i="35"/>
  <c r="BZ8" i="35"/>
  <c r="CA8" i="35"/>
  <c r="CB8" i="35"/>
  <c r="CC8" i="35"/>
  <c r="CD8" i="35"/>
  <c r="CE8" i="35"/>
  <c r="CF8" i="35"/>
  <c r="CG8" i="35"/>
  <c r="CH8" i="35"/>
  <c r="C9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AI9" i="35"/>
  <c r="AJ9" i="35"/>
  <c r="AK9" i="35"/>
  <c r="AL9" i="35"/>
  <c r="AM9" i="35"/>
  <c r="AN9" i="35"/>
  <c r="AO9" i="35"/>
  <c r="AP9" i="35"/>
  <c r="AQ9" i="35"/>
  <c r="AR9" i="35"/>
  <c r="AS9" i="35"/>
  <c r="AT9" i="35"/>
  <c r="AU9" i="35"/>
  <c r="AV9" i="35"/>
  <c r="AW9" i="35"/>
  <c r="AX9" i="35"/>
  <c r="AY9" i="35"/>
  <c r="AZ9" i="35"/>
  <c r="BA9" i="35"/>
  <c r="BW10" i="35"/>
  <c r="BX10" i="35"/>
  <c r="BY10" i="35"/>
  <c r="BZ10" i="35"/>
  <c r="CA10" i="35"/>
  <c r="CB10" i="35"/>
  <c r="CC10" i="35"/>
  <c r="CD10" i="35"/>
  <c r="CE10" i="35"/>
  <c r="CF10" i="35"/>
  <c r="CG10" i="35"/>
  <c r="CH10" i="35"/>
  <c r="BW11" i="35"/>
  <c r="BX11" i="35"/>
  <c r="BY11" i="35"/>
  <c r="BZ11" i="35"/>
  <c r="CA11" i="35"/>
  <c r="CB11" i="35"/>
  <c r="CC11" i="35"/>
  <c r="CD11" i="35"/>
  <c r="CE11" i="35"/>
  <c r="CF11" i="35"/>
  <c r="CG11" i="35"/>
  <c r="CH11" i="35"/>
  <c r="CI6" i="35" l="1"/>
  <c r="CI9" i="35"/>
  <c r="CH6" i="35"/>
  <c r="BA18" i="36"/>
  <c r="BB18" i="36" l="1"/>
  <c r="CI18" i="36" s="1"/>
  <c r="BA7" i="14"/>
  <c r="BA7" i="36"/>
  <c r="BA45" i="32" l="1"/>
  <c r="BA33" i="32"/>
  <c r="BA14" i="32"/>
  <c r="BA22" i="29"/>
  <c r="BA23" i="29"/>
  <c r="BA18" i="29"/>
  <c r="BA17" i="29"/>
  <c r="BA13" i="29"/>
  <c r="BA12" i="29"/>
  <c r="BA28" i="33"/>
  <c r="AW28" i="33"/>
  <c r="BA26" i="33"/>
  <c r="AW17" i="33"/>
  <c r="BA17" i="33"/>
  <c r="BB22" i="29" l="1"/>
  <c r="CI22" i="29" s="1"/>
  <c r="BB18" i="29"/>
  <c r="CI18" i="29" s="1"/>
  <c r="BB17" i="29"/>
  <c r="BB12" i="29"/>
  <c r="CI12" i="29" s="1"/>
  <c r="BB23" i="29"/>
  <c r="CI23" i="29" s="1"/>
  <c r="BB13" i="29"/>
  <c r="CI13" i="29" s="1"/>
  <c r="BA9" i="25"/>
  <c r="BB16" i="29" l="1"/>
  <c r="BB8" i="36" s="1"/>
  <c r="CI17" i="29"/>
  <c r="BB9" i="25"/>
  <c r="CI9" i="25" s="1"/>
  <c r="BC15" i="29"/>
  <c r="CJ15" i="29" s="1"/>
  <c r="BA9" i="27"/>
  <c r="BA8" i="27"/>
  <c r="BA9" i="38"/>
  <c r="BA8" i="38"/>
  <c r="BA6" i="38"/>
  <c r="BB9" i="27" l="1"/>
  <c r="CI9" i="27" s="1"/>
  <c r="BB8" i="38"/>
  <c r="BB9" i="38"/>
  <c r="CI9" i="38" s="1"/>
  <c r="BB6" i="38"/>
  <c r="BB8" i="27"/>
  <c r="BC19" i="29"/>
  <c r="CJ19" i="29" s="1"/>
  <c r="BA6" i="27"/>
  <c r="BA6" i="34"/>
  <c r="BA10" i="38"/>
  <c r="BA11" i="38" s="1"/>
  <c r="BA39" i="33"/>
  <c r="BA31" i="33"/>
  <c r="BA24" i="33"/>
  <c r="BA18" i="33"/>
  <c r="BA16" i="29"/>
  <c r="BA8" i="36" s="1"/>
  <c r="BA9" i="29"/>
  <c r="BA55" i="32"/>
  <c r="BA43" i="32"/>
  <c r="BA31" i="32"/>
  <c r="BA30" i="32"/>
  <c r="BA15" i="32"/>
  <c r="BA7" i="32"/>
  <c r="BB6" i="27" l="1"/>
  <c r="CI6" i="27" s="1"/>
  <c r="BA6" i="33"/>
  <c r="BA48" i="33" s="1"/>
  <c r="CI8" i="27"/>
  <c r="BB10" i="38"/>
  <c r="BB11" i="38" s="1"/>
  <c r="CI8" i="38"/>
  <c r="CI6" i="38"/>
  <c r="BD11" i="38"/>
  <c r="BC21" i="29"/>
  <c r="CJ21" i="29" s="1"/>
  <c r="BA8" i="14"/>
  <c r="BA9" i="14" s="1"/>
  <c r="BA63" i="32"/>
  <c r="BA27" i="32"/>
  <c r="BA12" i="35"/>
  <c r="BA15" i="14"/>
  <c r="AV28" i="33"/>
  <c r="AV20" i="33"/>
  <c r="AV9" i="33"/>
  <c r="BC6" i="36" l="1"/>
  <c r="CJ6" i="36" s="1"/>
  <c r="BC12" i="14"/>
  <c r="CJ12" i="14" s="1"/>
  <c r="CJ13" i="14" s="1"/>
  <c r="BA65" i="32"/>
  <c r="AT9" i="27"/>
  <c r="AT6" i="27" s="1"/>
  <c r="AS9" i="27"/>
  <c r="AS6" i="27" s="1"/>
  <c r="AR9" i="27"/>
  <c r="AR6" i="27" s="1"/>
  <c r="AW9" i="27"/>
  <c r="AW6" i="27" s="1"/>
  <c r="BF11" i="38" l="1"/>
  <c r="BG11" i="38"/>
  <c r="CJ11" i="38"/>
  <c r="BC13" i="14"/>
  <c r="AV9" i="27"/>
  <c r="AV6" i="27" s="1"/>
  <c r="AZ6" i="25" l="1"/>
  <c r="AY7" i="25"/>
  <c r="AU9" i="33"/>
  <c r="AU9" i="36" s="1"/>
  <c r="AV9" i="36" s="1"/>
  <c r="AW9" i="36" s="1"/>
  <c r="AX9" i="36" s="1"/>
  <c r="BA7" i="25" l="1"/>
  <c r="BB7" i="25" s="1"/>
  <c r="AZ7" i="14"/>
  <c r="AZ6" i="14"/>
  <c r="AZ7" i="36"/>
  <c r="AZ55" i="32"/>
  <c r="AZ43" i="32"/>
  <c r="AZ31" i="32"/>
  <c r="AZ30" i="32"/>
  <c r="AZ15" i="32"/>
  <c r="AZ7" i="32"/>
  <c r="AZ9" i="29"/>
  <c r="AZ15" i="29" s="1"/>
  <c r="AZ16" i="29"/>
  <c r="AZ8" i="36" s="1"/>
  <c r="AZ50" i="33"/>
  <c r="BA50" i="33" s="1"/>
  <c r="AZ39" i="33"/>
  <c r="AZ31" i="33"/>
  <c r="AZ24" i="33"/>
  <c r="AZ18" i="33"/>
  <c r="AZ8" i="25"/>
  <c r="AZ10" i="25" s="1"/>
  <c r="AZ12" i="25" s="1"/>
  <c r="AZ10" i="38"/>
  <c r="AZ11" i="38" s="1"/>
  <c r="AZ6" i="34"/>
  <c r="CI7" i="25" l="1"/>
  <c r="BA52" i="33"/>
  <c r="BA55" i="33" s="1"/>
  <c r="BB50" i="33"/>
  <c r="BB52" i="33" s="1"/>
  <c r="BB55" i="33" s="1"/>
  <c r="AZ52" i="33"/>
  <c r="AZ19" i="29"/>
  <c r="AZ21" i="29" s="1"/>
  <c r="AZ12" i="14" s="1"/>
  <c r="AZ8" i="14"/>
  <c r="AZ15" i="14"/>
  <c r="AZ63" i="32"/>
  <c r="AZ27" i="32"/>
  <c r="AZ6" i="33"/>
  <c r="AZ48" i="33" s="1"/>
  <c r="AZ12" i="35"/>
  <c r="AY6" i="25"/>
  <c r="AU28" i="33"/>
  <c r="AU17" i="33"/>
  <c r="AY11" i="29"/>
  <c r="AZ9" i="14" l="1"/>
  <c r="AZ13" i="14"/>
  <c r="AZ55" i="33"/>
  <c r="BA6" i="25"/>
  <c r="BB6" i="25" s="1"/>
  <c r="BA11" i="29"/>
  <c r="BA15" i="29" s="1"/>
  <c r="BA19" i="29" s="1"/>
  <c r="AZ6" i="36"/>
  <c r="AZ65" i="32"/>
  <c r="AY9" i="36"/>
  <c r="CI6" i="25" l="1"/>
  <c r="BA21" i="29"/>
  <c r="BA6" i="36" s="1"/>
  <c r="BA6" i="14"/>
  <c r="BB6" i="14"/>
  <c r="BB8" i="25"/>
  <c r="BB10" i="25" s="1"/>
  <c r="BB12" i="25" s="1"/>
  <c r="BB11" i="29"/>
  <c r="BB15" i="29" s="1"/>
  <c r="BB19" i="29" s="1"/>
  <c r="BB21" i="29" s="1"/>
  <c r="BA8" i="25"/>
  <c r="BA10" i="25" s="1"/>
  <c r="BA12" i="25" s="1"/>
  <c r="AZ9" i="36"/>
  <c r="AY13" i="36"/>
  <c r="AY14" i="14"/>
  <c r="CI14" i="14" s="1"/>
  <c r="AY7" i="36"/>
  <c r="CI7" i="36" s="1"/>
  <c r="AY55" i="32"/>
  <c r="AX55" i="32"/>
  <c r="AY43" i="32"/>
  <c r="AX43" i="32"/>
  <c r="AY30" i="32"/>
  <c r="AX30" i="32"/>
  <c r="AY31" i="32"/>
  <c r="AX31" i="32"/>
  <c r="AY15" i="32"/>
  <c r="AX15" i="32"/>
  <c r="AV31" i="32"/>
  <c r="AU31" i="32"/>
  <c r="AT31" i="32"/>
  <c r="AR31" i="32"/>
  <c r="AQ31" i="32"/>
  <c r="AP31" i="32"/>
  <c r="AO31" i="32"/>
  <c r="AN31" i="32"/>
  <c r="AM31" i="32"/>
  <c r="AL31" i="32"/>
  <c r="AK31" i="32"/>
  <c r="AJ31" i="32"/>
  <c r="AI31" i="32"/>
  <c r="AH31" i="32"/>
  <c r="AF31" i="32"/>
  <c r="AD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W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E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G33" i="32"/>
  <c r="AG31" i="32" s="1"/>
  <c r="AX9" i="29"/>
  <c r="AX15" i="29" s="1"/>
  <c r="AX19" i="29" s="1"/>
  <c r="AX21" i="29" s="1"/>
  <c r="AY52" i="33"/>
  <c r="AY39" i="33"/>
  <c r="AY31" i="33"/>
  <c r="AY24" i="33"/>
  <c r="AY18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X24" i="33"/>
  <c r="AX52" i="33"/>
  <c r="AX39" i="33"/>
  <c r="AX31" i="33"/>
  <c r="AX18" i="33"/>
  <c r="BA12" i="14" l="1"/>
  <c r="BA13" i="14" s="1"/>
  <c r="CI11" i="29"/>
  <c r="BB12" i="14"/>
  <c r="BB13" i="14" s="1"/>
  <c r="BB6" i="36"/>
  <c r="BA9" i="36"/>
  <c r="BB9" i="36" s="1"/>
  <c r="AZ10" i="36"/>
  <c r="AZ13" i="36"/>
  <c r="AY7" i="14"/>
  <c r="AY6" i="14"/>
  <c r="CI6" i="14" s="1"/>
  <c r="AX7" i="14"/>
  <c r="AX6" i="14"/>
  <c r="CH23" i="36"/>
  <c r="CH17" i="36"/>
  <c r="CH16" i="36"/>
  <c r="CH15" i="36"/>
  <c r="CH14" i="36"/>
  <c r="CH12" i="36"/>
  <c r="CH11" i="36"/>
  <c r="AX7" i="36"/>
  <c r="AY7" i="32"/>
  <c r="AY27" i="32" s="1"/>
  <c r="AX7" i="32"/>
  <c r="AX27" i="32" s="1"/>
  <c r="CH7" i="29"/>
  <c r="AY16" i="29"/>
  <c r="AY9" i="29"/>
  <c r="CH11" i="25"/>
  <c r="AY8" i="25"/>
  <c r="AX8" i="25"/>
  <c r="AX10" i="25" s="1"/>
  <c r="AX12" i="25" s="1"/>
  <c r="AY10" i="38"/>
  <c r="CH8" i="34"/>
  <c r="CH7" i="34"/>
  <c r="AY6" i="34"/>
  <c r="CI6" i="34" s="1"/>
  <c r="AX6" i="34"/>
  <c r="AY11" i="38" l="1"/>
  <c r="CI10" i="38"/>
  <c r="CI11" i="38" s="1"/>
  <c r="AY10" i="25"/>
  <c r="CI8" i="25"/>
  <c r="AY8" i="14"/>
  <c r="CI8" i="14" s="1"/>
  <c r="CI9" i="29"/>
  <c r="AY8" i="36"/>
  <c r="CI8" i="36" s="1"/>
  <c r="CI16" i="29"/>
  <c r="AY15" i="14"/>
  <c r="CI7" i="14"/>
  <c r="CI9" i="36"/>
  <c r="BC10" i="36"/>
  <c r="CJ10" i="36" s="1"/>
  <c r="BA13" i="36"/>
  <c r="BB10" i="36"/>
  <c r="BA10" i="36"/>
  <c r="AZ24" i="36"/>
  <c r="AX12" i="35"/>
  <c r="AY63" i="32"/>
  <c r="AX8" i="36"/>
  <c r="AX8" i="14"/>
  <c r="AY15" i="29"/>
  <c r="AY6" i="33"/>
  <c r="AY48" i="33" s="1"/>
  <c r="AY12" i="35"/>
  <c r="CI12" i="35" s="1"/>
  <c r="AX63" i="32"/>
  <c r="AX6" i="33"/>
  <c r="AX48" i="33" s="1"/>
  <c r="AW6" i="34"/>
  <c r="AY12" i="25" l="1"/>
  <c r="CI12" i="25" s="1"/>
  <c r="CI10" i="25"/>
  <c r="AY9" i="14"/>
  <c r="AY19" i="29"/>
  <c r="CI19" i="29" s="1"/>
  <c r="CI15" i="29"/>
  <c r="BA24" i="36"/>
  <c r="BA10" i="14" s="1"/>
  <c r="BA11" i="14" s="1"/>
  <c r="CI9" i="14"/>
  <c r="AZ10" i="14"/>
  <c r="BB13" i="36"/>
  <c r="CI13" i="36" s="1"/>
  <c r="AX65" i="32"/>
  <c r="AY65" i="32"/>
  <c r="AX9" i="14"/>
  <c r="CI15" i="14"/>
  <c r="AY55" i="33"/>
  <c r="AX55" i="33"/>
  <c r="AW7" i="25"/>
  <c r="AV7" i="25"/>
  <c r="AW6" i="25"/>
  <c r="AV6" i="25"/>
  <c r="AU6" i="25"/>
  <c r="AU7" i="25"/>
  <c r="AT7" i="25"/>
  <c r="AT6" i="25"/>
  <c r="AQ6" i="25"/>
  <c r="AR6" i="25"/>
  <c r="AS6" i="25"/>
  <c r="AY21" i="29" l="1"/>
  <c r="CI21" i="29" s="1"/>
  <c r="AZ11" i="14"/>
  <c r="BB24" i="36"/>
  <c r="BC24" i="36"/>
  <c r="CJ24" i="36" s="1"/>
  <c r="CH6" i="25"/>
  <c r="CH9" i="25"/>
  <c r="CH7" i="25"/>
  <c r="AS7" i="25"/>
  <c r="AR7" i="25"/>
  <c r="AQ7" i="25"/>
  <c r="AQ8" i="25" s="1"/>
  <c r="AY6" i="36" l="1"/>
  <c r="CI6" i="36" s="1"/>
  <c r="AY12" i="14"/>
  <c r="AY13" i="14" s="1"/>
  <c r="BC10" i="14"/>
  <c r="CJ10" i="14" s="1"/>
  <c r="CJ11" i="14" s="1"/>
  <c r="BB10" i="14"/>
  <c r="AX12" i="14"/>
  <c r="AX6" i="36"/>
  <c r="AS15" i="36"/>
  <c r="AY10" i="36" l="1"/>
  <c r="CI10" i="36" s="1"/>
  <c r="CI12" i="14"/>
  <c r="CI13" i="14" s="1"/>
  <c r="BC11" i="14"/>
  <c r="BB11" i="14"/>
  <c r="AX13" i="14"/>
  <c r="AV6" i="38"/>
  <c r="AW26" i="33"/>
  <c r="AW18" i="33"/>
  <c r="AV18" i="33"/>
  <c r="AU18" i="33"/>
  <c r="AT18" i="33"/>
  <c r="AR18" i="33"/>
  <c r="AQ18" i="33"/>
  <c r="AP18" i="33"/>
  <c r="AN18" i="33"/>
  <c r="AM18" i="33"/>
  <c r="AY24" i="36" l="1"/>
  <c r="CI24" i="36" s="1"/>
  <c r="AW6" i="38"/>
  <c r="AX6" i="38" s="1"/>
  <c r="AW24" i="33"/>
  <c r="AW6" i="33" s="1"/>
  <c r="AW45" i="32"/>
  <c r="AW43" i="32" s="1"/>
  <c r="AW33" i="32"/>
  <c r="AW31" i="32" s="1"/>
  <c r="AW14" i="32"/>
  <c r="AW7" i="32" s="1"/>
  <c r="AW52" i="33"/>
  <c r="AW39" i="33"/>
  <c r="AW31" i="33"/>
  <c r="AW55" i="32"/>
  <c r="AW30" i="32"/>
  <c r="AW48" i="33" l="1"/>
  <c r="AY10" i="14"/>
  <c r="CI10" i="14" s="1"/>
  <c r="CI11" i="14" s="1"/>
  <c r="AX10" i="36"/>
  <c r="CH9" i="36"/>
  <c r="CH6" i="38"/>
  <c r="AW63" i="32"/>
  <c r="AW12" i="35"/>
  <c r="AW55" i="33"/>
  <c r="AW27" i="32"/>
  <c r="AV13" i="36"/>
  <c r="AT6" i="14"/>
  <c r="AU6" i="14"/>
  <c r="AV8" i="25"/>
  <c r="AU8" i="25"/>
  <c r="AT8" i="25"/>
  <c r="AS8" i="25"/>
  <c r="AR8" i="25"/>
  <c r="AV11" i="29"/>
  <c r="AV13" i="29"/>
  <c r="AV12" i="29"/>
  <c r="AV14" i="29"/>
  <c r="AV26" i="33"/>
  <c r="AS31" i="33"/>
  <c r="AV32" i="33"/>
  <c r="AV31" i="33" s="1"/>
  <c r="AV17" i="33"/>
  <c r="AV14" i="14"/>
  <c r="AT7" i="14"/>
  <c r="AU7" i="14"/>
  <c r="AV23" i="29"/>
  <c r="AV22" i="29"/>
  <c r="AV9" i="38"/>
  <c r="AV8" i="38"/>
  <c r="AV7" i="38"/>
  <c r="AV20" i="29"/>
  <c r="AV18" i="29"/>
  <c r="AV17" i="29"/>
  <c r="AV10" i="29"/>
  <c r="AV8" i="29"/>
  <c r="AV6" i="29"/>
  <c r="AV7" i="14" s="1"/>
  <c r="AV43" i="32"/>
  <c r="AV24" i="32"/>
  <c r="AV15" i="32" s="1"/>
  <c r="AV14" i="32"/>
  <c r="AY11" i="14" l="1"/>
  <c r="AW8" i="29"/>
  <c r="CH8" i="29" s="1"/>
  <c r="AW20" i="29"/>
  <c r="AW7" i="36" s="1"/>
  <c r="AW22" i="29"/>
  <c r="CH22" i="29" s="1"/>
  <c r="AW12" i="29"/>
  <c r="CH12" i="29" s="1"/>
  <c r="AW10" i="29"/>
  <c r="CH10" i="29" s="1"/>
  <c r="AW23" i="29"/>
  <c r="CH23" i="29" s="1"/>
  <c r="AW13" i="29"/>
  <c r="CH13" i="29" s="1"/>
  <c r="AW7" i="38"/>
  <c r="AX7" i="38" s="1"/>
  <c r="AW14" i="14"/>
  <c r="AX14" i="14" s="1"/>
  <c r="AX15" i="14" s="1"/>
  <c r="AW13" i="36"/>
  <c r="AX13" i="36" s="1"/>
  <c r="AX24" i="36" s="1"/>
  <c r="AX10" i="14" s="1"/>
  <c r="AX11" i="14" s="1"/>
  <c r="AW17" i="29"/>
  <c r="CH17" i="29" s="1"/>
  <c r="AW8" i="38"/>
  <c r="AX8" i="38" s="1"/>
  <c r="AW11" i="29"/>
  <c r="CH11" i="29" s="1"/>
  <c r="AW6" i="29"/>
  <c r="AW7" i="14" s="1"/>
  <c r="AW18" i="29"/>
  <c r="CH18" i="29" s="1"/>
  <c r="AW9" i="38"/>
  <c r="AX9" i="38" s="1"/>
  <c r="AW14" i="29"/>
  <c r="CH14" i="29" s="1"/>
  <c r="AV24" i="33"/>
  <c r="AV6" i="14"/>
  <c r="AV9" i="29"/>
  <c r="AV8" i="14" s="1"/>
  <c r="AV16" i="29"/>
  <c r="AW65" i="32"/>
  <c r="AW9" i="29" l="1"/>
  <c r="AW15" i="29" s="1"/>
  <c r="CH6" i="29"/>
  <c r="AW10" i="38"/>
  <c r="AW11" i="38" s="1"/>
  <c r="CH9" i="38"/>
  <c r="CH20" i="29"/>
  <c r="AW15" i="14"/>
  <c r="CH7" i="14"/>
  <c r="AX10" i="38"/>
  <c r="AX11" i="38" s="1"/>
  <c r="CH8" i="38"/>
  <c r="AW16" i="29"/>
  <c r="AW8" i="36" s="1"/>
  <c r="CH7" i="38"/>
  <c r="CH13" i="36"/>
  <c r="CH14" i="14"/>
  <c r="AW6" i="14"/>
  <c r="CH6" i="14" s="1"/>
  <c r="AW8" i="25"/>
  <c r="AV15" i="14"/>
  <c r="AU15" i="14"/>
  <c r="AV9" i="14"/>
  <c r="AV8" i="36"/>
  <c r="AV7" i="36"/>
  <c r="AV55" i="32"/>
  <c r="AV30" i="32"/>
  <c r="AV7" i="32"/>
  <c r="AV27" i="32" s="1"/>
  <c r="AV15" i="29"/>
  <c r="AV19" i="29" s="1"/>
  <c r="AV21" i="29" s="1"/>
  <c r="AV52" i="33"/>
  <c r="AV39" i="33"/>
  <c r="AV6" i="33"/>
  <c r="AV48" i="33" s="1"/>
  <c r="AV10" i="25"/>
  <c r="AV12" i="25" s="1"/>
  <c r="AV10" i="38"/>
  <c r="AV11" i="38" s="1"/>
  <c r="AV6" i="34"/>
  <c r="AW8" i="14" l="1"/>
  <c r="AW9" i="14" s="1"/>
  <c r="AW19" i="29"/>
  <c r="AW21" i="29" s="1"/>
  <c r="AW6" i="36" s="1"/>
  <c r="AW10" i="36" s="1"/>
  <c r="AW24" i="36" s="1"/>
  <c r="AW10" i="14" s="1"/>
  <c r="AW11" i="14" s="1"/>
  <c r="AW10" i="25"/>
  <c r="AW12" i="25" s="1"/>
  <c r="CH8" i="25"/>
  <c r="CH15" i="14"/>
  <c r="AV12" i="35"/>
  <c r="AV6" i="36"/>
  <c r="AV10" i="36" s="1"/>
  <c r="AV24" i="36" s="1"/>
  <c r="AV10" i="14" s="1"/>
  <c r="AV12" i="14"/>
  <c r="AV63" i="32"/>
  <c r="AV65" i="32" s="1"/>
  <c r="AV55" i="33"/>
  <c r="AU10" i="25"/>
  <c r="AW12" i="14" l="1"/>
  <c r="AW13" i="14" s="1"/>
  <c r="CH10" i="25"/>
  <c r="CH9" i="27"/>
  <c r="CH6" i="27"/>
  <c r="AV13" i="14"/>
  <c r="AV11" i="14" l="1"/>
  <c r="AU7" i="36"/>
  <c r="CH7" i="36" s="1"/>
  <c r="AU14" i="32" l="1"/>
  <c r="AU12" i="25"/>
  <c r="CH12" i="25" s="1"/>
  <c r="AU10" i="38"/>
  <c r="CF7" i="38"/>
  <c r="AU6" i="34"/>
  <c r="CH6" i="34" s="1"/>
  <c r="CG8" i="34"/>
  <c r="CG7" i="34"/>
  <c r="CH9" i="35"/>
  <c r="CG7" i="25"/>
  <c r="CG6" i="25"/>
  <c r="AU32" i="33"/>
  <c r="AU26" i="33"/>
  <c r="AU11" i="38" l="1"/>
  <c r="CH10" i="38"/>
  <c r="CH11" i="38" s="1"/>
  <c r="AU24" i="33"/>
  <c r="AU31" i="33"/>
  <c r="AU12" i="35"/>
  <c r="CH12" i="35" s="1"/>
  <c r="AU6" i="33" l="1"/>
  <c r="AU52" i="33"/>
  <c r="AU39" i="33" l="1"/>
  <c r="AU48" i="33" s="1"/>
  <c r="CG6" i="29"/>
  <c r="CG7" i="29"/>
  <c r="CG8" i="29"/>
  <c r="CG11" i="29"/>
  <c r="CG13" i="29"/>
  <c r="CG20" i="29"/>
  <c r="AU16" i="29"/>
  <c r="CH16" i="29" s="1"/>
  <c r="AU9" i="29"/>
  <c r="CH9" i="29" s="1"/>
  <c r="AU7" i="32"/>
  <c r="AU27" i="32" s="1"/>
  <c r="AU55" i="32"/>
  <c r="AU43" i="32"/>
  <c r="AU30" i="32"/>
  <c r="AU15" i="29" l="1"/>
  <c r="CH15" i="29" s="1"/>
  <c r="AU8" i="14"/>
  <c r="CH8" i="14" s="1"/>
  <c r="CH9" i="14" s="1"/>
  <c r="AU8" i="36"/>
  <c r="CH8" i="36" s="1"/>
  <c r="AU63" i="32"/>
  <c r="AU65" i="32" s="1"/>
  <c r="AR8" i="36"/>
  <c r="AR9" i="36"/>
  <c r="AT9" i="36"/>
  <c r="AU55" i="33" l="1"/>
  <c r="AU19" i="29"/>
  <c r="CH19" i="29" s="1"/>
  <c r="AU9" i="14"/>
  <c r="AS13" i="36"/>
  <c r="AU21" i="29" l="1"/>
  <c r="CH21" i="29" s="1"/>
  <c r="CG9" i="25"/>
  <c r="CG9" i="27"/>
  <c r="AT32" i="33"/>
  <c r="AT31" i="33" s="1"/>
  <c r="AT26" i="33"/>
  <c r="AT24" i="33" s="1"/>
  <c r="AT9" i="33"/>
  <c r="AT18" i="29"/>
  <c r="CG18" i="29" s="1"/>
  <c r="CG9" i="38"/>
  <c r="CG8" i="38"/>
  <c r="CG7" i="38"/>
  <c r="CG6" i="38"/>
  <c r="AU12" i="14" l="1"/>
  <c r="CH12" i="14" s="1"/>
  <c r="CH13" i="14" s="1"/>
  <c r="AU6" i="36"/>
  <c r="CH6" i="36" s="1"/>
  <c r="AU13" i="14" l="1"/>
  <c r="AU10" i="36"/>
  <c r="AU24" i="36" s="1"/>
  <c r="CH24" i="36" s="1"/>
  <c r="AT7" i="32"/>
  <c r="CH10" i="36" l="1"/>
  <c r="AU10" i="14"/>
  <c r="CH10" i="14" s="1"/>
  <c r="CH11" i="14" s="1"/>
  <c r="CG11" i="25"/>
  <c r="AU11" i="14" l="1"/>
  <c r="CG23" i="36"/>
  <c r="CG16" i="36"/>
  <c r="CG15" i="36"/>
  <c r="CG14" i="36"/>
  <c r="CG13" i="36"/>
  <c r="CG12" i="36"/>
  <c r="CG11" i="36"/>
  <c r="CG7" i="36"/>
  <c r="CG6" i="36"/>
  <c r="AT6" i="34" l="1"/>
  <c r="AT10" i="38"/>
  <c r="AT10" i="25" l="1"/>
  <c r="AT11" i="38"/>
  <c r="AT52" i="33"/>
  <c r="AT39" i="33"/>
  <c r="AT16" i="29"/>
  <c r="AT9" i="29"/>
  <c r="AT8" i="14" s="1"/>
  <c r="AT9" i="14" s="1"/>
  <c r="AT30" i="32"/>
  <c r="AT55" i="32"/>
  <c r="AT43" i="32"/>
  <c r="AT10" i="36"/>
  <c r="AT24" i="36" l="1"/>
  <c r="AT10" i="14" s="1"/>
  <c r="AT12" i="25"/>
  <c r="AT6" i="33"/>
  <c r="AT15" i="29"/>
  <c r="AT63" i="32"/>
  <c r="AT27" i="32"/>
  <c r="AS39" i="33"/>
  <c r="AS23" i="33"/>
  <c r="AS18" i="33" s="1"/>
  <c r="AS14" i="32"/>
  <c r="CG9" i="36"/>
  <c r="CG8" i="36"/>
  <c r="AS6" i="14"/>
  <c r="CG6" i="14" s="1"/>
  <c r="AS7" i="14"/>
  <c r="CG7" i="14" s="1"/>
  <c r="AT48" i="33" l="1"/>
  <c r="AT55" i="33" s="1"/>
  <c r="AT65" i="32"/>
  <c r="AT11" i="14"/>
  <c r="AT19" i="29"/>
  <c r="AT21" i="29" l="1"/>
  <c r="AT12" i="14" s="1"/>
  <c r="AT13" i="14" s="1"/>
  <c r="AS52" i="33"/>
  <c r="AR52" i="33"/>
  <c r="AQ52" i="33"/>
  <c r="AS7" i="33" l="1"/>
  <c r="AS22" i="29"/>
  <c r="CG22" i="29" s="1"/>
  <c r="AS23" i="29"/>
  <c r="CG23" i="29" s="1"/>
  <c r="AS14" i="29"/>
  <c r="CG14" i="29" s="1"/>
  <c r="BW12" i="29"/>
  <c r="AS12" i="29"/>
  <c r="CG12" i="29" s="1"/>
  <c r="AS10" i="29"/>
  <c r="CG10" i="29" s="1"/>
  <c r="AS6" i="34"/>
  <c r="AS10" i="38"/>
  <c r="AS11" i="38" s="1"/>
  <c r="AS12" i="35" l="1"/>
  <c r="AS10" i="25"/>
  <c r="AS12" i="25" l="1"/>
  <c r="AS6" i="33"/>
  <c r="AS48" i="33" l="1"/>
  <c r="AS55" i="33" s="1"/>
  <c r="AS42" i="32"/>
  <c r="AS31" i="32" s="1"/>
  <c r="AS55" i="32"/>
  <c r="AS10" i="36" l="1"/>
  <c r="AS24" i="36" s="1"/>
  <c r="AS10" i="14" l="1"/>
  <c r="AS11" i="14" l="1"/>
  <c r="CG10" i="14"/>
  <c r="AS8" i="14"/>
  <c r="AS16" i="29"/>
  <c r="AS9" i="29"/>
  <c r="AS43" i="32"/>
  <c r="AS7" i="32"/>
  <c r="AS9" i="14" l="1"/>
  <c r="CG8" i="14"/>
  <c r="AS15" i="29"/>
  <c r="AS63" i="32"/>
  <c r="AS27" i="32"/>
  <c r="AS15" i="14"/>
  <c r="AR13" i="14"/>
  <c r="AS19" i="29" l="1"/>
  <c r="AS21" i="29" s="1"/>
  <c r="AS12" i="14" s="1"/>
  <c r="AR9" i="14"/>
  <c r="CG12" i="14" l="1"/>
  <c r="CG13" i="14" s="1"/>
  <c r="AS13" i="14"/>
  <c r="AR11" i="14"/>
  <c r="AR6" i="34"/>
  <c r="AR10" i="38"/>
  <c r="AR11" i="38" s="1"/>
  <c r="AR10" i="25"/>
  <c r="AR39" i="33"/>
  <c r="AR31" i="33"/>
  <c r="AR16" i="29"/>
  <c r="AR9" i="29"/>
  <c r="AR15" i="29" s="1"/>
  <c r="AR55" i="32"/>
  <c r="AR43" i="32"/>
  <c r="AR14" i="32"/>
  <c r="AR7" i="32" s="1"/>
  <c r="AR10" i="36"/>
  <c r="CG11" i="14"/>
  <c r="CG9" i="14"/>
  <c r="AR15" i="14"/>
  <c r="AR12" i="25" l="1"/>
  <c r="AR6" i="33"/>
  <c r="AR12" i="35"/>
  <c r="AR24" i="36"/>
  <c r="AR19" i="29"/>
  <c r="AR63" i="32"/>
  <c r="AR27" i="32"/>
  <c r="AQ14" i="14"/>
  <c r="AQ15" i="14" s="1"/>
  <c r="AQ13" i="14"/>
  <c r="AQ11" i="14"/>
  <c r="AQ9" i="14"/>
  <c r="AQ17" i="29"/>
  <c r="AQ9" i="29"/>
  <c r="AQ10" i="36"/>
  <c r="AQ6" i="34"/>
  <c r="CG9" i="35"/>
  <c r="AQ10" i="38"/>
  <c r="CG10" i="38" s="1"/>
  <c r="CG11" i="38" s="1"/>
  <c r="AR48" i="33" l="1"/>
  <c r="AR55" i="33" s="1"/>
  <c r="AQ16" i="29"/>
  <c r="CG16" i="29" s="1"/>
  <c r="CG17" i="29"/>
  <c r="AQ10" i="25"/>
  <c r="AQ12" i="25" s="1"/>
  <c r="CG8" i="25"/>
  <c r="CG9" i="29"/>
  <c r="AQ15" i="29"/>
  <c r="CG15" i="29" s="1"/>
  <c r="CG6" i="34"/>
  <c r="AQ24" i="36"/>
  <c r="CG24" i="36" s="1"/>
  <c r="CG10" i="36"/>
  <c r="AR21" i="29"/>
  <c r="AQ12" i="35"/>
  <c r="AQ11" i="38"/>
  <c r="AQ39" i="33"/>
  <c r="AQ31" i="33"/>
  <c r="AQ55" i="32"/>
  <c r="AQ43" i="32"/>
  <c r="AQ7" i="32"/>
  <c r="CG12" i="25" l="1"/>
  <c r="CG10" i="25"/>
  <c r="AQ19" i="29"/>
  <c r="AQ6" i="33"/>
  <c r="AQ63" i="32"/>
  <c r="AQ27" i="32"/>
  <c r="AP12" i="36"/>
  <c r="AP13" i="36"/>
  <c r="AP11" i="36"/>
  <c r="AQ48" i="33" l="1"/>
  <c r="AQ55" i="33" s="1"/>
  <c r="AQ21" i="29"/>
  <c r="CG21" i="29" s="1"/>
  <c r="CG19" i="29"/>
  <c r="AP6" i="36"/>
  <c r="CF8" i="34" l="1"/>
  <c r="CF7" i="34"/>
  <c r="AP6" i="34"/>
  <c r="CF9" i="38"/>
  <c r="CF8" i="38"/>
  <c r="CF6" i="38"/>
  <c r="AP10" i="38"/>
  <c r="CF9" i="27"/>
  <c r="CF11" i="25"/>
  <c r="CF9" i="25"/>
  <c r="CF7" i="25"/>
  <c r="CF6" i="25"/>
  <c r="AP8" i="25"/>
  <c r="AP10" i="25" s="1"/>
  <c r="AP52" i="33"/>
  <c r="AP39" i="33"/>
  <c r="AP31" i="33"/>
  <c r="AP6" i="33"/>
  <c r="AP48" i="33" l="1"/>
  <c r="AP55" i="33" s="1"/>
  <c r="AP12" i="35"/>
  <c r="AP11" i="38"/>
  <c r="AP12" i="25"/>
  <c r="CF23" i="29"/>
  <c r="CF22" i="29"/>
  <c r="CF20" i="29"/>
  <c r="CF18" i="29"/>
  <c r="CF17" i="29"/>
  <c r="CF14" i="29"/>
  <c r="CF11" i="29"/>
  <c r="CF10" i="29"/>
  <c r="CF8" i="29"/>
  <c r="CF7" i="29"/>
  <c r="CF6" i="29"/>
  <c r="AP16" i="29"/>
  <c r="AP9" i="29"/>
  <c r="AP15" i="29" s="1"/>
  <c r="AP55" i="32"/>
  <c r="AP43" i="32"/>
  <c r="AP7" i="32"/>
  <c r="CF23" i="36"/>
  <c r="CF16" i="36"/>
  <c r="CF14" i="36"/>
  <c r="CF13" i="36"/>
  <c r="CF12" i="36"/>
  <c r="CF11" i="36"/>
  <c r="CF9" i="36"/>
  <c r="CF8" i="36"/>
  <c r="CF7" i="36"/>
  <c r="AP10" i="36"/>
  <c r="CF14" i="14"/>
  <c r="CF12" i="14"/>
  <c r="CF8" i="14"/>
  <c r="CF7" i="14"/>
  <c r="CF6" i="14"/>
  <c r="AP15" i="14"/>
  <c r="AP13" i="14"/>
  <c r="AP9" i="14"/>
  <c r="AP24" i="36" l="1"/>
  <c r="AP19" i="29"/>
  <c r="AP21" i="29" s="1"/>
  <c r="AP63" i="32"/>
  <c r="AP27" i="32"/>
  <c r="AO17" i="33"/>
  <c r="AP65" i="32" l="1"/>
  <c r="AP10" i="14"/>
  <c r="AP11" i="14" s="1"/>
  <c r="AO23" i="33"/>
  <c r="AO18" i="33" s="1"/>
  <c r="AO16" i="29" l="1"/>
  <c r="AO6" i="34" l="1"/>
  <c r="AO10" i="38"/>
  <c r="AO8" i="25"/>
  <c r="AO52" i="33"/>
  <c r="AO39" i="33"/>
  <c r="AO31" i="33"/>
  <c r="AO9" i="29"/>
  <c r="AO55" i="32"/>
  <c r="AO43" i="32"/>
  <c r="AO7" i="32"/>
  <c r="AO10" i="36"/>
  <c r="AO15" i="14"/>
  <c r="AO13" i="14"/>
  <c r="AO9" i="14"/>
  <c r="AO11" i="38" l="1"/>
  <c r="AO12" i="35"/>
  <c r="AO10" i="25"/>
  <c r="AO12" i="25" s="1"/>
  <c r="AO6" i="33"/>
  <c r="AO48" i="33" s="1"/>
  <c r="AO55" i="33" s="1"/>
  <c r="AO24" i="36"/>
  <c r="AO15" i="29"/>
  <c r="AO63" i="32"/>
  <c r="AO27" i="32"/>
  <c r="AN9" i="33"/>
  <c r="AO10" i="14" l="1"/>
  <c r="AO11" i="14" s="1"/>
  <c r="AO19" i="29"/>
  <c r="AN6" i="34"/>
  <c r="AO21" i="29" l="1"/>
  <c r="AN10" i="38"/>
  <c r="AN11" i="38" s="1"/>
  <c r="AN12" i="35" l="1"/>
  <c r="AN8" i="25"/>
  <c r="AN10" i="25" s="1"/>
  <c r="AN12" i="25" s="1"/>
  <c r="AN52" i="33"/>
  <c r="AN39" i="33"/>
  <c r="AN31" i="33"/>
  <c r="AN16" i="29"/>
  <c r="AN9" i="29"/>
  <c r="AN15" i="14"/>
  <c r="AN13" i="14"/>
  <c r="AN55" i="32"/>
  <c r="AN43" i="32"/>
  <c r="AN7" i="32"/>
  <c r="AN10" i="36"/>
  <c r="AN9" i="14"/>
  <c r="AN15" i="29" l="1"/>
  <c r="AN24" i="36"/>
  <c r="AN10" i="14" s="1"/>
  <c r="AN11" i="14" s="1"/>
  <c r="AN6" i="33"/>
  <c r="AN48" i="33" s="1"/>
  <c r="AN55" i="33" s="1"/>
  <c r="AN63" i="32"/>
  <c r="AN27" i="32"/>
  <c r="AN19" i="29" l="1"/>
  <c r="AN21" i="29" s="1"/>
  <c r="CF9" i="14"/>
  <c r="AM6" i="34"/>
  <c r="CF6" i="34" s="1"/>
  <c r="CF6" i="35"/>
  <c r="CF9" i="35"/>
  <c r="AM10" i="38"/>
  <c r="CF6" i="27"/>
  <c r="AM8" i="25"/>
  <c r="CF8" i="25" s="1"/>
  <c r="AM31" i="33"/>
  <c r="AM39" i="33"/>
  <c r="AM52" i="33"/>
  <c r="AM13" i="29"/>
  <c r="CF13" i="29" s="1"/>
  <c r="AM12" i="29"/>
  <c r="CF12" i="29" s="1"/>
  <c r="AM9" i="29"/>
  <c r="CF9" i="29" s="1"/>
  <c r="AM16" i="29"/>
  <c r="CF16" i="29" s="1"/>
  <c r="AM55" i="32"/>
  <c r="AM7" i="32"/>
  <c r="AM43" i="32"/>
  <c r="AM6" i="36"/>
  <c r="CF6" i="36" s="1"/>
  <c r="AM9" i="14"/>
  <c r="AM13" i="14"/>
  <c r="AM15" i="14"/>
  <c r="AM11" i="38" l="1"/>
  <c r="CF10" i="38"/>
  <c r="CF11" i="38" s="1"/>
  <c r="AM10" i="36"/>
  <c r="CF10" i="36" s="1"/>
  <c r="AM12" i="35"/>
  <c r="CF12" i="35" s="1"/>
  <c r="AM10" i="25"/>
  <c r="AM6" i="33"/>
  <c r="AM48" i="33" s="1"/>
  <c r="AM55" i="33" s="1"/>
  <c r="AM15" i="29"/>
  <c r="AM63" i="32"/>
  <c r="AM27" i="32"/>
  <c r="CF15" i="14"/>
  <c r="CF13" i="14"/>
  <c r="AK55" i="32"/>
  <c r="AK43" i="32"/>
  <c r="AM12" i="25" l="1"/>
  <c r="CF12" i="25" s="1"/>
  <c r="CF10" i="25"/>
  <c r="AM19" i="29"/>
  <c r="CF15" i="29"/>
  <c r="AM24" i="36"/>
  <c r="CF24" i="36" s="1"/>
  <c r="AK63" i="32"/>
  <c r="AK7" i="32"/>
  <c r="AK27" i="32" s="1"/>
  <c r="CE8" i="34"/>
  <c r="CE7" i="34"/>
  <c r="AL6" i="34"/>
  <c r="CE9" i="27"/>
  <c r="AL18" i="33"/>
  <c r="AL31" i="33"/>
  <c r="AL39" i="33"/>
  <c r="AL52" i="33"/>
  <c r="CE8" i="38"/>
  <c r="CE9" i="38"/>
  <c r="CE7" i="38"/>
  <c r="CE6" i="38"/>
  <c r="AL10" i="38"/>
  <c r="AL11" i="38" s="1"/>
  <c r="CE11" i="25"/>
  <c r="CE9" i="25"/>
  <c r="CE7" i="25"/>
  <c r="CE6" i="25"/>
  <c r="AL8" i="25"/>
  <c r="CE11" i="29"/>
  <c r="CE23" i="29"/>
  <c r="CE22" i="29"/>
  <c r="CE20" i="29"/>
  <c r="CE18" i="29"/>
  <c r="CE17" i="29"/>
  <c r="CE14" i="29"/>
  <c r="CE10" i="29"/>
  <c r="CE8" i="29"/>
  <c r="CE7" i="29"/>
  <c r="AL6" i="29"/>
  <c r="AL9" i="29" s="1"/>
  <c r="AL16" i="29"/>
  <c r="CE23" i="36"/>
  <c r="CE16" i="36"/>
  <c r="CE14" i="36"/>
  <c r="CE13" i="36"/>
  <c r="CE12" i="36"/>
  <c r="CE11" i="36"/>
  <c r="CE9" i="36"/>
  <c r="CE8" i="36"/>
  <c r="CE7" i="36"/>
  <c r="AL6" i="36"/>
  <c r="AL10" i="36" s="1"/>
  <c r="AL24" i="36" s="1"/>
  <c r="CE14" i="14"/>
  <c r="CE12" i="14"/>
  <c r="CE8" i="14"/>
  <c r="CE7" i="14"/>
  <c r="CE6" i="14"/>
  <c r="AL9" i="14"/>
  <c r="AL13" i="14"/>
  <c r="AL15" i="14"/>
  <c r="AM21" i="29" l="1"/>
  <c r="CF21" i="29" s="1"/>
  <c r="CF19" i="29"/>
  <c r="AM10" i="14"/>
  <c r="CF10" i="14" s="1"/>
  <c r="AL10" i="14"/>
  <c r="AL11" i="14" s="1"/>
  <c r="AL6" i="33"/>
  <c r="AL48" i="33" s="1"/>
  <c r="AL55" i="33" s="1"/>
  <c r="AL12" i="35"/>
  <c r="AL10" i="25"/>
  <c r="AL12" i="25" s="1"/>
  <c r="AL15" i="29"/>
  <c r="AL19" i="29" s="1"/>
  <c r="AL21" i="29" s="1"/>
  <c r="AK6" i="36"/>
  <c r="AK10" i="36" s="1"/>
  <c r="AK24" i="36" s="1"/>
  <c r="AK10" i="14" s="1"/>
  <c r="AK11" i="14" s="1"/>
  <c r="AK6" i="34"/>
  <c r="AK10" i="38"/>
  <c r="AK11" i="38" s="1"/>
  <c r="AK8" i="25"/>
  <c r="AK10" i="25" s="1"/>
  <c r="AK12" i="25" s="1"/>
  <c r="AK52" i="33"/>
  <c r="AK39" i="33"/>
  <c r="AK31" i="33"/>
  <c r="AK18" i="33"/>
  <c r="AK6" i="29"/>
  <c r="AK9" i="14"/>
  <c r="AK13" i="14"/>
  <c r="AK15" i="14"/>
  <c r="CF11" i="14" l="1"/>
  <c r="AM11" i="14"/>
  <c r="AK6" i="33"/>
  <c r="AK48" i="33" s="1"/>
  <c r="AK55" i="33" s="1"/>
  <c r="AK12" i="35"/>
  <c r="AK16" i="29"/>
  <c r="AK9" i="29"/>
  <c r="AL55" i="32"/>
  <c r="AL43" i="32"/>
  <c r="AL7" i="32"/>
  <c r="AK15" i="29" l="1"/>
  <c r="AL63" i="32"/>
  <c r="AL27" i="32"/>
  <c r="AJ6" i="34"/>
  <c r="AJ10" i="38"/>
  <c r="AJ11" i="38" s="1"/>
  <c r="AJ8" i="25"/>
  <c r="AJ52" i="33"/>
  <c r="AJ39" i="33"/>
  <c r="AJ31" i="33"/>
  <c r="AJ18" i="33"/>
  <c r="AJ6" i="29"/>
  <c r="AJ9" i="29" s="1"/>
  <c r="AJ15" i="29" s="1"/>
  <c r="AJ16" i="29"/>
  <c r="AJ55" i="32"/>
  <c r="AJ43" i="32"/>
  <c r="AJ7" i="32"/>
  <c r="AJ6" i="36"/>
  <c r="AJ10" i="36" s="1"/>
  <c r="AJ24" i="36" s="1"/>
  <c r="AJ10" i="14" s="1"/>
  <c r="AJ9" i="14"/>
  <c r="AJ13" i="14"/>
  <c r="AJ15" i="14"/>
  <c r="AK19" i="29" l="1"/>
  <c r="AJ12" i="35"/>
  <c r="AJ10" i="25"/>
  <c r="AJ6" i="33"/>
  <c r="AJ48" i="33" s="1"/>
  <c r="AJ55" i="33" s="1"/>
  <c r="AJ19" i="29"/>
  <c r="AJ21" i="29" s="1"/>
  <c r="AJ63" i="32"/>
  <c r="AJ27" i="32"/>
  <c r="AJ11" i="14"/>
  <c r="CE9" i="35"/>
  <c r="AI12" i="29"/>
  <c r="CE12" i="29" s="1"/>
  <c r="AI13" i="29"/>
  <c r="CE13" i="29" s="1"/>
  <c r="AI57" i="32"/>
  <c r="AI52" i="32"/>
  <c r="AI49" i="32"/>
  <c r="CE13" i="14"/>
  <c r="CE9" i="14"/>
  <c r="BX9" i="35" l="1"/>
  <c r="BY9" i="35"/>
  <c r="BZ9" i="35"/>
  <c r="CA9" i="35"/>
  <c r="CB9" i="35"/>
  <c r="CC9" i="35"/>
  <c r="CD9" i="35"/>
  <c r="AK21" i="29"/>
  <c r="AJ12" i="25"/>
  <c r="AI13" i="14"/>
  <c r="AI9" i="14"/>
  <c r="AI6" i="34"/>
  <c r="CE6" i="34" s="1"/>
  <c r="CE6" i="35"/>
  <c r="AI10" i="38"/>
  <c r="CE10" i="38" s="1"/>
  <c r="AI8" i="25"/>
  <c r="CE8" i="25" s="1"/>
  <c r="AI52" i="33"/>
  <c r="AI39" i="33"/>
  <c r="AI31" i="33"/>
  <c r="AI18" i="33"/>
  <c r="AI16" i="29"/>
  <c r="CE16" i="29" s="1"/>
  <c r="AI6" i="29"/>
  <c r="CE6" i="29" s="1"/>
  <c r="AI55" i="32"/>
  <c r="AI43" i="32"/>
  <c r="AI7" i="32"/>
  <c r="AI6" i="36"/>
  <c r="CE6" i="36" s="1"/>
  <c r="CE6" i="27" l="1"/>
  <c r="AI11" i="38"/>
  <c r="AI10" i="36"/>
  <c r="CE10" i="36" s="1"/>
  <c r="AI12" i="35"/>
  <c r="CE12" i="35" s="1"/>
  <c r="CE11" i="38"/>
  <c r="AI10" i="25"/>
  <c r="CE10" i="25" s="1"/>
  <c r="AI63" i="32"/>
  <c r="AI27" i="32"/>
  <c r="CE15" i="14"/>
  <c r="AI9" i="29"/>
  <c r="CE9" i="29" s="1"/>
  <c r="AI15" i="14"/>
  <c r="AI24" i="36" l="1"/>
  <c r="CE24" i="36" s="1"/>
  <c r="AI12" i="25"/>
  <c r="CE12" i="25" s="1"/>
  <c r="AI15" i="29"/>
  <c r="CE15" i="29" s="1"/>
  <c r="AH10" i="38"/>
  <c r="AH11" i="38" s="1"/>
  <c r="AH16" i="29"/>
  <c r="AH15" i="14"/>
  <c r="AH11" i="14"/>
  <c r="AH9" i="14"/>
  <c r="AH12" i="14"/>
  <c r="AH13" i="14" s="1"/>
  <c r="AI10" i="14" l="1"/>
  <c r="CE10" i="14" s="1"/>
  <c r="AI19" i="29"/>
  <c r="CE19" i="29" s="1"/>
  <c r="AH14" i="32"/>
  <c r="AI11" i="14" l="1"/>
  <c r="CE11" i="14"/>
  <c r="AI21" i="29"/>
  <c r="CE21" i="29" s="1"/>
  <c r="CD8" i="34"/>
  <c r="CD7" i="34"/>
  <c r="AH6" i="34"/>
  <c r="CD9" i="38"/>
  <c r="CD8" i="38"/>
  <c r="CD7" i="38"/>
  <c r="CD6" i="38"/>
  <c r="CD9" i="27"/>
  <c r="CD11" i="25"/>
  <c r="CD9" i="25"/>
  <c r="CD7" i="25"/>
  <c r="CD6" i="25"/>
  <c r="AH8" i="25"/>
  <c r="AH10" i="25" s="1"/>
  <c r="AH12" i="25" s="1"/>
  <c r="AH52" i="33"/>
  <c r="AH39" i="33"/>
  <c r="AH31" i="33"/>
  <c r="AH18" i="33"/>
  <c r="CD23" i="29"/>
  <c r="CD22" i="29"/>
  <c r="CD20" i="29"/>
  <c r="CD17" i="29"/>
  <c r="CD14" i="29"/>
  <c r="CD13" i="29"/>
  <c r="CD12" i="29"/>
  <c r="CD11" i="29"/>
  <c r="CD10" i="29"/>
  <c r="CD8" i="29"/>
  <c r="CD7" i="29"/>
  <c r="AH6" i="29"/>
  <c r="AH7" i="32"/>
  <c r="AH43" i="32"/>
  <c r="AH55" i="32"/>
  <c r="CD23" i="36"/>
  <c r="CD16" i="36"/>
  <c r="CD14" i="36"/>
  <c r="CD13" i="36"/>
  <c r="CD12" i="36"/>
  <c r="CD11" i="36"/>
  <c r="CD9" i="36"/>
  <c r="CD8" i="36"/>
  <c r="CD7" i="36"/>
  <c r="AH6" i="36"/>
  <c r="CD14" i="14"/>
  <c r="CD12" i="14"/>
  <c r="CD10" i="14"/>
  <c r="CD8" i="14"/>
  <c r="CD7" i="14"/>
  <c r="CD6" i="14"/>
  <c r="CD8" i="25" l="1"/>
  <c r="AI6" i="33"/>
  <c r="AI48" i="33" s="1"/>
  <c r="AI55" i="33" s="1"/>
  <c r="AH12" i="35"/>
  <c r="AH9" i="29"/>
  <c r="AH10" i="36"/>
  <c r="AH63" i="32"/>
  <c r="AH27" i="32"/>
  <c r="AG6" i="34"/>
  <c r="AG10" i="38"/>
  <c r="AG11" i="38" s="1"/>
  <c r="AG8" i="25"/>
  <c r="AG10" i="25" s="1"/>
  <c r="AG12" i="25" s="1"/>
  <c r="AF14" i="33"/>
  <c r="AE14" i="33"/>
  <c r="AG31" i="33"/>
  <c r="AG18" i="33"/>
  <c r="AG39" i="33"/>
  <c r="AG52" i="33"/>
  <c r="AG6" i="29"/>
  <c r="AG9" i="29" s="1"/>
  <c r="AG16" i="29"/>
  <c r="AG14" i="32"/>
  <c r="AG7" i="32" s="1"/>
  <c r="AG55" i="32"/>
  <c r="AG43" i="32"/>
  <c r="CB16" i="36"/>
  <c r="CA16" i="36"/>
  <c r="BZ16" i="36"/>
  <c r="BY16" i="36"/>
  <c r="BX16" i="36"/>
  <c r="BW16" i="36"/>
  <c r="CB14" i="36"/>
  <c r="CA14" i="36"/>
  <c r="BZ14" i="36"/>
  <c r="BY14" i="36"/>
  <c r="BX14" i="36"/>
  <c r="BW14" i="36"/>
  <c r="CC16" i="36"/>
  <c r="AG6" i="36"/>
  <c r="AG10" i="36" s="1"/>
  <c r="AG24" i="36" s="1"/>
  <c r="AG9" i="14"/>
  <c r="AG11" i="14"/>
  <c r="AG13" i="14"/>
  <c r="AG15" i="14"/>
  <c r="AG27" i="32" l="1"/>
  <c r="AH15" i="29"/>
  <c r="AH19" i="29" s="1"/>
  <c r="AH24" i="36"/>
  <c r="AG12" i="35"/>
  <c r="AG15" i="29"/>
  <c r="AG19" i="29" s="1"/>
  <c r="AG21" i="29" s="1"/>
  <c r="AG63" i="32"/>
  <c r="AF18" i="33"/>
  <c r="AF16" i="29" l="1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Z6" i="29"/>
  <c r="AA6" i="29"/>
  <c r="AB6" i="29"/>
  <c r="AC6" i="29"/>
  <c r="AD6" i="29"/>
  <c r="AE6" i="29"/>
  <c r="AF6" i="29"/>
  <c r="CD6" i="29" l="1"/>
  <c r="AH21" i="29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CD6" i="36" l="1"/>
  <c r="AF6" i="34"/>
  <c r="AF10" i="38"/>
  <c r="AF11" i="38" s="1"/>
  <c r="AF8" i="25"/>
  <c r="AF10" i="25" s="1"/>
  <c r="AF12" i="25" s="1"/>
  <c r="AF52" i="33"/>
  <c r="AF39" i="33"/>
  <c r="AF31" i="33"/>
  <c r="AF9" i="29"/>
  <c r="AF15" i="29" s="1"/>
  <c r="AF19" i="29" s="1"/>
  <c r="AF21" i="29" s="1"/>
  <c r="AF55" i="32"/>
  <c r="AF43" i="32"/>
  <c r="AF7" i="32"/>
  <c r="AF10" i="36"/>
  <c r="AF24" i="36" s="1"/>
  <c r="AF15" i="14"/>
  <c r="AF13" i="14"/>
  <c r="AF11" i="14"/>
  <c r="AF9" i="14"/>
  <c r="AF12" i="35" l="1"/>
  <c r="AF27" i="32"/>
  <c r="AF63" i="32"/>
  <c r="AE13" i="14"/>
  <c r="AE11" i="14"/>
  <c r="AE6" i="34"/>
  <c r="CD6" i="35"/>
  <c r="AE10" i="38"/>
  <c r="AE8" i="25"/>
  <c r="AE10" i="25" s="1"/>
  <c r="AE12" i="25" s="1"/>
  <c r="AE8" i="33"/>
  <c r="AE23" i="33"/>
  <c r="AE21" i="33"/>
  <c r="AE52" i="33"/>
  <c r="AE39" i="33"/>
  <c r="AE31" i="33"/>
  <c r="AE18" i="29"/>
  <c r="AE9" i="29"/>
  <c r="CD9" i="29" s="1"/>
  <c r="AE42" i="32"/>
  <c r="AE31" i="32" s="1"/>
  <c r="AE16" i="29" l="1"/>
  <c r="CD16" i="29" s="1"/>
  <c r="CD18" i="29"/>
  <c r="AE11" i="38"/>
  <c r="CD10" i="38"/>
  <c r="CD11" i="38" s="1"/>
  <c r="AE18" i="33"/>
  <c r="AE15" i="29"/>
  <c r="CD15" i="29" s="1"/>
  <c r="CD9" i="14"/>
  <c r="CD11" i="14"/>
  <c r="CD13" i="14"/>
  <c r="CD15" i="14"/>
  <c r="AE15" i="14"/>
  <c r="AE9" i="14"/>
  <c r="CD6" i="34"/>
  <c r="CD12" i="35"/>
  <c r="AE12" i="35"/>
  <c r="CD6" i="27"/>
  <c r="CD10" i="25"/>
  <c r="CD12" i="25" s="1"/>
  <c r="AE55" i="32"/>
  <c r="AE43" i="32"/>
  <c r="AE7" i="32"/>
  <c r="AE10" i="36"/>
  <c r="CD10" i="36" s="1"/>
  <c r="AE19" i="29" l="1"/>
  <c r="CD19" i="29" s="1"/>
  <c r="AE24" i="36"/>
  <c r="CD24" i="36" s="1"/>
  <c r="AE63" i="32"/>
  <c r="AE27" i="32"/>
  <c r="AC9" i="36"/>
  <c r="CC14" i="14"/>
  <c r="CC12" i="14"/>
  <c r="CC8" i="14"/>
  <c r="CC6" i="14"/>
  <c r="AE21" i="29" l="1"/>
  <c r="CD21" i="29" s="1"/>
  <c r="CC20" i="29"/>
  <c r="CC18" i="29"/>
  <c r="CC17" i="29"/>
  <c r="CC14" i="29"/>
  <c r="CC13" i="29"/>
  <c r="CC12" i="29"/>
  <c r="CC11" i="29"/>
  <c r="CC10" i="29"/>
  <c r="CC7" i="29"/>
  <c r="CC6" i="29"/>
  <c r="AE7" i="33" l="1"/>
  <c r="AF7" i="33" s="1"/>
  <c r="CC8" i="34"/>
  <c r="CC7" i="34"/>
  <c r="AD6" i="34"/>
  <c r="CC9" i="38"/>
  <c r="CC8" i="38"/>
  <c r="CC7" i="38"/>
  <c r="CC6" i="38"/>
  <c r="AD10" i="38"/>
  <c r="AD11" i="38" s="1"/>
  <c r="CC9" i="27"/>
  <c r="CC11" i="25"/>
  <c r="CC9" i="25"/>
  <c r="CC7" i="25"/>
  <c r="CC6" i="25"/>
  <c r="AD8" i="25"/>
  <c r="AD10" i="25" s="1"/>
  <c r="AD12" i="25" s="1"/>
  <c r="AD52" i="33"/>
  <c r="AD39" i="33"/>
  <c r="AD31" i="33"/>
  <c r="AD18" i="33"/>
  <c r="Z13" i="29"/>
  <c r="Z11" i="29"/>
  <c r="AD23" i="29"/>
  <c r="AD16" i="29"/>
  <c r="V9" i="36"/>
  <c r="U9" i="36"/>
  <c r="Z13" i="36"/>
  <c r="CC14" i="36"/>
  <c r="AD13" i="36"/>
  <c r="AD23" i="36"/>
  <c r="CC23" i="36" s="1"/>
  <c r="AD8" i="36"/>
  <c r="AD7" i="36"/>
  <c r="CC13" i="36"/>
  <c r="CC12" i="36"/>
  <c r="CC11" i="36"/>
  <c r="CC9" i="36"/>
  <c r="AE6" i="33" l="1"/>
  <c r="AE48" i="33" s="1"/>
  <c r="AE55" i="33" s="1"/>
  <c r="AG7" i="33"/>
  <c r="AF6" i="33"/>
  <c r="AF48" i="33" s="1"/>
  <c r="AF55" i="33" s="1"/>
  <c r="AD12" i="35"/>
  <c r="AD6" i="33"/>
  <c r="AD48" i="33" s="1"/>
  <c r="AD55" i="33" s="1"/>
  <c r="AD10" i="36"/>
  <c r="AD24" i="36" s="1"/>
  <c r="CC10" i="14" s="1"/>
  <c r="AD9" i="29"/>
  <c r="AD15" i="29" s="1"/>
  <c r="AD22" i="32"/>
  <c r="AD15" i="32" s="1"/>
  <c r="AD55" i="32"/>
  <c r="AD43" i="32"/>
  <c r="AD7" i="32"/>
  <c r="AD15" i="14"/>
  <c r="AH7" i="33" l="1"/>
  <c r="AH6" i="33" s="1"/>
  <c r="AH48" i="33" s="1"/>
  <c r="AH55" i="33" s="1"/>
  <c r="AG6" i="33"/>
  <c r="AG48" i="33" s="1"/>
  <c r="AG55" i="33" s="1"/>
  <c r="AD9" i="14"/>
  <c r="AD11" i="14"/>
  <c r="AD19" i="29"/>
  <c r="AD63" i="32"/>
  <c r="AD27" i="32"/>
  <c r="AD13" i="14"/>
  <c r="N55" i="32"/>
  <c r="N50" i="32"/>
  <c r="CA7" i="34"/>
  <c r="BZ7" i="34"/>
  <c r="BY7" i="34"/>
  <c r="BX7" i="34"/>
  <c r="BW7" i="34"/>
  <c r="CB6" i="38"/>
  <c r="CA6" i="38"/>
  <c r="BZ6" i="38"/>
  <c r="BY6" i="38"/>
  <c r="BX6" i="38"/>
  <c r="BW6" i="38"/>
  <c r="BZ6" i="25"/>
  <c r="BY9" i="25"/>
  <c r="BY6" i="25"/>
  <c r="BX6" i="25"/>
  <c r="BW6" i="25"/>
  <c r="CB6" i="29"/>
  <c r="BZ6" i="29"/>
  <c r="BY6" i="29"/>
  <c r="BW6" i="29"/>
  <c r="CA6" i="36"/>
  <c r="BX6" i="36"/>
  <c r="BW10" i="14"/>
  <c r="BZ6" i="14"/>
  <c r="BY6" i="14"/>
  <c r="BX6" i="14"/>
  <c r="BW6" i="14"/>
  <c r="AD21" i="29" l="1"/>
  <c r="AC7" i="36"/>
  <c r="CC7" i="36" s="1"/>
  <c r="AC6" i="34"/>
  <c r="AC10" i="38"/>
  <c r="AC8" i="25"/>
  <c r="AC31" i="33"/>
  <c r="AC52" i="33"/>
  <c r="AC39" i="33"/>
  <c r="AC18" i="33"/>
  <c r="AC16" i="29"/>
  <c r="AC8" i="36" s="1"/>
  <c r="CC8" i="36" s="1"/>
  <c r="AC8" i="29"/>
  <c r="AC35" i="32"/>
  <c r="AC31" i="32" s="1"/>
  <c r="AC24" i="32"/>
  <c r="AC22" i="32"/>
  <c r="AC14" i="32"/>
  <c r="AC12" i="32"/>
  <c r="AC55" i="32"/>
  <c r="AC43" i="32"/>
  <c r="AC15" i="32" l="1"/>
  <c r="AC7" i="32"/>
  <c r="AC9" i="29"/>
  <c r="AC15" i="29" s="1"/>
  <c r="AC19" i="29" s="1"/>
  <c r="CC8" i="29"/>
  <c r="AC10" i="25"/>
  <c r="AC12" i="25" s="1"/>
  <c r="AC12" i="35"/>
  <c r="AC11" i="38"/>
  <c r="AC6" i="33"/>
  <c r="AC48" i="33" s="1"/>
  <c r="AC55" i="33" s="1"/>
  <c r="AC63" i="32"/>
  <c r="CB23" i="36"/>
  <c r="CA23" i="36"/>
  <c r="BZ23" i="36"/>
  <c r="BY23" i="36"/>
  <c r="BX23" i="36"/>
  <c r="BW23" i="36"/>
  <c r="CB12" i="36"/>
  <c r="CA12" i="36"/>
  <c r="BZ12" i="36"/>
  <c r="BY12" i="36"/>
  <c r="BX12" i="36"/>
  <c r="BW12" i="36"/>
  <c r="CB11" i="36"/>
  <c r="CA11" i="36"/>
  <c r="BZ11" i="36"/>
  <c r="BY11" i="36"/>
  <c r="BW11" i="36"/>
  <c r="AC27" i="32" l="1"/>
  <c r="AC15" i="14"/>
  <c r="CC7" i="14"/>
  <c r="AC9" i="14"/>
  <c r="AC21" i="29"/>
  <c r="BX11" i="36"/>
  <c r="D22" i="29"/>
  <c r="CC6" i="36" l="1"/>
  <c r="BX13" i="36"/>
  <c r="CA13" i="36"/>
  <c r="AC13" i="14" l="1"/>
  <c r="AC10" i="36"/>
  <c r="CB13" i="36"/>
  <c r="BW13" i="36"/>
  <c r="BZ13" i="36"/>
  <c r="BY13" i="36"/>
  <c r="C55" i="32"/>
  <c r="D55" i="32"/>
  <c r="E55" i="32"/>
  <c r="F55" i="32"/>
  <c r="G55" i="32"/>
  <c r="H55" i="32"/>
  <c r="I55" i="32"/>
  <c r="J55" i="32"/>
  <c r="K55" i="32"/>
  <c r="L55" i="32"/>
  <c r="J23" i="29"/>
  <c r="J22" i="29"/>
  <c r="AC24" i="36" l="1"/>
  <c r="N23" i="29"/>
  <c r="N22" i="29"/>
  <c r="R23" i="29"/>
  <c r="R22" i="29"/>
  <c r="V23" i="29"/>
  <c r="V22" i="29"/>
  <c r="M55" i="32"/>
  <c r="O55" i="32"/>
  <c r="P55" i="32"/>
  <c r="Q55" i="32"/>
  <c r="R55" i="32"/>
  <c r="S55" i="32"/>
  <c r="T55" i="32"/>
  <c r="U55" i="32"/>
  <c r="V55" i="32"/>
  <c r="Y16" i="29"/>
  <c r="AA55" i="32" l="1"/>
  <c r="Z55" i="32"/>
  <c r="Y55" i="32"/>
  <c r="X55" i="32"/>
  <c r="W55" i="32"/>
  <c r="AB55" i="32"/>
  <c r="W23" i="29"/>
  <c r="Z23" i="29" s="1"/>
  <c r="W22" i="29"/>
  <c r="X16" i="29"/>
  <c r="CA23" i="29"/>
  <c r="BZ23" i="29"/>
  <c r="BY23" i="29"/>
  <c r="BX23" i="29"/>
  <c r="BW23" i="29"/>
  <c r="CA22" i="29"/>
  <c r="BZ22" i="29"/>
  <c r="BY22" i="29"/>
  <c r="BX22" i="29"/>
  <c r="BW22" i="29"/>
  <c r="AA23" i="29"/>
  <c r="CC23" i="29" s="1"/>
  <c r="AA22" i="29"/>
  <c r="CC22" i="29" s="1"/>
  <c r="AA16" i="29"/>
  <c r="AB16" i="29"/>
  <c r="CC16" i="29" l="1"/>
  <c r="AC11" i="14"/>
  <c r="CB23" i="29"/>
  <c r="Z22" i="29"/>
  <c r="CB22" i="29" l="1"/>
  <c r="BW7" i="38" l="1"/>
  <c r="BW8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E10" i="38"/>
  <c r="D10" i="38"/>
  <c r="C10" i="38"/>
  <c r="CB9" i="38"/>
  <c r="CA9" i="38"/>
  <c r="BZ9" i="38"/>
  <c r="BY9" i="38"/>
  <c r="BX9" i="38"/>
  <c r="CB8" i="38"/>
  <c r="CA8" i="38"/>
  <c r="BZ8" i="38"/>
  <c r="BY8" i="38"/>
  <c r="BX8" i="38"/>
  <c r="CB7" i="38"/>
  <c r="CA7" i="38"/>
  <c r="BZ7" i="38"/>
  <c r="BY7" i="38"/>
  <c r="BX7" i="38"/>
  <c r="CC10" i="38" l="1"/>
  <c r="BW9" i="38"/>
  <c r="CB10" i="38"/>
  <c r="CA10" i="38"/>
  <c r="BZ10" i="38"/>
  <c r="BY10" i="38"/>
  <c r="BX10" i="38"/>
  <c r="F10" i="38"/>
  <c r="BW10" i="38" l="1"/>
  <c r="CL11" i="38" s="1"/>
  <c r="CA9" i="36"/>
  <c r="F12" i="35"/>
  <c r="I6" i="34"/>
  <c r="U6" i="34"/>
  <c r="C6" i="34"/>
  <c r="G6" i="34"/>
  <c r="BY8" i="34"/>
  <c r="O6" i="34"/>
  <c r="S6" i="34"/>
  <c r="CB8" i="34"/>
  <c r="D6" i="34"/>
  <c r="F6" i="34"/>
  <c r="H6" i="34"/>
  <c r="J6" i="34"/>
  <c r="K6" i="34"/>
  <c r="L6" i="34"/>
  <c r="N6" i="34"/>
  <c r="P6" i="34"/>
  <c r="R6" i="34"/>
  <c r="T6" i="34"/>
  <c r="V6" i="34"/>
  <c r="X6" i="34"/>
  <c r="Z6" i="34"/>
  <c r="AA6" i="34"/>
  <c r="AB6" i="34"/>
  <c r="M6" i="34"/>
  <c r="CC6" i="35" l="1"/>
  <c r="N12" i="35"/>
  <c r="T12" i="35"/>
  <c r="AB12" i="35"/>
  <c r="K12" i="35"/>
  <c r="W12" i="35"/>
  <c r="C12" i="35"/>
  <c r="S12" i="35"/>
  <c r="G12" i="35"/>
  <c r="H12" i="35"/>
  <c r="O12" i="35"/>
  <c r="AA12" i="35"/>
  <c r="CA7" i="36"/>
  <c r="BW7" i="36"/>
  <c r="BW9" i="36"/>
  <c r="BX9" i="36"/>
  <c r="BY9" i="36"/>
  <c r="BZ9" i="36"/>
  <c r="CB9" i="36"/>
  <c r="BZ7" i="36"/>
  <c r="BX7" i="36"/>
  <c r="CB7" i="36"/>
  <c r="BY7" i="36"/>
  <c r="D12" i="35"/>
  <c r="J12" i="35"/>
  <c r="R12" i="35"/>
  <c r="Z12" i="35"/>
  <c r="BW9" i="35"/>
  <c r="M12" i="35"/>
  <c r="P12" i="35"/>
  <c r="L12" i="35"/>
  <c r="X12" i="35"/>
  <c r="BX6" i="35"/>
  <c r="V12" i="35"/>
  <c r="BZ8" i="34"/>
  <c r="W6" i="34"/>
  <c r="BW8" i="34"/>
  <c r="Y6" i="34"/>
  <c r="Q6" i="34"/>
  <c r="BX8" i="34"/>
  <c r="E6" i="34"/>
  <c r="CA8" i="34"/>
  <c r="CC6" i="34"/>
  <c r="CB7" i="34"/>
  <c r="BY6" i="34"/>
  <c r="BZ6" i="35" l="1"/>
  <c r="BW6" i="35"/>
  <c r="BY6" i="35"/>
  <c r="CA6" i="35"/>
  <c r="CB6" i="35"/>
  <c r="Q12" i="35"/>
  <c r="BZ6" i="34"/>
  <c r="BW6" i="34"/>
  <c r="Y12" i="35"/>
  <c r="U12" i="35"/>
  <c r="I12" i="35"/>
  <c r="E12" i="35"/>
  <c r="BX14" i="14"/>
  <c r="CB14" i="14"/>
  <c r="BZ14" i="14"/>
  <c r="CA6" i="34"/>
  <c r="BX6" i="34"/>
  <c r="CB6" i="34"/>
  <c r="BW14" i="14" l="1"/>
  <c r="BY14" i="14"/>
  <c r="CA14" i="14"/>
  <c r="AB39" i="33" l="1"/>
  <c r="AA52" i="33"/>
  <c r="AB31" i="33"/>
  <c r="Y52" i="33"/>
  <c r="W39" i="33"/>
  <c r="Z18" i="33"/>
  <c r="Z52" i="33"/>
  <c r="X52" i="33"/>
  <c r="W52" i="33"/>
  <c r="Y31" i="33"/>
  <c r="AB52" i="33" l="1"/>
  <c r="AA39" i="33"/>
  <c r="AA31" i="33"/>
  <c r="AA18" i="33"/>
  <c r="AA6" i="33" s="1"/>
  <c r="AB18" i="33"/>
  <c r="AB6" i="33" s="1"/>
  <c r="AB48" i="33" s="1"/>
  <c r="AB55" i="33" s="1"/>
  <c r="Y39" i="33"/>
  <c r="W18" i="33"/>
  <c r="Z39" i="33"/>
  <c r="X18" i="33"/>
  <c r="X6" i="33" s="1"/>
  <c r="X31" i="33"/>
  <c r="Z31" i="33"/>
  <c r="Y18" i="33"/>
  <c r="Y6" i="33" s="1"/>
  <c r="X39" i="33"/>
  <c r="W31" i="33"/>
  <c r="Z6" i="33"/>
  <c r="S31" i="33"/>
  <c r="V52" i="33"/>
  <c r="T52" i="33"/>
  <c r="S52" i="33"/>
  <c r="V39" i="33"/>
  <c r="U39" i="33"/>
  <c r="T39" i="33"/>
  <c r="S39" i="33"/>
  <c r="V31" i="33"/>
  <c r="U31" i="33"/>
  <c r="S18" i="33"/>
  <c r="V18" i="33"/>
  <c r="V6" i="33" s="1"/>
  <c r="U18" i="33"/>
  <c r="T18" i="33"/>
  <c r="R39" i="33"/>
  <c r="O39" i="33"/>
  <c r="Q52" i="33"/>
  <c r="P18" i="33"/>
  <c r="Q18" i="33"/>
  <c r="P52" i="33"/>
  <c r="O52" i="33"/>
  <c r="Q39" i="33"/>
  <c r="P39" i="33"/>
  <c r="R31" i="33"/>
  <c r="Q31" i="33"/>
  <c r="P31" i="33"/>
  <c r="O31" i="33"/>
  <c r="R18" i="33"/>
  <c r="O18" i="33"/>
  <c r="M39" i="33"/>
  <c r="K52" i="33"/>
  <c r="K39" i="33"/>
  <c r="N39" i="33"/>
  <c r="K31" i="33"/>
  <c r="K18" i="33"/>
  <c r="C52" i="33"/>
  <c r="G39" i="33"/>
  <c r="C39" i="33"/>
  <c r="C31" i="33"/>
  <c r="G18" i="33"/>
  <c r="G31" i="33"/>
  <c r="N52" i="33"/>
  <c r="M52" i="33"/>
  <c r="L52" i="33"/>
  <c r="L39" i="33"/>
  <c r="N31" i="33"/>
  <c r="M31" i="33"/>
  <c r="L31" i="33"/>
  <c r="N18" i="33"/>
  <c r="M18" i="33"/>
  <c r="L18" i="33"/>
  <c r="J39" i="33"/>
  <c r="E52" i="33"/>
  <c r="E39" i="33"/>
  <c r="I31" i="33"/>
  <c r="I18" i="33"/>
  <c r="J52" i="33"/>
  <c r="G52" i="33"/>
  <c r="H39" i="33"/>
  <c r="J31" i="33"/>
  <c r="H31" i="33"/>
  <c r="J18" i="33"/>
  <c r="H18" i="33"/>
  <c r="F39" i="33"/>
  <c r="D39" i="33"/>
  <c r="E31" i="33"/>
  <c r="D31" i="33"/>
  <c r="F18" i="33"/>
  <c r="E18" i="33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W13" i="29"/>
  <c r="BX6" i="29"/>
  <c r="CA6" i="29"/>
  <c r="CB9" i="27"/>
  <c r="CA9" i="27"/>
  <c r="BZ9" i="27"/>
  <c r="BY9" i="27"/>
  <c r="BX9" i="27"/>
  <c r="BW9" i="27"/>
  <c r="CB11" i="25"/>
  <c r="CA11" i="25"/>
  <c r="BZ11" i="25"/>
  <c r="BY11" i="25"/>
  <c r="BX11" i="25"/>
  <c r="BW11" i="25"/>
  <c r="CB9" i="25"/>
  <c r="CA9" i="25"/>
  <c r="BZ9" i="25"/>
  <c r="BX9" i="25"/>
  <c r="BW9" i="25"/>
  <c r="CB7" i="25"/>
  <c r="CA7" i="25"/>
  <c r="BZ7" i="25"/>
  <c r="BY7" i="25"/>
  <c r="BY8" i="25" s="1"/>
  <c r="BX7" i="25"/>
  <c r="BW7" i="25"/>
  <c r="CC8" i="25"/>
  <c r="CC10" i="25" s="1"/>
  <c r="CB6" i="25"/>
  <c r="CA6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CB18" i="29"/>
  <c r="Z16" i="29"/>
  <c r="CB20" i="29"/>
  <c r="CB13" i="29"/>
  <c r="CB14" i="29"/>
  <c r="CB12" i="29"/>
  <c r="CB11" i="29"/>
  <c r="CB10" i="29"/>
  <c r="CB8" i="29"/>
  <c r="CB7" i="29"/>
  <c r="W16" i="29"/>
  <c r="CA14" i="29"/>
  <c r="CA12" i="29"/>
  <c r="CA20" i="29"/>
  <c r="CA18" i="29"/>
  <c r="CA17" i="29"/>
  <c r="CA13" i="29"/>
  <c r="CA11" i="29"/>
  <c r="CA10" i="29"/>
  <c r="CA8" i="29"/>
  <c r="CA7" i="29"/>
  <c r="V16" i="29"/>
  <c r="U16" i="29"/>
  <c r="T16" i="29"/>
  <c r="S16" i="29"/>
  <c r="BZ20" i="29"/>
  <c r="BZ18" i="29"/>
  <c r="BZ17" i="29"/>
  <c r="BZ13" i="29"/>
  <c r="BZ14" i="29"/>
  <c r="BZ12" i="29"/>
  <c r="BZ11" i="29"/>
  <c r="BZ10" i="29"/>
  <c r="BZ8" i="29"/>
  <c r="BZ7" i="29"/>
  <c r="R16" i="29"/>
  <c r="Q16" i="29"/>
  <c r="P16" i="29"/>
  <c r="O16" i="29"/>
  <c r="BY20" i="29"/>
  <c r="BY18" i="29"/>
  <c r="BY17" i="29"/>
  <c r="BY14" i="29"/>
  <c r="BY13" i="29"/>
  <c r="BY12" i="29"/>
  <c r="BY11" i="29"/>
  <c r="BY10" i="29"/>
  <c r="BY8" i="29"/>
  <c r="BY7" i="29"/>
  <c r="N16" i="29"/>
  <c r="M16" i="29"/>
  <c r="L16" i="29"/>
  <c r="K16" i="29"/>
  <c r="BX20" i="29"/>
  <c r="BW20" i="29"/>
  <c r="BX18" i="29"/>
  <c r="BX17" i="29"/>
  <c r="G16" i="29"/>
  <c r="BX14" i="29"/>
  <c r="BX13" i="29"/>
  <c r="BX12" i="29"/>
  <c r="BX11" i="29"/>
  <c r="BX10" i="29"/>
  <c r="BX8" i="29"/>
  <c r="BX7" i="29"/>
  <c r="J16" i="29"/>
  <c r="I16" i="29"/>
  <c r="H16" i="29"/>
  <c r="BW10" i="29"/>
  <c r="BW18" i="29"/>
  <c r="BW17" i="29"/>
  <c r="BW14" i="29"/>
  <c r="BW11" i="29"/>
  <c r="BW8" i="29"/>
  <c r="BW7" i="29"/>
  <c r="AA48" i="33" l="1"/>
  <c r="AA55" i="33" s="1"/>
  <c r="Y48" i="33"/>
  <c r="Y55" i="33" s="1"/>
  <c r="Z48" i="33"/>
  <c r="Z55" i="33" s="1"/>
  <c r="V48" i="33"/>
  <c r="V55" i="33" s="1"/>
  <c r="X48" i="33"/>
  <c r="X55" i="33" s="1"/>
  <c r="J63" i="32"/>
  <c r="X63" i="32"/>
  <c r="M6" i="33"/>
  <c r="M48" i="33" s="1"/>
  <c r="M55" i="33" s="1"/>
  <c r="H10" i="25"/>
  <c r="H12" i="25" s="1"/>
  <c r="I10" i="25"/>
  <c r="I12" i="25" s="1"/>
  <c r="Q10" i="25"/>
  <c r="Q12" i="25" s="1"/>
  <c r="Y10" i="25"/>
  <c r="Y12" i="25" s="1"/>
  <c r="F10" i="25"/>
  <c r="F12" i="25" s="1"/>
  <c r="J10" i="25"/>
  <c r="J12" i="25" s="1"/>
  <c r="N10" i="25"/>
  <c r="N12" i="25" s="1"/>
  <c r="N15" i="14" s="1"/>
  <c r="R10" i="25"/>
  <c r="R12" i="25" s="1"/>
  <c r="V10" i="25"/>
  <c r="V12" i="25" s="1"/>
  <c r="V15" i="14" s="1"/>
  <c r="Z10" i="25"/>
  <c r="Z12" i="25" s="1"/>
  <c r="X10" i="25"/>
  <c r="X12" i="25" s="1"/>
  <c r="CA8" i="25"/>
  <c r="CA10" i="25" s="1"/>
  <c r="CA12" i="25" s="1"/>
  <c r="BX8" i="25"/>
  <c r="BX10" i="25" s="1"/>
  <c r="BX12" i="25" s="1"/>
  <c r="E10" i="25"/>
  <c r="E12" i="25" s="1"/>
  <c r="E15" i="14" s="1"/>
  <c r="M10" i="25"/>
  <c r="M12" i="25" s="1"/>
  <c r="M15" i="14" s="1"/>
  <c r="U10" i="25"/>
  <c r="U12" i="25" s="1"/>
  <c r="U15" i="14" s="1"/>
  <c r="C10" i="25"/>
  <c r="C12" i="25" s="1"/>
  <c r="G10" i="25"/>
  <c r="G12" i="25" s="1"/>
  <c r="G15" i="14" s="1"/>
  <c r="K10" i="25"/>
  <c r="K12" i="25" s="1"/>
  <c r="O10" i="25"/>
  <c r="O12" i="25" s="1"/>
  <c r="S10" i="25"/>
  <c r="S12" i="25" s="1"/>
  <c r="W10" i="25"/>
  <c r="W12" i="25" s="1"/>
  <c r="W15" i="14" s="1"/>
  <c r="AA10" i="25"/>
  <c r="AA12" i="25" s="1"/>
  <c r="D10" i="25"/>
  <c r="D12" i="25" s="1"/>
  <c r="D15" i="14" s="1"/>
  <c r="L10" i="25"/>
  <c r="L12" i="25" s="1"/>
  <c r="L15" i="14" s="1"/>
  <c r="P10" i="25"/>
  <c r="P12" i="25" s="1"/>
  <c r="P15" i="14" s="1"/>
  <c r="T10" i="25"/>
  <c r="T12" i="25" s="1"/>
  <c r="T15" i="14" s="1"/>
  <c r="AB10" i="25"/>
  <c r="AB12" i="25" s="1"/>
  <c r="BW8" i="25"/>
  <c r="I27" i="32"/>
  <c r="M63" i="32"/>
  <c r="L63" i="32"/>
  <c r="K63" i="32"/>
  <c r="BX16" i="29"/>
  <c r="BX8" i="36"/>
  <c r="BX6" i="27"/>
  <c r="BW6" i="27"/>
  <c r="BY8" i="36"/>
  <c r="Q63" i="32"/>
  <c r="L6" i="33"/>
  <c r="L48" i="33" s="1"/>
  <c r="L55" i="33" s="1"/>
  <c r="U27" i="32"/>
  <c r="BZ8" i="36"/>
  <c r="T63" i="32"/>
  <c r="U6" i="33"/>
  <c r="U48" i="33" s="1"/>
  <c r="CA8" i="36"/>
  <c r="AB63" i="32"/>
  <c r="CB16" i="29"/>
  <c r="CB8" i="36"/>
  <c r="CC12" i="25"/>
  <c r="AB15" i="14"/>
  <c r="Y15" i="14"/>
  <c r="Z15" i="14"/>
  <c r="X15" i="14"/>
  <c r="R15" i="14"/>
  <c r="O15" i="14"/>
  <c r="BY10" i="25"/>
  <c r="BY12" i="25" s="1"/>
  <c r="I15" i="14"/>
  <c r="H15" i="14"/>
  <c r="J15" i="14"/>
  <c r="F15" i="14"/>
  <c r="W6" i="33"/>
  <c r="W48" i="33" s="1"/>
  <c r="W55" i="33" s="1"/>
  <c r="R6" i="33"/>
  <c r="R48" i="33" s="1"/>
  <c r="R55" i="33" s="1"/>
  <c r="U52" i="33"/>
  <c r="T31" i="33"/>
  <c r="T6" i="33"/>
  <c r="S6" i="33"/>
  <c r="S48" i="33" s="1"/>
  <c r="S55" i="33" s="1"/>
  <c r="R52" i="33"/>
  <c r="Q6" i="33"/>
  <c r="Q48" i="33" s="1"/>
  <c r="Q55" i="33" s="1"/>
  <c r="O6" i="33"/>
  <c r="O48" i="33" s="1"/>
  <c r="O55" i="33" s="1"/>
  <c r="P6" i="33"/>
  <c r="P48" i="33" s="1"/>
  <c r="P55" i="33" s="1"/>
  <c r="K6" i="33"/>
  <c r="K48" i="33" s="1"/>
  <c r="K55" i="33" s="1"/>
  <c r="N6" i="33"/>
  <c r="N48" i="33" s="1"/>
  <c r="N55" i="33" s="1"/>
  <c r="H52" i="33"/>
  <c r="I52" i="33"/>
  <c r="I39" i="33"/>
  <c r="H6" i="33"/>
  <c r="H48" i="33" s="1"/>
  <c r="J6" i="33"/>
  <c r="J48" i="33" s="1"/>
  <c r="J55" i="33" s="1"/>
  <c r="I6" i="33"/>
  <c r="I48" i="33" s="1"/>
  <c r="I55" i="33" s="1"/>
  <c r="G6" i="33"/>
  <c r="G48" i="33" s="1"/>
  <c r="G55" i="33" s="1"/>
  <c r="F52" i="33"/>
  <c r="E6" i="33"/>
  <c r="E48" i="33" s="1"/>
  <c r="E55" i="33" s="1"/>
  <c r="C18" i="33"/>
  <c r="C6" i="33" s="1"/>
  <c r="C48" i="33" s="1"/>
  <c r="C55" i="33" s="1"/>
  <c r="F6" i="33"/>
  <c r="D52" i="33"/>
  <c r="F31" i="33"/>
  <c r="D18" i="33"/>
  <c r="I63" i="32"/>
  <c r="Y63" i="32"/>
  <c r="AA63" i="32"/>
  <c r="W63" i="32"/>
  <c r="U63" i="32"/>
  <c r="N63" i="32"/>
  <c r="V63" i="32"/>
  <c r="Z63" i="32"/>
  <c r="S63" i="32"/>
  <c r="O63" i="32"/>
  <c r="R63" i="32"/>
  <c r="P63" i="32"/>
  <c r="E63" i="32"/>
  <c r="G63" i="32"/>
  <c r="H63" i="32"/>
  <c r="D63" i="32"/>
  <c r="F63" i="32"/>
  <c r="E27" i="32"/>
  <c r="P27" i="32"/>
  <c r="G27" i="32"/>
  <c r="K27" i="32"/>
  <c r="W27" i="32"/>
  <c r="H27" i="32"/>
  <c r="L27" i="32"/>
  <c r="T27" i="32"/>
  <c r="X27" i="32"/>
  <c r="C27" i="32"/>
  <c r="AB27" i="32"/>
  <c r="D27" i="32"/>
  <c r="Q27" i="32"/>
  <c r="Y27" i="32"/>
  <c r="AA27" i="32"/>
  <c r="Z27" i="32"/>
  <c r="S27" i="32"/>
  <c r="V27" i="32"/>
  <c r="R27" i="32"/>
  <c r="M27" i="32"/>
  <c r="F27" i="32"/>
  <c r="O27" i="32"/>
  <c r="N27" i="32"/>
  <c r="J27" i="32"/>
  <c r="CA16" i="29"/>
  <c r="BY16" i="29"/>
  <c r="BZ16" i="29"/>
  <c r="CB17" i="29"/>
  <c r="CC6" i="27"/>
  <c r="BY6" i="27"/>
  <c r="CA6" i="27"/>
  <c r="BZ6" i="27"/>
  <c r="CB6" i="27"/>
  <c r="BZ8" i="25"/>
  <c r="BZ10" i="25" s="1"/>
  <c r="BZ12" i="25" s="1"/>
  <c r="CB8" i="25"/>
  <c r="CB10" i="25" s="1"/>
  <c r="CB12" i="25" s="1"/>
  <c r="K9" i="29"/>
  <c r="AA9" i="29"/>
  <c r="X9" i="29"/>
  <c r="P9" i="29"/>
  <c r="U9" i="29"/>
  <c r="Q9" i="29"/>
  <c r="M9" i="29"/>
  <c r="Z9" i="29"/>
  <c r="V9" i="29"/>
  <c r="I9" i="29"/>
  <c r="J9" i="29"/>
  <c r="AB9" i="29"/>
  <c r="W9" i="29"/>
  <c r="L9" i="29"/>
  <c r="R9" i="29"/>
  <c r="N9" i="29"/>
  <c r="S9" i="29"/>
  <c r="H9" i="29"/>
  <c r="O9" i="29"/>
  <c r="Y9" i="29"/>
  <c r="G9" i="29"/>
  <c r="T9" i="29"/>
  <c r="E16" i="29"/>
  <c r="F16" i="29"/>
  <c r="C16" i="29"/>
  <c r="E9" i="29"/>
  <c r="F9" i="29"/>
  <c r="D9" i="29"/>
  <c r="D16" i="29"/>
  <c r="C9" i="29"/>
  <c r="H55" i="33" l="1"/>
  <c r="U55" i="33"/>
  <c r="T48" i="33"/>
  <c r="T55" i="33" s="1"/>
  <c r="F48" i="33"/>
  <c r="F55" i="33" s="1"/>
  <c r="BW10" i="25"/>
  <c r="CC9" i="29"/>
  <c r="BX7" i="14"/>
  <c r="BX15" i="14" s="1"/>
  <c r="CB6" i="14"/>
  <c r="CB7" i="14"/>
  <c r="CB15" i="14" s="1"/>
  <c r="BZ7" i="14"/>
  <c r="BZ15" i="14" s="1"/>
  <c r="Q15" i="14"/>
  <c r="AA15" i="14"/>
  <c r="CC15" i="14"/>
  <c r="K15" i="14"/>
  <c r="BY7" i="14"/>
  <c r="BY15" i="14" s="1"/>
  <c r="S15" i="14"/>
  <c r="CA7" i="14"/>
  <c r="CA15" i="14" s="1"/>
  <c r="C15" i="14"/>
  <c r="BW7" i="14"/>
  <c r="C9" i="14"/>
  <c r="S9" i="14"/>
  <c r="CA6" i="14"/>
  <c r="E15" i="29"/>
  <c r="E9" i="14"/>
  <c r="BW8" i="36"/>
  <c r="D15" i="29"/>
  <c r="D9" i="14"/>
  <c r="F15" i="29"/>
  <c r="J15" i="29"/>
  <c r="J9" i="14"/>
  <c r="I15" i="29"/>
  <c r="I9" i="14"/>
  <c r="H15" i="29"/>
  <c r="H9" i="14"/>
  <c r="G9" i="14"/>
  <c r="N15" i="29"/>
  <c r="N9" i="14"/>
  <c r="R15" i="29"/>
  <c r="R9" i="14"/>
  <c r="V15" i="29"/>
  <c r="V9" i="14"/>
  <c r="Z15" i="29"/>
  <c r="Z9" i="14"/>
  <c r="M15" i="29"/>
  <c r="M9" i="14"/>
  <c r="L15" i="29"/>
  <c r="L9" i="14"/>
  <c r="K9" i="14"/>
  <c r="Q15" i="29"/>
  <c r="Q9" i="14"/>
  <c r="P15" i="29"/>
  <c r="P9" i="14"/>
  <c r="O9" i="14"/>
  <c r="T15" i="29"/>
  <c r="T9" i="14"/>
  <c r="U15" i="29"/>
  <c r="Y15" i="29"/>
  <c r="Y9" i="14"/>
  <c r="X15" i="29"/>
  <c r="X9" i="14"/>
  <c r="W9" i="14"/>
  <c r="AB15" i="29"/>
  <c r="AB9" i="14"/>
  <c r="AA9" i="14"/>
  <c r="BW15" i="14"/>
  <c r="D6" i="33"/>
  <c r="D48" i="33" s="1"/>
  <c r="D55" i="33" s="1"/>
  <c r="G15" i="29"/>
  <c r="BX9" i="29"/>
  <c r="K15" i="29"/>
  <c r="BY9" i="29"/>
  <c r="O15" i="29"/>
  <c r="BZ9" i="29"/>
  <c r="BW16" i="29"/>
  <c r="S15" i="29"/>
  <c r="CA9" i="29"/>
  <c r="W15" i="29"/>
  <c r="CB9" i="29"/>
  <c r="C15" i="29"/>
  <c r="BW9" i="29"/>
  <c r="AA15" i="29"/>
  <c r="CL11" i="14" l="1"/>
  <c r="CL15" i="14"/>
  <c r="BW12" i="25"/>
  <c r="CC15" i="29"/>
  <c r="C19" i="29"/>
  <c r="C11" i="38" s="1"/>
  <c r="M19" i="29"/>
  <c r="M21" i="29" s="1"/>
  <c r="N19" i="29"/>
  <c r="N11" i="38" s="1"/>
  <c r="H19" i="29"/>
  <c r="H21" i="29" s="1"/>
  <c r="Q19" i="29"/>
  <c r="Q21" i="29" s="1"/>
  <c r="J19" i="29"/>
  <c r="J21" i="29" s="1"/>
  <c r="D19" i="29"/>
  <c r="D21" i="29" s="1"/>
  <c r="P19" i="29"/>
  <c r="P11" i="38" s="1"/>
  <c r="L19" i="29"/>
  <c r="L21" i="29" s="1"/>
  <c r="R19" i="29"/>
  <c r="R11" i="38" s="1"/>
  <c r="I19" i="29"/>
  <c r="I21" i="29" s="1"/>
  <c r="F19" i="29"/>
  <c r="F21" i="29" s="1"/>
  <c r="E19" i="29"/>
  <c r="E11" i="38" s="1"/>
  <c r="D11" i="38"/>
  <c r="BW15" i="29"/>
  <c r="BW8" i="14"/>
  <c r="F9" i="14"/>
  <c r="I11" i="38"/>
  <c r="BX8" i="14"/>
  <c r="BX9" i="14" s="1"/>
  <c r="V19" i="29"/>
  <c r="Z19" i="29"/>
  <c r="BY8" i="14"/>
  <c r="BY9" i="14" s="1"/>
  <c r="M11" i="38"/>
  <c r="BZ8" i="14"/>
  <c r="BZ9" i="14" s="1"/>
  <c r="T19" i="29"/>
  <c r="CA8" i="14"/>
  <c r="CA9" i="14" s="1"/>
  <c r="U9" i="14"/>
  <c r="U19" i="29"/>
  <c r="Y19" i="29"/>
  <c r="AB19" i="29"/>
  <c r="AB21" i="29" s="1"/>
  <c r="X19" i="29"/>
  <c r="CB8" i="14"/>
  <c r="CB9" i="14" s="1"/>
  <c r="CC9" i="14"/>
  <c r="O19" i="29"/>
  <c r="BZ15" i="29"/>
  <c r="G19" i="29"/>
  <c r="BX15" i="29"/>
  <c r="S19" i="29"/>
  <c r="S11" i="38" s="1"/>
  <c r="CA15" i="29"/>
  <c r="AA19" i="29"/>
  <c r="K19" i="29"/>
  <c r="BY15" i="29"/>
  <c r="W19" i="29"/>
  <c r="CB15" i="29"/>
  <c r="BW9" i="14" l="1"/>
  <c r="CL9" i="14"/>
  <c r="CC19" i="29"/>
  <c r="N21" i="29"/>
  <c r="H11" i="38"/>
  <c r="C21" i="29"/>
  <c r="Q11" i="38"/>
  <c r="L11" i="38"/>
  <c r="P21" i="29"/>
  <c r="E21" i="29"/>
  <c r="R21" i="29"/>
  <c r="J11" i="38"/>
  <c r="BW19" i="29"/>
  <c r="E10" i="36"/>
  <c r="E24" i="36" s="1"/>
  <c r="E13" i="14"/>
  <c r="D13" i="14"/>
  <c r="D10" i="36"/>
  <c r="D24" i="36" s="1"/>
  <c r="C10" i="36"/>
  <c r="C24" i="36" s="1"/>
  <c r="C13" i="14"/>
  <c r="J13" i="14"/>
  <c r="J10" i="36"/>
  <c r="J24" i="36" s="1"/>
  <c r="I13" i="14"/>
  <c r="I10" i="36"/>
  <c r="I24" i="36" s="1"/>
  <c r="H13" i="14"/>
  <c r="H10" i="36"/>
  <c r="H24" i="36" s="1"/>
  <c r="G11" i="38"/>
  <c r="N13" i="14"/>
  <c r="N10" i="36"/>
  <c r="N24" i="36" s="1"/>
  <c r="R10" i="36"/>
  <c r="R24" i="36" s="1"/>
  <c r="R13" i="14"/>
  <c r="V21" i="29"/>
  <c r="V11" i="38"/>
  <c r="Z21" i="29"/>
  <c r="Z11" i="38"/>
  <c r="M10" i="36"/>
  <c r="M24" i="36" s="1"/>
  <c r="M13" i="14"/>
  <c r="L13" i="14"/>
  <c r="L10" i="36"/>
  <c r="L24" i="36" s="1"/>
  <c r="K11" i="38"/>
  <c r="Q10" i="36"/>
  <c r="Q24" i="36" s="1"/>
  <c r="Q13" i="14"/>
  <c r="P10" i="36"/>
  <c r="P24" i="36" s="1"/>
  <c r="P13" i="14"/>
  <c r="BZ11" i="38"/>
  <c r="O11" i="38"/>
  <c r="T21" i="29"/>
  <c r="T11" i="38"/>
  <c r="U21" i="29"/>
  <c r="Y21" i="29"/>
  <c r="Y11" i="38"/>
  <c r="AB11" i="38"/>
  <c r="X21" i="29"/>
  <c r="X11" i="38"/>
  <c r="W11" i="38"/>
  <c r="AB10" i="36"/>
  <c r="AB24" i="36" s="1"/>
  <c r="AB13" i="14"/>
  <c r="AA11" i="38"/>
  <c r="W21" i="29"/>
  <c r="CB19" i="29"/>
  <c r="AA21" i="29"/>
  <c r="CC21" i="29" s="1"/>
  <c r="G21" i="29"/>
  <c r="BX19" i="29"/>
  <c r="K21" i="29"/>
  <c r="BY19" i="29"/>
  <c r="S21" i="29"/>
  <c r="CA19" i="29"/>
  <c r="O21" i="29"/>
  <c r="BZ19" i="29"/>
  <c r="BW21" i="29" l="1"/>
  <c r="BY11" i="38"/>
  <c r="P11" i="14"/>
  <c r="M11" i="14"/>
  <c r="I11" i="14"/>
  <c r="L11" i="14"/>
  <c r="E11" i="14"/>
  <c r="Q11" i="14"/>
  <c r="R11" i="14"/>
  <c r="H11" i="14"/>
  <c r="J11" i="14"/>
  <c r="D11" i="14"/>
  <c r="AB11" i="14"/>
  <c r="C11" i="14"/>
  <c r="N11" i="14"/>
  <c r="F11" i="38"/>
  <c r="BW12" i="14"/>
  <c r="F13" i="14"/>
  <c r="F10" i="36"/>
  <c r="BW6" i="36"/>
  <c r="BX11" i="38"/>
  <c r="BX21" i="29"/>
  <c r="V10" i="36"/>
  <c r="V24" i="36" s="1"/>
  <c r="V13" i="14"/>
  <c r="Z10" i="36"/>
  <c r="Z24" i="36" s="1"/>
  <c r="Z13" i="14"/>
  <c r="BY21" i="29"/>
  <c r="BZ21" i="29"/>
  <c r="T13" i="14"/>
  <c r="T10" i="36"/>
  <c r="T24" i="36" s="1"/>
  <c r="CA21" i="29"/>
  <c r="S13" i="14"/>
  <c r="S10" i="36"/>
  <c r="S24" i="36" s="1"/>
  <c r="CA11" i="38"/>
  <c r="U11" i="38"/>
  <c r="Y13" i="14"/>
  <c r="Y10" i="36"/>
  <c r="Y24" i="36" s="1"/>
  <c r="CB11" i="38"/>
  <c r="CC11" i="38"/>
  <c r="X10" i="36"/>
  <c r="X24" i="36" s="1"/>
  <c r="X13" i="14"/>
  <c r="CB21" i="29"/>
  <c r="C63" i="32"/>
  <c r="BW12" i="35"/>
  <c r="CC12" i="35"/>
  <c r="BY12" i="35"/>
  <c r="CA12" i="35"/>
  <c r="CB12" i="35"/>
  <c r="BX12" i="35"/>
  <c r="BW11" i="38"/>
  <c r="BW13" i="14" l="1"/>
  <c r="CL13" i="14"/>
  <c r="Y11" i="14"/>
  <c r="V11" i="14"/>
  <c r="X11" i="14"/>
  <c r="T11" i="14"/>
  <c r="S11" i="14"/>
  <c r="Z11" i="14"/>
  <c r="F24" i="36"/>
  <c r="BW10" i="36"/>
  <c r="G10" i="36"/>
  <c r="BX12" i="14"/>
  <c r="BX13" i="14" s="1"/>
  <c r="G13" i="14"/>
  <c r="BY12" i="14"/>
  <c r="BY13" i="14" s="1"/>
  <c r="K13" i="14"/>
  <c r="BY6" i="36"/>
  <c r="K10" i="36"/>
  <c r="O10" i="36"/>
  <c r="BZ6" i="36"/>
  <c r="BZ12" i="14"/>
  <c r="BZ13" i="14" s="1"/>
  <c r="O13" i="14"/>
  <c r="CA12" i="14"/>
  <c r="CA13" i="14" s="1"/>
  <c r="U13" i="14"/>
  <c r="U10" i="36"/>
  <c r="W10" i="36"/>
  <c r="CB6" i="36"/>
  <c r="CB12" i="14"/>
  <c r="CB13" i="14" s="1"/>
  <c r="W13" i="14"/>
  <c r="CC13" i="14"/>
  <c r="AA13" i="14"/>
  <c r="AA10" i="36"/>
  <c r="CC10" i="36" s="1"/>
  <c r="BW24" i="36" l="1"/>
  <c r="BW11" i="14"/>
  <c r="F11" i="14"/>
  <c r="G24" i="36"/>
  <c r="BX10" i="36"/>
  <c r="BX24" i="36" s="1"/>
  <c r="K24" i="36"/>
  <c r="BY10" i="36"/>
  <c r="BY24" i="36" s="1"/>
  <c r="BZ10" i="36"/>
  <c r="BZ24" i="36" s="1"/>
  <c r="O24" i="36"/>
  <c r="CA10" i="36"/>
  <c r="CA24" i="36" s="1"/>
  <c r="U24" i="36"/>
  <c r="W24" i="36"/>
  <c r="CB10" i="36"/>
  <c r="CB24" i="36" s="1"/>
  <c r="AA24" i="36"/>
  <c r="CC24" i="36" s="1"/>
  <c r="BX10" i="14" l="1"/>
  <c r="BX11" i="14" s="1"/>
  <c r="G11" i="14"/>
  <c r="BY10" i="14"/>
  <c r="BY11" i="14" s="1"/>
  <c r="K11" i="14"/>
  <c r="BZ10" i="14"/>
  <c r="BZ11" i="14" s="1"/>
  <c r="O11" i="14"/>
  <c r="CA10" i="14"/>
  <c r="CA11" i="14" s="1"/>
  <c r="U11" i="14"/>
  <c r="CB10" i="14"/>
  <c r="CB11" i="14" s="1"/>
  <c r="W11" i="14"/>
  <c r="CC11" i="14"/>
  <c r="AA11" i="14"/>
  <c r="BZ12" i="35"/>
  <c r="CG6" i="27" l="1"/>
  <c r="CG14" i="14"/>
  <c r="AT15" i="14"/>
  <c r="CG15" i="14" l="1"/>
  <c r="AT12" i="35" l="1"/>
  <c r="CG6" i="35"/>
  <c r="CG12" i="35" l="1"/>
  <c r="BT10" i="38"/>
  <c r="CM11" i="38" s="1"/>
  <c r="BT11" i="38" l="1"/>
  <c r="CM7" i="27"/>
  <c r="BU6" i="27"/>
  <c r="CM6" i="2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nco de dados Ferbasa versão 10102014.xlsx!Tabela9" type="102" refreshedVersion="5" minRefreshableVersion="5">
    <extLst>
      <ext xmlns:x15="http://schemas.microsoft.com/office/spreadsheetml/2010/11/main" uri="{DE250136-89BD-433C-8126-D09CA5730AF9}">
        <x15:connection id="Tabela9-653d6a5a-14a0-4e51-babb-e14735ef41c8">
          <x15:rangePr sourceName="_xlcn.WorksheetConnection_BancodedadosFerbasaversão10102014.xlsxTabela91"/>
        </x15:connection>
      </ext>
    </extLst>
  </connection>
  <connection id="3" xr16:uid="{00000000-0015-0000-FFFF-FFFF02000000}" name="WorksheetConnection_Indicadores Financeiros!$B$8:$T$27" type="102" refreshedVersion="5" minRefreshableVersion="5">
    <extLst>
      <ext xmlns:x15="http://schemas.microsoft.com/office/spreadsheetml/2010/11/main" uri="{DE250136-89BD-433C-8126-D09CA5730AF9}">
        <x15:connection id="Intervalo-0f64dcc4-98e8-49c5-a9c0-620571b6f7cc" autoDelete="1">
          <x15:rangePr sourceName="_xlcn.WorksheetConnection_IndicadoresFinanceirosB8T271"/>
        </x15:connection>
      </ext>
    </extLst>
  </connection>
</connections>
</file>

<file path=xl/sharedStrings.xml><?xml version="1.0" encoding="utf-8"?>
<sst xmlns="http://schemas.openxmlformats.org/spreadsheetml/2006/main" count="964" uniqueCount="240">
  <si>
    <t>Total</t>
  </si>
  <si>
    <t>Mercado externo</t>
  </si>
  <si>
    <t>Circulante</t>
  </si>
  <si>
    <t xml:space="preserve"> -   </t>
  </si>
  <si>
    <t>Clientes</t>
  </si>
  <si>
    <t>Estoques</t>
  </si>
  <si>
    <t>Impostos a recuperar</t>
  </si>
  <si>
    <t>Aplicações financeiras</t>
  </si>
  <si>
    <t>Outras contas a receber</t>
  </si>
  <si>
    <t>Depósitos judiciais</t>
  </si>
  <si>
    <t>Outros créditos</t>
  </si>
  <si>
    <t>Investimentos</t>
  </si>
  <si>
    <t>Imobilizado líquido/intangível</t>
  </si>
  <si>
    <t>Ativo biológico</t>
  </si>
  <si>
    <t>Lucro Bruto</t>
  </si>
  <si>
    <t>Gerais e administrativas</t>
  </si>
  <si>
    <t>Receitas financeiras</t>
  </si>
  <si>
    <t>Despesas financeiras</t>
  </si>
  <si>
    <t>Lucro operacional</t>
  </si>
  <si>
    <t>Fluxo de caixa das atividades operacionais</t>
  </si>
  <si>
    <t>Redução (aumento) no ativo devido a:</t>
  </si>
  <si>
    <t>Aumento (redução) no passivo devido a:</t>
  </si>
  <si>
    <t>Fluxo de caixa das atividades de investimentos</t>
  </si>
  <si>
    <t>Fluxo de caixa das atividades de financiamentos</t>
  </si>
  <si>
    <t>Aumento (redução) no caixa e equivalentes de caixa</t>
  </si>
  <si>
    <t>Caixa e equivalente de caixa no inicio do período</t>
  </si>
  <si>
    <t>Capex</t>
  </si>
  <si>
    <t>Indicadores Financeiros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</si>
  <si>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</si>
  <si>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</si>
  <si>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</si>
  <si>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</si>
  <si>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</si>
  <si>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</si>
  <si>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</si>
  <si>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</si>
  <si>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</si>
  <si>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</si>
  <si>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</si>
  <si>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</si>
  <si>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</si>
  <si>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</si>
  <si>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</si>
  <si>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</si>
  <si>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</si>
  <si>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</si>
  <si>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</si>
  <si>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Receita Operacional Líquida</t>
  </si>
  <si>
    <t>Margem Bruta</t>
  </si>
  <si>
    <t>EBITDA</t>
  </si>
  <si>
    <t>Margem EBITDA</t>
  </si>
  <si>
    <t>Lucro Líquido</t>
  </si>
  <si>
    <t>Margem Líquida</t>
  </si>
  <si>
    <t>Capex/ROL - %</t>
  </si>
  <si>
    <t>Receita Operacional Líquida (ROL)</t>
  </si>
  <si>
    <t>1T08</t>
  </si>
  <si>
    <t>2T08</t>
  </si>
  <si>
    <t>3T08</t>
  </si>
  <si>
    <t>4T08</t>
  </si>
  <si>
    <t>1T09</t>
  </si>
  <si>
    <t>2T09</t>
  </si>
  <si>
    <t>3T09</t>
  </si>
  <si>
    <t>4T09</t>
  </si>
  <si>
    <t>Mercado interno</t>
  </si>
  <si>
    <t>Outros</t>
  </si>
  <si>
    <t>Custo dos produtos vendidos</t>
  </si>
  <si>
    <t>Receita líquida</t>
  </si>
  <si>
    <t>Receita operacional líquida ajustada</t>
  </si>
  <si>
    <t>Receita operacional bruta (ROB)</t>
  </si>
  <si>
    <t>Vendas</t>
  </si>
  <si>
    <t>Outras receitas (despesas) operacionais</t>
  </si>
  <si>
    <t>Lucro antes do IRPJ/CSLL</t>
  </si>
  <si>
    <t>IRPJ/CSLL</t>
  </si>
  <si>
    <t>Ativo total</t>
  </si>
  <si>
    <t>Não circulante</t>
  </si>
  <si>
    <t xml:space="preserve">Aplicação financeira </t>
  </si>
  <si>
    <t>Impostos e contribuições diferidos</t>
  </si>
  <si>
    <t>Caixa e equivalentes de caixa</t>
  </si>
  <si>
    <t>Fornecedores</t>
  </si>
  <si>
    <t>Dividendos + JCP</t>
  </si>
  <si>
    <t>Outras contas a pagar</t>
  </si>
  <si>
    <t>Provisão passivo ambiental</t>
  </si>
  <si>
    <t>Provisão contingências</t>
  </si>
  <si>
    <t>Impostos e contribuições</t>
  </si>
  <si>
    <t>Capital social</t>
  </si>
  <si>
    <t>Reserva de lucros</t>
  </si>
  <si>
    <t>Ações em tesouraria</t>
  </si>
  <si>
    <t>Empréstimos e financiamentos</t>
  </si>
  <si>
    <t>Reservas de lucros - avaliação patrimonial</t>
  </si>
  <si>
    <t>Passivo total</t>
  </si>
  <si>
    <t>Lucro (prejuízo) período</t>
  </si>
  <si>
    <t>Depreciação e amortização</t>
  </si>
  <si>
    <t>Variação no ativo biológico</t>
  </si>
  <si>
    <t>Contingências</t>
  </si>
  <si>
    <t>Lucro (Prejuízo) líquido do período</t>
  </si>
  <si>
    <t>Juros e variações monetárias liquidas</t>
  </si>
  <si>
    <t>Contas a receber</t>
  </si>
  <si>
    <t>Outros ativos</t>
  </si>
  <si>
    <t>Impostos e contribuições sociais</t>
  </si>
  <si>
    <t>(Aplicação)/Resgates aplicações financeira</t>
  </si>
  <si>
    <t>Amortização de empréstimos e financiamentos</t>
  </si>
  <si>
    <t>Dividendos e Juros s/ capital próprios  pagos</t>
  </si>
  <si>
    <t>Caixa e equivalente de caixa no final do período</t>
  </si>
  <si>
    <t>(+/-) Baixa de imobilizado</t>
  </si>
  <si>
    <t>(+/-) Plano sucessório da administração</t>
  </si>
  <si>
    <t>(+/-) Resultado financeiro, líquido</t>
  </si>
  <si>
    <t>(+/-) IRPJ/CSLL</t>
  </si>
  <si>
    <t>EBITDA ajustado</t>
  </si>
  <si>
    <t>Total (MI e ME)</t>
  </si>
  <si>
    <t>Corrente</t>
  </si>
  <si>
    <t>Diferido</t>
  </si>
  <si>
    <t>Lucro antes do IRPJ e CSLL</t>
  </si>
  <si>
    <t>Alíquota efetiva %</t>
  </si>
  <si>
    <t>Lucro (Prejuízo) líquido do período não controlador</t>
  </si>
  <si>
    <t>Lucro (Prejuízo) líquido do período controlador</t>
  </si>
  <si>
    <t>Obrigações trabalhistas</t>
  </si>
  <si>
    <t>Patrimônio líquido consolidado</t>
  </si>
  <si>
    <t>Demonstração do Fluxo de Caixa Indireto</t>
  </si>
  <si>
    <t>Produção (ton)</t>
  </si>
  <si>
    <t>Vendas (ton)</t>
  </si>
  <si>
    <t xml:space="preserve"> </t>
  </si>
  <si>
    <t>INDICADORES</t>
  </si>
  <si>
    <t>INDICADORES FINANCEIROS</t>
  </si>
  <si>
    <t>RECEITA LÍQUIDA</t>
  </si>
  <si>
    <t>DEMONSTRAÇÕES</t>
  </si>
  <si>
    <t>OUTROS</t>
  </si>
  <si>
    <t>BALANÇO PATRIMONIAL</t>
  </si>
  <si>
    <t>DEMONSTRAÇÃO DO RESULTADO</t>
  </si>
  <si>
    <t>FLUXO DE CAIXA</t>
  </si>
  <si>
    <t>RECEITA LÍQUIDA POR PRODUTO</t>
  </si>
  <si>
    <t>EBITDA AJUSTADO</t>
  </si>
  <si>
    <t>ATIVO</t>
  </si>
  <si>
    <t>PASSIVO E PATRIMÔNIO LÍQUIDO</t>
  </si>
  <si>
    <t>Demonstração do Resultado</t>
  </si>
  <si>
    <t>Receita líquida por produto</t>
  </si>
  <si>
    <t>IRPJ e CSLL</t>
  </si>
  <si>
    <t>3T14</t>
  </si>
  <si>
    <t>Recompra de ações</t>
  </si>
  <si>
    <t>VENDAS (TON)</t>
  </si>
  <si>
    <t>PRODUÇÃO (TON)</t>
  </si>
  <si>
    <t>Honorários da administração e participações</t>
  </si>
  <si>
    <t>INFORMAÇÕES CONSOLIDADAS</t>
  </si>
  <si>
    <t>INFORMAÇÕES IMPORTANTES</t>
  </si>
  <si>
    <t>4T14</t>
  </si>
  <si>
    <t>(+/-) Êxito Eletrobrás</t>
  </si>
  <si>
    <t>Incentivo fiscal IRPJ (SUDENE)</t>
  </si>
  <si>
    <t>Incentivo fiscal ICMS (DESENVOLVE)</t>
  </si>
  <si>
    <t>Impostos sobre vendas</t>
  </si>
  <si>
    <t>Variação do ativo biológico</t>
  </si>
  <si>
    <t>Resultado financeiro, líquido</t>
  </si>
  <si>
    <t>Participação dos acionistas não controladores</t>
  </si>
  <si>
    <t>1T15</t>
  </si>
  <si>
    <t>Adiantamento fornecedor energia</t>
  </si>
  <si>
    <t>2T15</t>
  </si>
  <si>
    <t>3T15</t>
  </si>
  <si>
    <t>(+/-) Ressarcimento da CHESF</t>
  </si>
  <si>
    <t>4T15</t>
  </si>
  <si>
    <t>Obrigações trabalhistas e atuariais</t>
  </si>
  <si>
    <t>Dividendos/JCP a distribuir</t>
  </si>
  <si>
    <t>1T16</t>
  </si>
  <si>
    <t>Outros passivos</t>
  </si>
  <si>
    <t>2T16</t>
  </si>
  <si>
    <t>3T16</t>
  </si>
  <si>
    <t>4T16</t>
  </si>
  <si>
    <t>Ligas de Cromo</t>
  </si>
  <si>
    <t>Ligas de Silício</t>
  </si>
  <si>
    <t>Demais produtos</t>
  </si>
  <si>
    <t>(Posição no final de cada período)</t>
  </si>
  <si>
    <t xml:space="preserve">EBITDA Ajustado </t>
  </si>
  <si>
    <t>(Movimento de cada período)</t>
  </si>
  <si>
    <t>1T17</t>
  </si>
  <si>
    <t>2T17</t>
  </si>
  <si>
    <t>3T17</t>
  </si>
  <si>
    <t>Receita Bruta</t>
  </si>
  <si>
    <t>4T17</t>
  </si>
  <si>
    <t>(+/-) Provisão para contingências/outros</t>
  </si>
  <si>
    <t>1T18</t>
  </si>
  <si>
    <t>2T18</t>
  </si>
  <si>
    <t>Conta ressarcimento CCEE</t>
  </si>
  <si>
    <t>Aquisição de controladas</t>
  </si>
  <si>
    <t>3T18</t>
  </si>
  <si>
    <t>Compra vantajosa</t>
  </si>
  <si>
    <t>Integralização de capital</t>
  </si>
  <si>
    <t>(+/-) Ganho por compra vantajosa</t>
  </si>
  <si>
    <t>4T18</t>
  </si>
  <si>
    <t>Provisão para passivo ambiental</t>
  </si>
  <si>
    <t>Obrigações com aquisição de controlada</t>
  </si>
  <si>
    <t>Atualização do benefício pós-emprego</t>
  </si>
  <si>
    <t>Juros pagos</t>
  </si>
  <si>
    <t>1T19</t>
  </si>
  <si>
    <t>Arrendamentos a pagar</t>
  </si>
  <si>
    <t>2T19</t>
  </si>
  <si>
    <t>3T19</t>
  </si>
  <si>
    <t>Direito de uso</t>
  </si>
  <si>
    <t>1T20</t>
  </si>
  <si>
    <t>4T19</t>
  </si>
  <si>
    <t>Créditos de PIS e COFINS (exclusão do ICMS da base de cálculo)</t>
  </si>
  <si>
    <t>Amortização de arrendamentos</t>
  </si>
  <si>
    <t>Lucros (prejuízos) acumulados</t>
  </si>
  <si>
    <t>2T20</t>
  </si>
  <si>
    <t>Energia Eólica</t>
  </si>
  <si>
    <t>3T20</t>
  </si>
  <si>
    <t>Ferroligas</t>
  </si>
  <si>
    <t>4T20</t>
  </si>
  <si>
    <t>Receita Operacional Bruta (menos devoluções)</t>
  </si>
  <si>
    <t>(+/-) Depreciação, amortização, exaustão e mais valia</t>
  </si>
  <si>
    <t>(+/-) Efeito líquido do valor justo de ativos biológicos</t>
  </si>
  <si>
    <t>(+/-) Recuperação - Sinistros de seguros</t>
  </si>
  <si>
    <t>1T21</t>
  </si>
  <si>
    <t>2T21</t>
  </si>
  <si>
    <t>Instrumentos Financeiros Derivativos e Não Derivativos</t>
  </si>
  <si>
    <t>3T21</t>
  </si>
  <si>
    <t>4T21</t>
  </si>
  <si>
    <t>Redução de capital (minoritário)</t>
  </si>
  <si>
    <t>1T22</t>
  </si>
  <si>
    <t>(+/-) Ajuste atuarial</t>
  </si>
  <si>
    <t>2T22</t>
  </si>
  <si>
    <t>Participações nos resultados dos funcionários/ Abono</t>
  </si>
  <si>
    <t>3T22</t>
  </si>
  <si>
    <t>4T22</t>
  </si>
  <si>
    <t>1T23</t>
  </si>
  <si>
    <t>2T23</t>
  </si>
  <si>
    <t>3T23</t>
  </si>
  <si>
    <t>4T23</t>
  </si>
  <si>
    <t>Variação cambial s/ caixa e equivalentes de caixa</t>
  </si>
  <si>
    <t>Balanço Patrimonial (R$ Milhares)</t>
  </si>
  <si>
    <t>Receita Líquida (R$ Milhares)</t>
  </si>
  <si>
    <t>(+/-) Reversão de provisão desmobilização parque eólico</t>
  </si>
  <si>
    <t>1T24</t>
  </si>
  <si>
    <t>Investimento em participações</t>
  </si>
  <si>
    <t>2T24</t>
  </si>
  <si>
    <t>(+/-) Restrição geração de energia ONS</t>
  </si>
  <si>
    <t>(+/-)  Crédito tributário</t>
  </si>
  <si>
    <t>3T24</t>
  </si>
  <si>
    <t>4T24</t>
  </si>
  <si>
    <t>(+/-) Demais efeitos</t>
  </si>
  <si>
    <t>1T25</t>
  </si>
  <si>
    <t>2T25</t>
  </si>
  <si>
    <t>3T25</t>
  </si>
  <si>
    <t>DADOS PARA O VALUATION 3T25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</si>
</sst>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0%_);\(0%\)"/>
    <numFmt numFmtId="169" formatCode="_([$€-2]* #,##0.00_);_([$€-2]* \(#,##0.00\);_([$€-2]* &quot;-&quot;??_)"/>
    <numFmt numFmtId="170" formatCode="_-* #,##0\ &quot;zł&quot;_-;\-* #,##0\ &quot;zł&quot;_-;_-* &quot;-&quot;\ &quot;zł&quot;_-;_-@_-"/>
    <numFmt numFmtId="171" formatCode="_-* #,##0.00\ &quot;zł&quot;_-;\-* #,##0.00\ &quot;zł&quot;_-;_-* &quot;-&quot;??\ &quot;zł&quot;_-;_-@_-"/>
    <numFmt numFmtId="172" formatCode="_ * #,##0.00_ ;_ * \-#,##0.00_ ;_ * &quot;-&quot;??_ ;_ @_ "/>
    <numFmt numFmtId="173" formatCode="#,#00"/>
    <numFmt numFmtId="174" formatCode="%#,#00"/>
    <numFmt numFmtId="175" formatCode="#.##000"/>
    <numFmt numFmtId="176" formatCode="#,"/>
    <numFmt numFmtId="177" formatCode="#,##0.000_);\(#,##0.000\)"/>
    <numFmt numFmtId="178" formatCode="&quot;R$&quot;\ #,##0"/>
    <numFmt numFmtId="179" formatCode="&quot;$&quot;#,##0"/>
    <numFmt numFmtId="180" formatCode="_(* #,##0.0_);_(* \(#,##0.0\);_(* &quot;-&quot;??_);_(@_)"/>
    <numFmt numFmtId="181" formatCode="_-* #,##0.0_-;\-* #,##0.0_-;_-* &quot;-&quot;?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sz val="10"/>
      <name val="Helv"/>
    </font>
    <font>
      <b/>
      <sz val="10"/>
      <name val="Tahom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8"/>
      <color indexed="18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u/>
      <sz val="6"/>
      <color indexed="12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3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45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sz val="24"/>
      <color theme="3"/>
      <name val="Calibri Light"/>
      <family val="2"/>
      <scheme val="major"/>
    </font>
    <font>
      <sz val="34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sz val="13"/>
      <color theme="1"/>
      <name val="Calibri"/>
      <family val="2"/>
      <scheme val="minor"/>
    </font>
    <font>
      <sz val="26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Georgia"/>
      <family val="1"/>
    </font>
    <font>
      <sz val="9.5"/>
      <color theme="1"/>
      <name val="Verdana"/>
      <family val="2"/>
    </font>
    <font>
      <sz val="8"/>
      <color theme="1"/>
      <name val="Verdana"/>
      <family val="2"/>
    </font>
    <font>
      <b/>
      <sz val="12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5" tint="0.39991454817346722"/>
      </bottom>
      <diagonal/>
    </border>
    <border>
      <left style="thin">
        <color theme="5" tint="0.39991454817346722"/>
      </left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 style="thick">
        <color theme="5" tint="0.39991454817346722"/>
      </bottom>
      <diagonal/>
    </border>
    <border>
      <left/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/>
      <diagonal/>
    </border>
    <border>
      <left style="thin">
        <color theme="5" tint="0.39991454817346722"/>
      </left>
      <right/>
      <top/>
      <bottom style="thin">
        <color theme="5" tint="0.39988402966399123"/>
      </bottom>
      <diagonal/>
    </border>
  </borders>
  <cellStyleXfs count="40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33" borderId="10" applyAlignment="0"/>
    <xf numFmtId="37" fontId="18" fillId="34" borderId="10" applyAlignment="0"/>
    <xf numFmtId="0" fontId="20" fillId="0" borderId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10" borderId="0" applyNumberFormat="0" applyBorder="0" applyAlignment="0" applyProtection="0"/>
    <xf numFmtId="0" fontId="23" fillId="44" borderId="0" applyNumberFormat="0" applyBorder="0" applyAlignment="0" applyProtection="0"/>
    <xf numFmtId="0" fontId="23" fillId="42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1" fillId="18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1" fillId="26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8" borderId="0" applyNumberFormat="0" applyBorder="0" applyAlignment="0" applyProtection="0"/>
    <xf numFmtId="0" fontId="1" fillId="11" borderId="0" applyNumberFormat="0" applyBorder="0" applyAlignment="0" applyProtection="0"/>
    <xf numFmtId="0" fontId="23" fillId="48" borderId="0" applyNumberFormat="0" applyBorder="0" applyAlignment="0" applyProtection="0"/>
    <xf numFmtId="0" fontId="23" fillId="38" borderId="0" applyNumberFormat="0" applyBorder="0" applyAlignment="0" applyProtection="0"/>
    <xf numFmtId="0" fontId="1" fillId="15" borderId="0" applyNumberFormat="0" applyBorder="0" applyAlignment="0" applyProtection="0"/>
    <xf numFmtId="0" fontId="23" fillId="38" borderId="0" applyNumberFormat="0" applyBorder="0" applyAlignment="0" applyProtection="0"/>
    <xf numFmtId="0" fontId="23" fillId="46" borderId="0" applyNumberFormat="0" applyBorder="0" applyAlignment="0" applyProtection="0"/>
    <xf numFmtId="0" fontId="1" fillId="19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1" fillId="23" borderId="0" applyNumberFormat="0" applyBorder="0" applyAlignment="0" applyProtection="0"/>
    <xf numFmtId="0" fontId="23" fillId="48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37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0" borderId="0" applyNumberFormat="0" applyBorder="0" applyAlignment="0" applyProtection="0"/>
    <xf numFmtId="0" fontId="17" fillId="12" borderId="0" applyNumberFormat="0" applyBorder="0" applyAlignment="0" applyProtection="0"/>
    <xf numFmtId="0" fontId="24" fillId="50" borderId="0" applyNumberFormat="0" applyBorder="0" applyAlignment="0" applyProtection="0"/>
    <xf numFmtId="0" fontId="24" fillId="38" borderId="0" applyNumberFormat="0" applyBorder="0" applyAlignment="0" applyProtection="0"/>
    <xf numFmtId="0" fontId="17" fillId="1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7" fillId="20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17" fillId="24" borderId="0" applyNumberFormat="0" applyBorder="0" applyAlignment="0" applyProtection="0"/>
    <xf numFmtId="0" fontId="24" fillId="48" borderId="0" applyNumberFormat="0" applyBorder="0" applyAlignment="0" applyProtection="0"/>
    <xf numFmtId="0" fontId="24" fillId="50" borderId="0" applyNumberFormat="0" applyBorder="0" applyAlignment="0" applyProtection="0"/>
    <xf numFmtId="0" fontId="17" fillId="28" borderId="0" applyNumberFormat="0" applyBorder="0" applyAlignment="0" applyProtection="0"/>
    <xf numFmtId="0" fontId="24" fillId="50" borderId="0" applyNumberFormat="0" applyBorder="0" applyAlignment="0" applyProtection="0"/>
    <xf numFmtId="0" fontId="24" fillId="42" borderId="0" applyNumberFormat="0" applyBorder="0" applyAlignment="0" applyProtection="0"/>
    <xf numFmtId="0" fontId="17" fillId="32" borderId="0" applyNumberFormat="0" applyBorder="0" applyAlignment="0" applyProtection="0"/>
    <xf numFmtId="0" fontId="24" fillId="42" borderId="0" applyNumberFormat="0" applyBorder="0" applyAlignment="0" applyProtection="0"/>
    <xf numFmtId="0" fontId="24" fillId="51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41" borderId="0" applyNumberFormat="0" applyBorder="0" applyAlignment="0" applyProtection="0"/>
    <xf numFmtId="0" fontId="25" fillId="39" borderId="0" applyNumberFormat="0" applyBorder="0" applyAlignment="0" applyProtection="0"/>
    <xf numFmtId="0" fontId="6" fillId="2" borderId="0" applyNumberFormat="0" applyBorder="0" applyAlignment="0" applyProtection="0"/>
    <xf numFmtId="0" fontId="25" fillId="39" borderId="0" applyNumberFormat="0" applyBorder="0" applyAlignment="0" applyProtection="0"/>
    <xf numFmtId="0" fontId="52" fillId="44" borderId="11" applyNumberFormat="0" applyAlignment="0" applyProtection="0"/>
    <xf numFmtId="0" fontId="26" fillId="44" borderId="11" applyNumberFormat="0" applyAlignment="0" applyProtection="0"/>
    <xf numFmtId="0" fontId="11" fillId="6" borderId="4" applyNumberFormat="0" applyAlignment="0" applyProtection="0"/>
    <xf numFmtId="0" fontId="26" fillId="44" borderId="11" applyNumberFormat="0" applyAlignment="0" applyProtection="0"/>
    <xf numFmtId="0" fontId="27" fillId="55" borderId="12" applyNumberFormat="0" applyAlignment="0" applyProtection="0"/>
    <xf numFmtId="0" fontId="13" fillId="7" borderId="7" applyNumberFormat="0" applyAlignment="0" applyProtection="0"/>
    <xf numFmtId="0" fontId="27" fillId="55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7" fillId="55" borderId="12" applyNumberFormat="0" applyAlignment="0" applyProtection="0"/>
    <xf numFmtId="0" fontId="29" fillId="0" borderId="14">
      <alignment horizontal="center"/>
    </xf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0" fontId="30" fillId="56" borderId="0" applyNumberFormat="0" applyFont="0" applyFill="0" applyBorder="0" applyProtection="0">
      <alignment horizontal="left"/>
    </xf>
    <xf numFmtId="0" fontId="48" fillId="0" borderId="0">
      <protection locked="0"/>
    </xf>
    <xf numFmtId="0" fontId="24" fillId="50" borderId="0" applyNumberFormat="0" applyBorder="0" applyAlignment="0" applyProtection="0"/>
    <xf numFmtId="0" fontId="17" fillId="9" borderId="0" applyNumberFormat="0" applyBorder="0" applyAlignment="0" applyProtection="0"/>
    <xf numFmtId="0" fontId="24" fillId="50" borderId="0" applyNumberFormat="0" applyBorder="0" applyAlignment="0" applyProtection="0"/>
    <xf numFmtId="0" fontId="24" fillId="52" borderId="0" applyNumberFormat="0" applyBorder="0" applyAlignment="0" applyProtection="0"/>
    <xf numFmtId="0" fontId="17" fillId="13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17" fillId="17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21" borderId="0" applyNumberFormat="0" applyBorder="0" applyAlignment="0" applyProtection="0"/>
    <xf numFmtId="0" fontId="24" fillId="54" borderId="0" applyNumberFormat="0" applyBorder="0" applyAlignment="0" applyProtection="0"/>
    <xf numFmtId="0" fontId="24" fillId="50" borderId="0" applyNumberFormat="0" applyBorder="0" applyAlignment="0" applyProtection="0"/>
    <xf numFmtId="0" fontId="17" fillId="25" borderId="0" applyNumberFormat="0" applyBorder="0" applyAlignment="0" applyProtection="0"/>
    <xf numFmtId="0" fontId="24" fillId="50" borderId="0" applyNumberFormat="0" applyBorder="0" applyAlignment="0" applyProtection="0"/>
    <xf numFmtId="0" fontId="24" fillId="49" borderId="0" applyNumberFormat="0" applyBorder="0" applyAlignment="0" applyProtection="0"/>
    <xf numFmtId="0" fontId="17" fillId="29" borderId="0" applyNumberFormat="0" applyBorder="0" applyAlignment="0" applyProtection="0"/>
    <xf numFmtId="0" fontId="24" fillId="49" borderId="0" applyNumberFormat="0" applyBorder="0" applyAlignment="0" applyProtection="0"/>
    <xf numFmtId="0" fontId="31" fillId="42" borderId="11" applyNumberFormat="0" applyAlignment="0" applyProtection="0"/>
    <xf numFmtId="0" fontId="9" fillId="5" borderId="4" applyNumberFormat="0" applyAlignment="0" applyProtection="0"/>
    <xf numFmtId="0" fontId="31" fillId="42" borderId="11" applyNumberFormat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48" fillId="0" borderId="0">
      <protection locked="0"/>
    </xf>
    <xf numFmtId="0" fontId="25" fillId="39" borderId="0" applyNumberFormat="0" applyBorder="0" applyAlignment="0" applyProtection="0"/>
    <xf numFmtId="0" fontId="25" fillId="43" borderId="0" applyNumberFormat="0" applyBorder="0" applyAlignment="0" applyProtection="0"/>
    <xf numFmtId="37" fontId="30" fillId="57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37" fontId="30" fillId="57" borderId="15">
      <alignment horizontal="center"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0" fontId="32" fillId="37" borderId="0" applyNumberFormat="0" applyBorder="0" applyAlignment="0" applyProtection="0"/>
    <xf numFmtId="0" fontId="33" fillId="58" borderId="0">
      <alignment horizontal="left" wrapText="1" indent="2"/>
    </xf>
    <xf numFmtId="0" fontId="31" fillId="42" borderId="11" applyNumberFormat="0" applyAlignment="0" applyProtection="0"/>
    <xf numFmtId="0" fontId="31" fillId="46" borderId="11" applyNumberFormat="0" applyAlignment="0" applyProtection="0"/>
    <xf numFmtId="0" fontId="28" fillId="0" borderId="13" applyNumberFormat="0" applyFill="0" applyAlignment="0" applyProtection="0"/>
    <xf numFmtId="0" fontId="39" fillId="0" borderId="20" applyNumberFormat="0" applyFill="0" applyAlignment="0" applyProtection="0"/>
    <xf numFmtId="0" fontId="34" fillId="46" borderId="0" applyNumberFormat="0" applyBorder="0" applyAlignment="0" applyProtection="0"/>
    <xf numFmtId="0" fontId="8" fillId="4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40" borderId="21" applyNumberFormat="0" applyFont="0" applyAlignment="0" applyProtection="0"/>
    <xf numFmtId="0" fontId="1" fillId="8" borderId="8" applyNumberFormat="0" applyFont="0" applyAlignment="0" applyProtection="0"/>
    <xf numFmtId="0" fontId="20" fillId="40" borderId="21" applyNumberFormat="0" applyFont="0" applyAlignment="0" applyProtection="0"/>
    <xf numFmtId="0" fontId="23" fillId="40" borderId="21" applyNumberFormat="0" applyFont="0" applyAlignment="0" applyProtection="0"/>
    <xf numFmtId="0" fontId="23" fillId="40" borderId="21" applyNumberFormat="0" applyFont="0" applyAlignment="0" applyProtection="0"/>
    <xf numFmtId="0" fontId="20" fillId="40" borderId="21" applyNumberFormat="0" applyFont="0" applyAlignment="0" applyProtection="0"/>
    <xf numFmtId="0" fontId="36" fillId="44" borderId="22" applyNumberFormat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4" fontId="48" fillId="0" borderId="0">
      <protection locked="0"/>
    </xf>
    <xf numFmtId="175" fontId="48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6" fillId="44" borderId="22" applyNumberFormat="0" applyAlignment="0" applyProtection="0"/>
    <xf numFmtId="0" fontId="10" fillId="6" borderId="5" applyNumberFormat="0" applyAlignment="0" applyProtection="0"/>
    <xf numFmtId="0" fontId="36" fillId="44" borderId="22" applyNumberFormat="0" applyAlignment="0" applyProtection="0"/>
    <xf numFmtId="176" fontId="49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/>
    <xf numFmtId="0" fontId="37" fillId="0" borderId="0"/>
    <xf numFmtId="0" fontId="38" fillId="58" borderId="0">
      <alignment wrapText="1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Fill="0" applyBorder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3" fillId="0" borderId="1" applyNumberFormat="0" applyFill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" fillId="0" borderId="2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5" fillId="0" borderId="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50" fillId="0" borderId="0">
      <protection locked="0"/>
    </xf>
    <xf numFmtId="176" fontId="50" fillId="0" borderId="0">
      <protection locked="0"/>
    </xf>
    <xf numFmtId="0" fontId="45" fillId="0" borderId="25" applyNumberFormat="0" applyFill="0" applyAlignment="0" applyProtection="0"/>
    <xf numFmtId="0" fontId="16" fillId="0" borderId="9" applyNumberFormat="0" applyFill="0" applyAlignment="0" applyProtection="0"/>
    <xf numFmtId="0" fontId="45" fillId="0" borderId="25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8" fontId="46" fillId="0" borderId="0" applyNumberForma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57" fillId="59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horizontal="left" indent="2"/>
    </xf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8">
    <xf numFmtId="0" fontId="0" fillId="0" borderId="0" xfId="0"/>
    <xf numFmtId="43" fontId="0" fillId="0" borderId="0" xfId="35" applyFont="1"/>
    <xf numFmtId="165" fontId="0" fillId="0" borderId="0" xfId="35" applyNumberFormat="1" applyFont="1"/>
    <xf numFmtId="0" fontId="0" fillId="0" borderId="0" xfId="0" applyAlignment="1">
      <alignment horizontal="left" indent="1"/>
    </xf>
    <xf numFmtId="166" fontId="0" fillId="0" borderId="0" xfId="36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3" fillId="33" borderId="10" xfId="37"/>
    <xf numFmtId="0" fontId="13" fillId="33" borderId="10" xfId="37" applyAlignment="1">
      <alignment horizontal="center"/>
    </xf>
    <xf numFmtId="37" fontId="18" fillId="34" borderId="10" xfId="38"/>
    <xf numFmtId="0" fontId="13" fillId="33" borderId="10" xfId="37" applyAlignment="1">
      <alignment horizontal="center" vertical="center"/>
    </xf>
    <xf numFmtId="0" fontId="13" fillId="33" borderId="10" xfId="37" applyAlignment="1">
      <alignment horizontal="left"/>
    </xf>
    <xf numFmtId="165" fontId="18" fillId="34" borderId="10" xfId="35" applyNumberFormat="1" applyFont="1" applyFill="1" applyBorder="1"/>
    <xf numFmtId="37" fontId="18" fillId="34" borderId="10" xfId="38" applyAlignment="1">
      <alignment horizontal="left" indent="1"/>
    </xf>
    <xf numFmtId="167" fontId="0" fillId="0" borderId="0" xfId="35" applyNumberFormat="1" applyFont="1"/>
    <xf numFmtId="3" fontId="0" fillId="0" borderId="0" xfId="0" applyNumberFormat="1"/>
    <xf numFmtId="165" fontId="0" fillId="0" borderId="0" xfId="0" applyNumberFormat="1"/>
    <xf numFmtId="165" fontId="0" fillId="0" borderId="0" xfId="35" applyNumberFormat="1" applyFont="1" applyAlignment="1">
      <alignment horizontal="right"/>
    </xf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5" fontId="0" fillId="0" borderId="0" xfId="35" applyNumberFormat="1" applyFont="1" applyFill="1"/>
    <xf numFmtId="9" fontId="0" fillId="0" borderId="0" xfId="36" applyFont="1"/>
    <xf numFmtId="0" fontId="19" fillId="0" borderId="0" xfId="217" applyFont="1" applyAlignment="1">
      <alignment vertical="center"/>
    </xf>
    <xf numFmtId="165" fontId="19" fillId="0" borderId="0" xfId="378" applyNumberFormat="1" applyFont="1" applyFill="1" applyBorder="1" applyAlignment="1">
      <alignment vertical="center"/>
    </xf>
    <xf numFmtId="3" fontId="19" fillId="0" borderId="0" xfId="217" applyNumberFormat="1" applyFont="1" applyAlignment="1">
      <alignment vertical="center"/>
    </xf>
    <xf numFmtId="165" fontId="20" fillId="0" borderId="0" xfId="400" applyNumberFormat="1" applyFont="1" applyFill="1"/>
    <xf numFmtId="0" fontId="20" fillId="0" borderId="0" xfId="200" applyAlignment="1">
      <alignment horizontal="center"/>
    </xf>
    <xf numFmtId="0" fontId="20" fillId="0" borderId="0" xfId="200"/>
    <xf numFmtId="165" fontId="19" fillId="0" borderId="0" xfId="379" applyNumberFormat="1" applyFont="1" applyFill="1" applyBorder="1" applyAlignment="1">
      <alignment vertical="center"/>
    </xf>
    <xf numFmtId="37" fontId="55" fillId="0" borderId="10" xfId="38" applyFont="1" applyFill="1"/>
    <xf numFmtId="0" fontId="56" fillId="0" borderId="0" xfId="0" applyFont="1"/>
    <xf numFmtId="0" fontId="57" fillId="60" borderId="0" xfId="401" applyFill="1"/>
    <xf numFmtId="0" fontId="57" fillId="60" borderId="0" xfId="401" applyFill="1" applyAlignment="1">
      <alignment horizontal="left" indent="1"/>
    </xf>
    <xf numFmtId="0" fontId="66" fillId="60" borderId="0" xfId="401" applyFont="1" applyFill="1" applyAlignment="1">
      <alignment horizontal="left" indent="4"/>
    </xf>
    <xf numFmtId="0" fontId="57" fillId="60" borderId="26" xfId="401" applyFill="1" applyBorder="1"/>
    <xf numFmtId="178" fontId="60" fillId="60" borderId="0" xfId="401" applyNumberFormat="1" applyFont="1" applyFill="1" applyAlignment="1">
      <alignment horizontal="center"/>
    </xf>
    <xf numFmtId="179" fontId="61" fillId="60" borderId="0" xfId="401" applyNumberFormat="1" applyFont="1" applyFill="1" applyAlignment="1">
      <alignment horizontal="center"/>
    </xf>
    <xf numFmtId="178" fontId="62" fillId="60" borderId="0" xfId="401" applyNumberFormat="1" applyFont="1" applyFill="1" applyAlignment="1">
      <alignment horizontal="center"/>
    </xf>
    <xf numFmtId="0" fontId="64" fillId="60" borderId="0" xfId="401" applyFont="1" applyFill="1" applyAlignment="1">
      <alignment horizontal="center"/>
    </xf>
    <xf numFmtId="0" fontId="65" fillId="60" borderId="0" xfId="405" applyFill="1" applyBorder="1" applyAlignment="1">
      <alignment horizontal="left" vertical="center" indent="5"/>
    </xf>
    <xf numFmtId="0" fontId="68" fillId="60" borderId="0" xfId="403" applyFont="1" applyFill="1" applyBorder="1" applyAlignment="1">
      <alignment horizontal="left" indent="1"/>
    </xf>
    <xf numFmtId="0" fontId="55" fillId="60" borderId="0" xfId="405" applyFont="1" applyFill="1" applyBorder="1" applyAlignment="1">
      <alignment horizontal="left" vertical="center" indent="4"/>
    </xf>
    <xf numFmtId="0" fontId="69" fillId="0" borderId="0" xfId="0" applyFont="1"/>
    <xf numFmtId="0" fontId="70" fillId="60" borderId="0" xfId="403" applyFont="1" applyFill="1" applyBorder="1" applyAlignment="1">
      <alignment horizontal="left" indent="1"/>
    </xf>
    <xf numFmtId="43" fontId="0" fillId="0" borderId="0" xfId="35" applyFont="1" applyFill="1" applyBorder="1"/>
    <xf numFmtId="0" fontId="67" fillId="60" borderId="29" xfId="402" applyFont="1" applyFill="1" applyBorder="1" applyAlignment="1">
      <alignment horizontal="left" vertical="center" indent="1"/>
    </xf>
    <xf numFmtId="0" fontId="57" fillId="60" borderId="30" xfId="401" applyFill="1" applyBorder="1"/>
    <xf numFmtId="0" fontId="57" fillId="60" borderId="28" xfId="401" applyFill="1" applyBorder="1"/>
    <xf numFmtId="0" fontId="16" fillId="0" borderId="0" xfId="0" applyFont="1" applyAlignment="1">
      <alignment horizontal="right"/>
    </xf>
    <xf numFmtId="165" fontId="16" fillId="0" borderId="0" xfId="35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  <xf numFmtId="0" fontId="71" fillId="60" borderId="0" xfId="403" applyFont="1" applyFill="1" applyBorder="1" applyAlignment="1">
      <alignment horizontal="right" vertical="center"/>
    </xf>
    <xf numFmtId="0" fontId="0" fillId="61" borderId="0" xfId="0" applyFill="1"/>
    <xf numFmtId="165" fontId="16" fillId="0" borderId="0" xfId="35" applyNumberFormat="1" applyFont="1"/>
    <xf numFmtId="167" fontId="0" fillId="0" borderId="0" xfId="35" applyNumberFormat="1" applyFont="1" applyFill="1"/>
    <xf numFmtId="0" fontId="72" fillId="60" borderId="0" xfId="406" applyFill="1" applyBorder="1" applyAlignment="1">
      <alignment horizontal="left" vertical="center" indent="4"/>
    </xf>
    <xf numFmtId="165" fontId="18" fillId="34" borderId="0" xfId="35" applyNumberFormat="1" applyFont="1" applyFill="1" applyBorder="1"/>
    <xf numFmtId="165" fontId="55" fillId="0" borderId="0" xfId="35" applyNumberFormat="1" applyFont="1" applyFill="1"/>
    <xf numFmtId="37" fontId="0" fillId="0" borderId="0" xfId="0" applyNumberFormat="1" applyAlignment="1">
      <alignment horizontal="right"/>
    </xf>
    <xf numFmtId="165" fontId="14" fillId="0" borderId="0" xfId="0" applyNumberFormat="1" applyFont="1"/>
    <xf numFmtId="165" fontId="55" fillId="0" borderId="0" xfId="35" applyNumberFormat="1" applyFont="1"/>
    <xf numFmtId="165" fontId="55" fillId="0" borderId="0" xfId="0" applyNumberFormat="1" applyFont="1"/>
    <xf numFmtId="0" fontId="73" fillId="0" borderId="0" xfId="0" applyFont="1"/>
    <xf numFmtId="3" fontId="74" fillId="0" borderId="0" xfId="0" applyNumberFormat="1" applyFont="1"/>
    <xf numFmtId="0" fontId="75" fillId="62" borderId="0" xfId="0" applyFont="1" applyFill="1" applyAlignment="1">
      <alignment vertical="center"/>
    </xf>
    <xf numFmtId="3" fontId="75" fillId="62" borderId="0" xfId="0" applyNumberFormat="1" applyFont="1" applyFill="1" applyAlignment="1">
      <alignment horizontal="right" vertical="center"/>
    </xf>
    <xf numFmtId="0" fontId="76" fillId="62" borderId="0" xfId="0" applyFont="1" applyFill="1" applyAlignment="1">
      <alignment vertical="center"/>
    </xf>
    <xf numFmtId="3" fontId="77" fillId="0" borderId="0" xfId="0" applyNumberFormat="1" applyFont="1"/>
    <xf numFmtId="165" fontId="0" fillId="0" borderId="0" xfId="35" applyNumberFormat="1" applyFont="1" applyBorder="1"/>
    <xf numFmtId="165" fontId="0" fillId="0" borderId="0" xfId="35" applyNumberFormat="1" applyFont="1" applyFill="1" applyBorder="1"/>
    <xf numFmtId="165" fontId="0" fillId="0" borderId="0" xfId="35" applyNumberFormat="1" applyFont="1" applyFill="1" applyAlignment="1">
      <alignment horizontal="right"/>
    </xf>
    <xf numFmtId="167" fontId="0" fillId="0" borderId="0" xfId="0" applyNumberFormat="1"/>
    <xf numFmtId="165" fontId="0" fillId="63" borderId="0" xfId="0" applyNumberFormat="1" applyFill="1"/>
    <xf numFmtId="0" fontId="0" fillId="63" borderId="0" xfId="0" applyFill="1"/>
    <xf numFmtId="0" fontId="0" fillId="63" borderId="0" xfId="0" applyFill="1" applyAlignment="1">
      <alignment horizontal="center"/>
    </xf>
    <xf numFmtId="0" fontId="13" fillId="63" borderId="0" xfId="37" applyFill="1" applyBorder="1" applyAlignment="1">
      <alignment horizontal="center"/>
    </xf>
    <xf numFmtId="165" fontId="18" fillId="63" borderId="0" xfId="35" applyNumberFormat="1" applyFont="1" applyFill="1" applyBorder="1"/>
    <xf numFmtId="165" fontId="55" fillId="63" borderId="0" xfId="35" applyNumberFormat="1" applyFont="1" applyFill="1" applyBorder="1"/>
    <xf numFmtId="165" fontId="55" fillId="63" borderId="0" xfId="0" applyNumberFormat="1" applyFont="1" applyFill="1"/>
    <xf numFmtId="165" fontId="16" fillId="0" borderId="0" xfId="35" applyNumberFormat="1" applyFont="1" applyFill="1"/>
    <xf numFmtId="180" fontId="0" fillId="0" borderId="0" xfId="0" applyNumberFormat="1"/>
    <xf numFmtId="3" fontId="78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10" fontId="0" fillId="0" borderId="0" xfId="36" applyNumberFormat="1" applyFont="1"/>
    <xf numFmtId="166" fontId="0" fillId="0" borderId="0" xfId="36" applyNumberFormat="1" applyFont="1" applyFill="1"/>
    <xf numFmtId="43" fontId="0" fillId="63" borderId="0" xfId="35" applyFont="1" applyFill="1" applyBorder="1"/>
    <xf numFmtId="43" fontId="0" fillId="63" borderId="0" xfId="0" applyNumberFormat="1" applyFill="1"/>
    <xf numFmtId="164" fontId="0" fillId="0" borderId="0" xfId="0" applyNumberFormat="1"/>
    <xf numFmtId="165" fontId="16" fillId="34" borderId="0" xfId="35" applyNumberFormat="1" applyFont="1" applyFill="1"/>
    <xf numFmtId="165" fontId="0" fillId="63" borderId="0" xfId="35" applyNumberFormat="1" applyFont="1" applyFill="1"/>
    <xf numFmtId="181" fontId="0" fillId="0" borderId="0" xfId="0" applyNumberFormat="1"/>
    <xf numFmtId="180" fontId="0" fillId="0" borderId="0" xfId="35" applyNumberFormat="1" applyFont="1" applyFill="1" applyBorder="1"/>
    <xf numFmtId="165" fontId="55" fillId="63" borderId="0" xfId="35" applyNumberFormat="1" applyFont="1" applyFill="1"/>
    <xf numFmtId="165" fontId="0" fillId="63" borderId="0" xfId="35" applyNumberFormat="1" applyFont="1" applyFill="1" applyBorder="1"/>
    <xf numFmtId="43" fontId="0" fillId="63" borderId="0" xfId="35" applyFont="1" applyFill="1"/>
    <xf numFmtId="165" fontId="16" fillId="63" borderId="0" xfId="35" applyNumberFormat="1" applyFont="1" applyFill="1"/>
    <xf numFmtId="165" fontId="18" fillId="34" borderId="10" xfId="38" applyNumberFormat="1"/>
    <xf numFmtId="37" fontId="55" fillId="34" borderId="10" xfId="38" applyFont="1"/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67" fontId="0" fillId="63" borderId="0" xfId="35" applyNumberFormat="1" applyFont="1" applyFill="1"/>
    <xf numFmtId="41" fontId="55" fillId="0" borderId="0" xfId="212" applyNumberFormat="1" applyFont="1"/>
    <xf numFmtId="0" fontId="55" fillId="0" borderId="0" xfId="212" applyFont="1"/>
    <xf numFmtId="41" fontId="55" fillId="0" borderId="0" xfId="218" applyNumberFormat="1" applyFont="1"/>
    <xf numFmtId="1" fontId="0" fillId="0" borderId="0" xfId="0" applyNumberFormat="1"/>
    <xf numFmtId="41" fontId="0" fillId="0" borderId="0" xfId="0" applyNumberFormat="1"/>
    <xf numFmtId="41" fontId="55" fillId="63" borderId="0" xfId="212" applyNumberFormat="1" applyFont="1" applyFill="1"/>
    <xf numFmtId="0" fontId="79" fillId="60" borderId="31" xfId="401" applyFont="1" applyFill="1" applyBorder="1" applyAlignment="1">
      <alignment horizontal="right" vertical="center" indent="1"/>
    </xf>
    <xf numFmtId="0" fontId="80" fillId="60" borderId="27" xfId="403" applyFont="1" applyFill="1" applyBorder="1" applyAlignment="1">
      <alignment horizontal="right" vertical="center" indent="1"/>
    </xf>
    <xf numFmtId="3" fontId="0" fillId="63" borderId="0" xfId="0" applyNumberFormat="1" applyFill="1"/>
    <xf numFmtId="165" fontId="55" fillId="63" borderId="0" xfId="217" applyNumberFormat="1" applyFont="1" applyFill="1" applyAlignment="1">
      <alignment horizontal="right"/>
    </xf>
    <xf numFmtId="165" fontId="81" fillId="63" borderId="0" xfId="217" applyNumberFormat="1" applyFont="1" applyFill="1" applyAlignment="1">
      <alignment horizontal="right"/>
    </xf>
    <xf numFmtId="165" fontId="55" fillId="0" borderId="0" xfId="217" applyNumberFormat="1" applyFont="1" applyAlignment="1">
      <alignment horizontal="right"/>
    </xf>
    <xf numFmtId="165" fontId="81" fillId="0" borderId="0" xfId="217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</cellXfs>
  <cellStyles count="409">
    <cellStyle name="20% - Accent1" xfId="12" xr:uid="{00000000-0005-0000-0000-000000000000}"/>
    <cellStyle name="20% - Accent1 2" xfId="40" xr:uid="{00000000-0005-0000-0000-000001000000}"/>
    <cellStyle name="20% - Accent1 3" xfId="41" xr:uid="{00000000-0005-0000-0000-000002000000}"/>
    <cellStyle name="20% - Accent2" xfId="16" xr:uid="{00000000-0005-0000-0000-000003000000}"/>
    <cellStyle name="20% - Accent2 2" xfId="42" xr:uid="{00000000-0005-0000-0000-000004000000}"/>
    <cellStyle name="20% - Accent2 3" xfId="43" xr:uid="{00000000-0005-0000-0000-000005000000}"/>
    <cellStyle name="20% - Accent3" xfId="20" xr:uid="{00000000-0005-0000-0000-000006000000}"/>
    <cellStyle name="20% - Accent3 2" xfId="44" xr:uid="{00000000-0005-0000-0000-000007000000}"/>
    <cellStyle name="20% - Accent3 3" xfId="45" xr:uid="{00000000-0005-0000-0000-000008000000}"/>
    <cellStyle name="20% - Accent4" xfId="24" xr:uid="{00000000-0005-0000-0000-000009000000}"/>
    <cellStyle name="20% - Accent4 2" xfId="46" xr:uid="{00000000-0005-0000-0000-00000A000000}"/>
    <cellStyle name="20% - Accent4 3" xfId="47" xr:uid="{00000000-0005-0000-0000-00000B000000}"/>
    <cellStyle name="20% - Accent5" xfId="28" xr:uid="{00000000-0005-0000-0000-00000C000000}"/>
    <cellStyle name="20% - Accent5 2" xfId="48" xr:uid="{00000000-0005-0000-0000-00000D000000}"/>
    <cellStyle name="20% - Accent6" xfId="32" xr:uid="{00000000-0005-0000-0000-00000E000000}"/>
    <cellStyle name="20% - Accent6 2" xfId="49" xr:uid="{00000000-0005-0000-0000-00000F000000}"/>
    <cellStyle name="20% - Accent6 3" xfId="50" xr:uid="{00000000-0005-0000-0000-000010000000}"/>
    <cellStyle name="20% - Ênfase1 2" xfId="52" xr:uid="{00000000-0005-0000-0000-000011000000}"/>
    <cellStyle name="20% - Ênfase1 2 2" xfId="53" xr:uid="{00000000-0005-0000-0000-000012000000}"/>
    <cellStyle name="20% - Ênfase1 3" xfId="51" xr:uid="{00000000-0005-0000-0000-000013000000}"/>
    <cellStyle name="20% - Ênfase2 2" xfId="55" xr:uid="{00000000-0005-0000-0000-000014000000}"/>
    <cellStyle name="20% - Ênfase2 2 2" xfId="56" xr:uid="{00000000-0005-0000-0000-000015000000}"/>
    <cellStyle name="20% - Ênfase2 3" xfId="54" xr:uid="{00000000-0005-0000-0000-000016000000}"/>
    <cellStyle name="20% - Ênfase3 2" xfId="58" xr:uid="{00000000-0005-0000-0000-000017000000}"/>
    <cellStyle name="20% - Ênfase3 2 2" xfId="59" xr:uid="{00000000-0005-0000-0000-000018000000}"/>
    <cellStyle name="20% - Ênfase3 3" xfId="57" xr:uid="{00000000-0005-0000-0000-000019000000}"/>
    <cellStyle name="20% - Ênfase4 2" xfId="61" xr:uid="{00000000-0005-0000-0000-00001A000000}"/>
    <cellStyle name="20% - Ênfase4 2 2" xfId="62" xr:uid="{00000000-0005-0000-0000-00001B000000}"/>
    <cellStyle name="20% - Ênfase4 3" xfId="60" xr:uid="{00000000-0005-0000-0000-00001C000000}"/>
    <cellStyle name="20% - Ênfase5 2" xfId="64" xr:uid="{00000000-0005-0000-0000-00001D000000}"/>
    <cellStyle name="20% - Ênfase5 2 2" xfId="65" xr:uid="{00000000-0005-0000-0000-00001E000000}"/>
    <cellStyle name="20% - Ênfase5 3" xfId="63" xr:uid="{00000000-0005-0000-0000-00001F000000}"/>
    <cellStyle name="20% - Ênfase6 2" xfId="67" xr:uid="{00000000-0005-0000-0000-000020000000}"/>
    <cellStyle name="20% - Ênfase6 2 2" xfId="68" xr:uid="{00000000-0005-0000-0000-000021000000}"/>
    <cellStyle name="20% - Ênfase6 3" xfId="66" xr:uid="{00000000-0005-0000-0000-000022000000}"/>
    <cellStyle name="40% - Accent1" xfId="13" xr:uid="{00000000-0005-0000-0000-000023000000}"/>
    <cellStyle name="40% - Accent1 2" xfId="69" xr:uid="{00000000-0005-0000-0000-000024000000}"/>
    <cellStyle name="40% - Accent1 3" xfId="70" xr:uid="{00000000-0005-0000-0000-000025000000}"/>
    <cellStyle name="40% - Accent2" xfId="17" xr:uid="{00000000-0005-0000-0000-000026000000}"/>
    <cellStyle name="40% - Accent2 2" xfId="71" xr:uid="{00000000-0005-0000-0000-000027000000}"/>
    <cellStyle name="40% - Accent3" xfId="21" xr:uid="{00000000-0005-0000-0000-000028000000}"/>
    <cellStyle name="40% - Accent3 2" xfId="72" xr:uid="{00000000-0005-0000-0000-000029000000}"/>
    <cellStyle name="40% - Accent3 3" xfId="73" xr:uid="{00000000-0005-0000-0000-00002A000000}"/>
    <cellStyle name="40% - Accent4" xfId="25" xr:uid="{00000000-0005-0000-0000-00002B000000}"/>
    <cellStyle name="40% - Accent4 2" xfId="74" xr:uid="{00000000-0005-0000-0000-00002C000000}"/>
    <cellStyle name="40% - Accent4 3" xfId="75" xr:uid="{00000000-0005-0000-0000-00002D000000}"/>
    <cellStyle name="40% - Accent5" xfId="29" xr:uid="{00000000-0005-0000-0000-00002E000000}"/>
    <cellStyle name="40% - Accent5 2" xfId="76" xr:uid="{00000000-0005-0000-0000-00002F000000}"/>
    <cellStyle name="40% - Accent5 3" xfId="77" xr:uid="{00000000-0005-0000-0000-000030000000}"/>
    <cellStyle name="40% - Accent6" xfId="33" xr:uid="{00000000-0005-0000-0000-000031000000}"/>
    <cellStyle name="40% - Accent6 2" xfId="78" xr:uid="{00000000-0005-0000-0000-000032000000}"/>
    <cellStyle name="40% - Accent6 3" xfId="79" xr:uid="{00000000-0005-0000-0000-000033000000}"/>
    <cellStyle name="40% - Ênfase1 2" xfId="81" xr:uid="{00000000-0005-0000-0000-000034000000}"/>
    <cellStyle name="40% - Ênfase1 2 2" xfId="82" xr:uid="{00000000-0005-0000-0000-000035000000}"/>
    <cellStyle name="40% - Ênfase1 3" xfId="80" xr:uid="{00000000-0005-0000-0000-000036000000}"/>
    <cellStyle name="40% - Ênfase2 2" xfId="84" xr:uid="{00000000-0005-0000-0000-000037000000}"/>
    <cellStyle name="40% - Ênfase2 2 2" xfId="85" xr:uid="{00000000-0005-0000-0000-000038000000}"/>
    <cellStyle name="40% - Ênfase2 3" xfId="83" xr:uid="{00000000-0005-0000-0000-000039000000}"/>
    <cellStyle name="40% - Ênfase3 2" xfId="87" xr:uid="{00000000-0005-0000-0000-00003A000000}"/>
    <cellStyle name="40% - Ênfase3 2 2" xfId="88" xr:uid="{00000000-0005-0000-0000-00003B000000}"/>
    <cellStyle name="40% - Ênfase3 3" xfId="86" xr:uid="{00000000-0005-0000-0000-00003C000000}"/>
    <cellStyle name="40% - Ênfase4 2" xfId="90" xr:uid="{00000000-0005-0000-0000-00003D000000}"/>
    <cellStyle name="40% - Ênfase4 2 2" xfId="91" xr:uid="{00000000-0005-0000-0000-00003E000000}"/>
    <cellStyle name="40% - Ênfase4 3" xfId="89" xr:uid="{00000000-0005-0000-0000-00003F000000}"/>
    <cellStyle name="40% - Ênfase5 2" xfId="93" xr:uid="{00000000-0005-0000-0000-000040000000}"/>
    <cellStyle name="40% - Ênfase5 2 2" xfId="94" xr:uid="{00000000-0005-0000-0000-000041000000}"/>
    <cellStyle name="40% - Ênfase5 3" xfId="92" xr:uid="{00000000-0005-0000-0000-000042000000}"/>
    <cellStyle name="40% - Ênfase6 2" xfId="96" xr:uid="{00000000-0005-0000-0000-000043000000}"/>
    <cellStyle name="40% - Ênfase6 2 2" xfId="97" xr:uid="{00000000-0005-0000-0000-000044000000}"/>
    <cellStyle name="40% - Ênfase6 3" xfId="95" xr:uid="{00000000-0005-0000-0000-000045000000}"/>
    <cellStyle name="60% - Accent1" xfId="14" xr:uid="{00000000-0005-0000-0000-000046000000}"/>
    <cellStyle name="60% - Accent1 2" xfId="98" xr:uid="{00000000-0005-0000-0000-000047000000}"/>
    <cellStyle name="60% - Accent2" xfId="18" xr:uid="{00000000-0005-0000-0000-000048000000}"/>
    <cellStyle name="60% - Accent2 2" xfId="99" xr:uid="{00000000-0005-0000-0000-000049000000}"/>
    <cellStyle name="60% - Accent3" xfId="22" xr:uid="{00000000-0005-0000-0000-00004A000000}"/>
    <cellStyle name="60% - Accent3 2" xfId="100" xr:uid="{00000000-0005-0000-0000-00004B000000}"/>
    <cellStyle name="60% - Accent4" xfId="26" xr:uid="{00000000-0005-0000-0000-00004C000000}"/>
    <cellStyle name="60% - Accent4 2" xfId="101" xr:uid="{00000000-0005-0000-0000-00004D000000}"/>
    <cellStyle name="60% - Accent5" xfId="30" xr:uid="{00000000-0005-0000-0000-00004E000000}"/>
    <cellStyle name="60% - Accent5 2" xfId="102" xr:uid="{00000000-0005-0000-0000-00004F000000}"/>
    <cellStyle name="60% - Accent6" xfId="34" xr:uid="{00000000-0005-0000-0000-000050000000}"/>
    <cellStyle name="60% - Accent6 2" xfId="103" xr:uid="{00000000-0005-0000-0000-000051000000}"/>
    <cellStyle name="60% - Ênfase1 2" xfId="105" xr:uid="{00000000-0005-0000-0000-000052000000}"/>
    <cellStyle name="60% - Ênfase1 2 2" xfId="106" xr:uid="{00000000-0005-0000-0000-000053000000}"/>
    <cellStyle name="60% - Ênfase1 3" xfId="104" xr:uid="{00000000-0005-0000-0000-000054000000}"/>
    <cellStyle name="60% - Ênfase2 2" xfId="108" xr:uid="{00000000-0005-0000-0000-000055000000}"/>
    <cellStyle name="60% - Ênfase2 2 2" xfId="109" xr:uid="{00000000-0005-0000-0000-000056000000}"/>
    <cellStyle name="60% - Ênfase2 3" xfId="107" xr:uid="{00000000-0005-0000-0000-000057000000}"/>
    <cellStyle name="60% - Ênfase3 2" xfId="111" xr:uid="{00000000-0005-0000-0000-000058000000}"/>
    <cellStyle name="60% - Ênfase3 2 2" xfId="112" xr:uid="{00000000-0005-0000-0000-000059000000}"/>
    <cellStyle name="60% - Ênfase3 3" xfId="110" xr:uid="{00000000-0005-0000-0000-00005A000000}"/>
    <cellStyle name="60% - Ênfase4 2" xfId="114" xr:uid="{00000000-0005-0000-0000-00005B000000}"/>
    <cellStyle name="60% - Ênfase4 2 2" xfId="115" xr:uid="{00000000-0005-0000-0000-00005C000000}"/>
    <cellStyle name="60% - Ênfase4 3" xfId="113" xr:uid="{00000000-0005-0000-0000-00005D000000}"/>
    <cellStyle name="60% - Ênfase5 2" xfId="117" xr:uid="{00000000-0005-0000-0000-00005E000000}"/>
    <cellStyle name="60% - Ênfase5 2 2" xfId="118" xr:uid="{00000000-0005-0000-0000-00005F000000}"/>
    <cellStyle name="60% - Ênfase5 3" xfId="116" xr:uid="{00000000-0005-0000-0000-000060000000}"/>
    <cellStyle name="60% - Ênfase6 2" xfId="120" xr:uid="{00000000-0005-0000-0000-000061000000}"/>
    <cellStyle name="60% - Ênfase6 2 2" xfId="121" xr:uid="{00000000-0005-0000-0000-000062000000}"/>
    <cellStyle name="60% - Ênfase6 3" xfId="119" xr:uid="{00000000-0005-0000-0000-000063000000}"/>
    <cellStyle name="Accent1" xfId="11" xr:uid="{00000000-0005-0000-0000-000064000000}"/>
    <cellStyle name="Accent1 2" xfId="122" xr:uid="{00000000-0005-0000-0000-000065000000}"/>
    <cellStyle name="Accent2" xfId="15" xr:uid="{00000000-0005-0000-0000-000066000000}"/>
    <cellStyle name="Accent2 2" xfId="123" xr:uid="{00000000-0005-0000-0000-000067000000}"/>
    <cellStyle name="Accent3" xfId="19" xr:uid="{00000000-0005-0000-0000-000068000000}"/>
    <cellStyle name="Accent3 2" xfId="124" xr:uid="{00000000-0005-0000-0000-000069000000}"/>
    <cellStyle name="Accent4" xfId="23" xr:uid="{00000000-0005-0000-0000-00006A000000}"/>
    <cellStyle name="Accent4 2" xfId="125" xr:uid="{00000000-0005-0000-0000-00006B000000}"/>
    <cellStyle name="Accent5" xfId="27" xr:uid="{00000000-0005-0000-0000-00006C000000}"/>
    <cellStyle name="Accent6" xfId="31" xr:uid="{00000000-0005-0000-0000-00006D000000}"/>
    <cellStyle name="Accent6 2" xfId="126" xr:uid="{00000000-0005-0000-0000-00006E000000}"/>
    <cellStyle name="AFE" xfId="127" xr:uid="{00000000-0005-0000-0000-00006F000000}"/>
    <cellStyle name="AFE 2" xfId="128" xr:uid="{00000000-0005-0000-0000-000070000000}"/>
    <cellStyle name="AFE 2 2" xfId="129" xr:uid="{00000000-0005-0000-0000-000071000000}"/>
    <cellStyle name="Bad" xfId="6" xr:uid="{00000000-0005-0000-0000-000072000000}"/>
    <cellStyle name="Bad 2" xfId="130" xr:uid="{00000000-0005-0000-0000-000073000000}"/>
    <cellStyle name="Bom" xfId="175" builtinId="26" customBuiltin="1"/>
    <cellStyle name="Bom 2" xfId="132" xr:uid="{00000000-0005-0000-0000-000075000000}"/>
    <cellStyle name="Bom 2 2" xfId="133" xr:uid="{00000000-0005-0000-0000-000076000000}"/>
    <cellStyle name="Bom 3" xfId="131" xr:uid="{00000000-0005-0000-0000-000077000000}"/>
    <cellStyle name="Calculation" xfId="8" xr:uid="{00000000-0005-0000-0000-000078000000}"/>
    <cellStyle name="Calculation 2" xfId="134" xr:uid="{00000000-0005-0000-0000-000079000000}"/>
    <cellStyle name="Cálculo 2" xfId="136" xr:uid="{00000000-0005-0000-0000-00007A000000}"/>
    <cellStyle name="Cálculo 2 2" xfId="137" xr:uid="{00000000-0005-0000-0000-00007B000000}"/>
    <cellStyle name="Cálculo 3" xfId="135" xr:uid="{00000000-0005-0000-0000-00007C000000}"/>
    <cellStyle name="Célula de Verificação" xfId="144" builtinId="23" customBuiltin="1"/>
    <cellStyle name="Célula de Verificação 2" xfId="139" xr:uid="{00000000-0005-0000-0000-00007E000000}"/>
    <cellStyle name="Célula de Verificação 2 2" xfId="140" xr:uid="{00000000-0005-0000-0000-00007F000000}"/>
    <cellStyle name="Célula de Verificação 3" xfId="138" xr:uid="{00000000-0005-0000-0000-000080000000}"/>
    <cellStyle name="Célula Vinculada" xfId="193" builtinId="24" customBuiltin="1"/>
    <cellStyle name="Célula Vinculada 2" xfId="142" xr:uid="{00000000-0005-0000-0000-000082000000}"/>
    <cellStyle name="Célula Vinculada 2 2" xfId="143" xr:uid="{00000000-0005-0000-0000-000083000000}"/>
    <cellStyle name="Célula Vinculada 3" xfId="141" xr:uid="{00000000-0005-0000-0000-000084000000}"/>
    <cellStyle name="Column_Title" xfId="145" xr:uid="{00000000-0005-0000-0000-000085000000}"/>
    <cellStyle name="Comma 2" xfId="146" xr:uid="{00000000-0005-0000-0000-000086000000}"/>
    <cellStyle name="Comma 3" xfId="147" xr:uid="{00000000-0005-0000-0000-000087000000}"/>
    <cellStyle name="Comma_Relatorio Ferbasa" xfId="407" xr:uid="{50E9D830-AA3F-4B90-BD25-0E97DFB396C4}"/>
    <cellStyle name="Comma_Worksheet in (C) 5640 Imobilizado Combined Leadsheet" xfId="400" xr:uid="{00000000-0005-0000-0000-000088000000}"/>
    <cellStyle name="Dan" xfId="148" xr:uid="{00000000-0005-0000-0000-000089000000}"/>
    <cellStyle name="Data" xfId="149" xr:uid="{00000000-0005-0000-0000-00008A000000}"/>
    <cellStyle name="Ênfase1 2" xfId="151" xr:uid="{00000000-0005-0000-0000-00008B000000}"/>
    <cellStyle name="Ênfase1 2 2" xfId="152" xr:uid="{00000000-0005-0000-0000-00008C000000}"/>
    <cellStyle name="Ênfase1 3" xfId="150" xr:uid="{00000000-0005-0000-0000-00008D000000}"/>
    <cellStyle name="Ênfase2 2" xfId="154" xr:uid="{00000000-0005-0000-0000-00008E000000}"/>
    <cellStyle name="Ênfase2 2 2" xfId="155" xr:uid="{00000000-0005-0000-0000-00008F000000}"/>
    <cellStyle name="Ênfase2 3" xfId="153" xr:uid="{00000000-0005-0000-0000-000090000000}"/>
    <cellStyle name="Ênfase3 2" xfId="157" xr:uid="{00000000-0005-0000-0000-000091000000}"/>
    <cellStyle name="Ênfase3 2 2" xfId="158" xr:uid="{00000000-0005-0000-0000-000092000000}"/>
    <cellStyle name="Ênfase3 3" xfId="156" xr:uid="{00000000-0005-0000-0000-000093000000}"/>
    <cellStyle name="Ênfase4 2" xfId="160" xr:uid="{00000000-0005-0000-0000-000094000000}"/>
    <cellStyle name="Ênfase4 2 2" xfId="161" xr:uid="{00000000-0005-0000-0000-000095000000}"/>
    <cellStyle name="Ênfase4 3" xfId="159" xr:uid="{00000000-0005-0000-0000-000096000000}"/>
    <cellStyle name="Ênfase5 2" xfId="163" xr:uid="{00000000-0005-0000-0000-000097000000}"/>
    <cellStyle name="Ênfase5 2 2" xfId="164" xr:uid="{00000000-0005-0000-0000-000098000000}"/>
    <cellStyle name="Ênfase5 3" xfId="162" xr:uid="{00000000-0005-0000-0000-000099000000}"/>
    <cellStyle name="Ênfase6 2" xfId="166" xr:uid="{00000000-0005-0000-0000-00009A000000}"/>
    <cellStyle name="Ênfase6 2 2" xfId="167" xr:uid="{00000000-0005-0000-0000-00009B000000}"/>
    <cellStyle name="Ênfase6 3" xfId="165" xr:uid="{00000000-0005-0000-0000-00009C000000}"/>
    <cellStyle name="Entrada" xfId="191" builtinId="20" customBuiltin="1"/>
    <cellStyle name="Entrada 2" xfId="169" xr:uid="{00000000-0005-0000-0000-00009E000000}"/>
    <cellStyle name="Entrada 2 2" xfId="170" xr:uid="{00000000-0005-0000-0000-00009F000000}"/>
    <cellStyle name="Entrada 3" xfId="168" xr:uid="{00000000-0005-0000-0000-0000A0000000}"/>
    <cellStyle name="Euro" xfId="171" xr:uid="{00000000-0005-0000-0000-0000A1000000}"/>
    <cellStyle name="Euro 2" xfId="172" xr:uid="{00000000-0005-0000-0000-0000A2000000}"/>
    <cellStyle name="Euro 2 2" xfId="173" xr:uid="{00000000-0005-0000-0000-0000A3000000}"/>
    <cellStyle name="Explanatory Text" xfId="9" xr:uid="{00000000-0005-0000-0000-0000A4000000}"/>
    <cellStyle name="Fixo" xfId="174" xr:uid="{00000000-0005-0000-0000-0000A5000000}"/>
    <cellStyle name="Good 2" xfId="176" xr:uid="{00000000-0005-0000-0000-0000A6000000}"/>
    <cellStyle name="Heading" xfId="177" xr:uid="{00000000-0005-0000-0000-0000A7000000}"/>
    <cellStyle name="Heading 1" xfId="2" xr:uid="{00000000-0005-0000-0000-0000A8000000}"/>
    <cellStyle name="Heading 1 2" xfId="178" xr:uid="{00000000-0005-0000-0000-0000A9000000}"/>
    <cellStyle name="Heading 2" xfId="3" xr:uid="{00000000-0005-0000-0000-0000AA000000}"/>
    <cellStyle name="Heading 2 2" xfId="179" xr:uid="{00000000-0005-0000-0000-0000AB000000}"/>
    <cellStyle name="Heading 3" xfId="4" xr:uid="{00000000-0005-0000-0000-0000AC000000}"/>
    <cellStyle name="Heading 3 2" xfId="180" xr:uid="{00000000-0005-0000-0000-0000AD000000}"/>
    <cellStyle name="Heading 4" xfId="5" xr:uid="{00000000-0005-0000-0000-0000AE000000}"/>
    <cellStyle name="Heading 4 2" xfId="181" xr:uid="{00000000-0005-0000-0000-0000AF000000}"/>
    <cellStyle name="Heading_DRE Gerencial Mar 12" xfId="182" xr:uid="{00000000-0005-0000-0000-0000B0000000}"/>
    <cellStyle name="Hiperlink" xfId="406" builtinId="8"/>
    <cellStyle name="Hiperlink 2" xfId="183" xr:uid="{00000000-0005-0000-0000-0000B2000000}"/>
    <cellStyle name="Hiperlink 3" xfId="184" xr:uid="{00000000-0005-0000-0000-0000B3000000}"/>
    <cellStyle name="Hiperlink 4" xfId="185" xr:uid="{00000000-0005-0000-0000-0000B4000000}"/>
    <cellStyle name="Hyperlink 2" xfId="186" xr:uid="{00000000-0005-0000-0000-0000B5000000}"/>
    <cellStyle name="Incorreto 2" xfId="188" xr:uid="{00000000-0005-0000-0000-0000B6000000}"/>
    <cellStyle name="Incorreto 2 2" xfId="189" xr:uid="{00000000-0005-0000-0000-0000B7000000}"/>
    <cellStyle name="Incorreto 3" xfId="187" xr:uid="{00000000-0005-0000-0000-0000B8000000}"/>
    <cellStyle name="Indent" xfId="190" xr:uid="{00000000-0005-0000-0000-0000B9000000}"/>
    <cellStyle name="Input 2" xfId="192" xr:uid="{00000000-0005-0000-0000-0000BA000000}"/>
    <cellStyle name="Linked Cell 2" xfId="194" xr:uid="{00000000-0005-0000-0000-0000BB000000}"/>
    <cellStyle name="Neutra 2" xfId="196" xr:uid="{00000000-0005-0000-0000-0000BD000000}"/>
    <cellStyle name="Neutra 2 2" xfId="197" xr:uid="{00000000-0005-0000-0000-0000BE000000}"/>
    <cellStyle name="Neutra 3" xfId="195" xr:uid="{00000000-0005-0000-0000-0000BF000000}"/>
    <cellStyle name="Neutral 2" xfId="199" xr:uid="{00000000-0005-0000-0000-0000C0000000}"/>
    <cellStyle name="Neutro" xfId="198" builtinId="28" customBuiltin="1"/>
    <cellStyle name="Normal" xfId="0" builtinId="0"/>
    <cellStyle name="Normal 10" xfId="200" xr:uid="{00000000-0005-0000-0000-0000C2000000}"/>
    <cellStyle name="Normal 10 2" xfId="201" xr:uid="{00000000-0005-0000-0000-0000C3000000}"/>
    <cellStyle name="Normal 10 3" xfId="202" xr:uid="{00000000-0005-0000-0000-0000C4000000}"/>
    <cellStyle name="Normal 11" xfId="203" xr:uid="{00000000-0005-0000-0000-0000C5000000}"/>
    <cellStyle name="Normal 11 2" xfId="204" xr:uid="{00000000-0005-0000-0000-0000C6000000}"/>
    <cellStyle name="Normal 12" xfId="205" xr:uid="{00000000-0005-0000-0000-0000C7000000}"/>
    <cellStyle name="Normal 12 2" xfId="206" xr:uid="{00000000-0005-0000-0000-0000C8000000}"/>
    <cellStyle name="Normal 13" xfId="207" xr:uid="{00000000-0005-0000-0000-0000C9000000}"/>
    <cellStyle name="Normal 13 2" xfId="208" xr:uid="{00000000-0005-0000-0000-0000CA000000}"/>
    <cellStyle name="Normal 13 3" xfId="209" xr:uid="{00000000-0005-0000-0000-0000CB000000}"/>
    <cellStyle name="Normal 14" xfId="210" xr:uid="{00000000-0005-0000-0000-0000CC000000}"/>
    <cellStyle name="Normal 15" xfId="211" xr:uid="{00000000-0005-0000-0000-0000CD000000}"/>
    <cellStyle name="Normal 16" xfId="39" xr:uid="{00000000-0005-0000-0000-0000CE000000}"/>
    <cellStyle name="Normal 17" xfId="401" xr:uid="{00000000-0005-0000-0000-0000CF000000}"/>
    <cellStyle name="Normal 2" xfId="212" xr:uid="{00000000-0005-0000-0000-0000D0000000}"/>
    <cellStyle name="Normal 2 2" xfId="213" xr:uid="{00000000-0005-0000-0000-0000D1000000}"/>
    <cellStyle name="Normal 2 2 2" xfId="214" xr:uid="{00000000-0005-0000-0000-0000D2000000}"/>
    <cellStyle name="Normal 2 3" xfId="215" xr:uid="{00000000-0005-0000-0000-0000D3000000}"/>
    <cellStyle name="Normal 2_DRE Gerencial Mar 12" xfId="216" xr:uid="{00000000-0005-0000-0000-0000D4000000}"/>
    <cellStyle name="Normal 3" xfId="217" xr:uid="{00000000-0005-0000-0000-0000D5000000}"/>
    <cellStyle name="Normal 3 2" xfId="218" xr:uid="{00000000-0005-0000-0000-0000D6000000}"/>
    <cellStyle name="Normal 3 3" xfId="219" xr:uid="{00000000-0005-0000-0000-0000D7000000}"/>
    <cellStyle name="Normal 4" xfId="220" xr:uid="{00000000-0005-0000-0000-0000D8000000}"/>
    <cellStyle name="Normal 4 2" xfId="221" xr:uid="{00000000-0005-0000-0000-0000D9000000}"/>
    <cellStyle name="Normal 4 2 2" xfId="222" xr:uid="{00000000-0005-0000-0000-0000DA000000}"/>
    <cellStyle name="Normal 5" xfId="223" xr:uid="{00000000-0005-0000-0000-0000DB000000}"/>
    <cellStyle name="Normal 5 2" xfId="224" xr:uid="{00000000-0005-0000-0000-0000DC000000}"/>
    <cellStyle name="Normal 5 3" xfId="225" xr:uid="{00000000-0005-0000-0000-0000DD000000}"/>
    <cellStyle name="Normal 6" xfId="226" xr:uid="{00000000-0005-0000-0000-0000DE000000}"/>
    <cellStyle name="Normal 6 2" xfId="227" xr:uid="{00000000-0005-0000-0000-0000DF000000}"/>
    <cellStyle name="Normal 6 3" xfId="228" xr:uid="{00000000-0005-0000-0000-0000E0000000}"/>
    <cellStyle name="Normal 7" xfId="229" xr:uid="{00000000-0005-0000-0000-0000E1000000}"/>
    <cellStyle name="Normal 7 2" xfId="230" xr:uid="{00000000-0005-0000-0000-0000E2000000}"/>
    <cellStyle name="Normal 7 3" xfId="231" xr:uid="{00000000-0005-0000-0000-0000E3000000}"/>
    <cellStyle name="Normal 8" xfId="232" xr:uid="{00000000-0005-0000-0000-0000E4000000}"/>
    <cellStyle name="Normal 8 2" xfId="233" xr:uid="{00000000-0005-0000-0000-0000E5000000}"/>
    <cellStyle name="Normal 9" xfId="234" xr:uid="{00000000-0005-0000-0000-0000E6000000}"/>
    <cellStyle name="Normal 9 2" xfId="235" xr:uid="{00000000-0005-0000-0000-0000E7000000}"/>
    <cellStyle name="Normalny_laroux" xfId="236" xr:uid="{00000000-0005-0000-0000-0000E8000000}"/>
    <cellStyle name="Nota" xfId="240" builtinId="10" customBuiltin="1"/>
    <cellStyle name="Nota 2" xfId="238" xr:uid="{00000000-0005-0000-0000-0000EA000000}"/>
    <cellStyle name="Nota 2 2" xfId="239" xr:uid="{00000000-0005-0000-0000-0000EB000000}"/>
    <cellStyle name="Nota 3" xfId="237" xr:uid="{00000000-0005-0000-0000-0000EC000000}"/>
    <cellStyle name="Note 2" xfId="241" xr:uid="{00000000-0005-0000-0000-0000ED000000}"/>
    <cellStyle name="Note 3" xfId="242" xr:uid="{00000000-0005-0000-0000-0000EE000000}"/>
    <cellStyle name="Output" xfId="7" xr:uid="{00000000-0005-0000-0000-0000EF000000}"/>
    <cellStyle name="Output 2" xfId="243" xr:uid="{00000000-0005-0000-0000-0000F0000000}"/>
    <cellStyle name="Percent (0)" xfId="244" xr:uid="{00000000-0005-0000-0000-0000F1000000}"/>
    <cellStyle name="Percent (0) 2" xfId="245" xr:uid="{00000000-0005-0000-0000-0000F2000000}"/>
    <cellStyle name="Percent (0) 2 2" xfId="246" xr:uid="{00000000-0005-0000-0000-0000F3000000}"/>
    <cellStyle name="Percent 2" xfId="247" xr:uid="{00000000-0005-0000-0000-0000F4000000}"/>
    <cellStyle name="Percentual" xfId="248" xr:uid="{00000000-0005-0000-0000-0000F5000000}"/>
    <cellStyle name="Ponto" xfId="249" xr:uid="{00000000-0005-0000-0000-0000F6000000}"/>
    <cellStyle name="Porcentagem" xfId="36" builtinId="5"/>
    <cellStyle name="Porcentagem 10" xfId="251" xr:uid="{00000000-0005-0000-0000-0000F8000000}"/>
    <cellStyle name="Porcentagem 10 2" xfId="252" xr:uid="{00000000-0005-0000-0000-0000F9000000}"/>
    <cellStyle name="Porcentagem 11" xfId="253" xr:uid="{00000000-0005-0000-0000-0000FA000000}"/>
    <cellStyle name="Porcentagem 11 2" xfId="254" xr:uid="{00000000-0005-0000-0000-0000FB000000}"/>
    <cellStyle name="Porcentagem 12" xfId="255" xr:uid="{00000000-0005-0000-0000-0000FC000000}"/>
    <cellStyle name="Porcentagem 13" xfId="256" xr:uid="{00000000-0005-0000-0000-0000FD000000}"/>
    <cellStyle name="Porcentagem 13 2" xfId="257" xr:uid="{00000000-0005-0000-0000-0000FE000000}"/>
    <cellStyle name="Porcentagem 14" xfId="258" xr:uid="{00000000-0005-0000-0000-0000FF000000}"/>
    <cellStyle name="Porcentagem 15" xfId="259" xr:uid="{00000000-0005-0000-0000-000000010000}"/>
    <cellStyle name="Porcentagem 15 2" xfId="260" xr:uid="{00000000-0005-0000-0000-000001010000}"/>
    <cellStyle name="Porcentagem 15 3" xfId="261" xr:uid="{00000000-0005-0000-0000-000002010000}"/>
    <cellStyle name="Porcentagem 16" xfId="262" xr:uid="{00000000-0005-0000-0000-000003010000}"/>
    <cellStyle name="Porcentagem 17" xfId="263" xr:uid="{00000000-0005-0000-0000-000004010000}"/>
    <cellStyle name="Porcentagem 18" xfId="250" xr:uid="{00000000-0005-0000-0000-000005010000}"/>
    <cellStyle name="Porcentagem 2" xfId="264" xr:uid="{00000000-0005-0000-0000-000006010000}"/>
    <cellStyle name="Porcentagem 2 2" xfId="265" xr:uid="{00000000-0005-0000-0000-000007010000}"/>
    <cellStyle name="Porcentagem 3" xfId="266" xr:uid="{00000000-0005-0000-0000-000008010000}"/>
    <cellStyle name="Porcentagem 3 2" xfId="267" xr:uid="{00000000-0005-0000-0000-000009010000}"/>
    <cellStyle name="Porcentagem 3 2 2" xfId="268" xr:uid="{00000000-0005-0000-0000-00000A010000}"/>
    <cellStyle name="Porcentagem 3 3" xfId="269" xr:uid="{00000000-0005-0000-0000-00000B010000}"/>
    <cellStyle name="Porcentagem 3 3 2" xfId="270" xr:uid="{00000000-0005-0000-0000-00000C010000}"/>
    <cellStyle name="Porcentagem 3 4" xfId="271" xr:uid="{00000000-0005-0000-0000-00000D010000}"/>
    <cellStyle name="Porcentagem 4" xfId="272" xr:uid="{00000000-0005-0000-0000-00000E010000}"/>
    <cellStyle name="Porcentagem 4 2" xfId="273" xr:uid="{00000000-0005-0000-0000-00000F010000}"/>
    <cellStyle name="Porcentagem 5" xfId="274" xr:uid="{00000000-0005-0000-0000-000010010000}"/>
    <cellStyle name="Porcentagem 5 2" xfId="275" xr:uid="{00000000-0005-0000-0000-000011010000}"/>
    <cellStyle name="Porcentagem 6" xfId="276" xr:uid="{00000000-0005-0000-0000-000012010000}"/>
    <cellStyle name="Porcentagem 7" xfId="277" xr:uid="{00000000-0005-0000-0000-000013010000}"/>
    <cellStyle name="Porcentagem 7 2" xfId="278" xr:uid="{00000000-0005-0000-0000-000014010000}"/>
    <cellStyle name="Porcentagem 8" xfId="279" xr:uid="{00000000-0005-0000-0000-000015010000}"/>
    <cellStyle name="Porcentagem 9" xfId="280" xr:uid="{00000000-0005-0000-0000-000016010000}"/>
    <cellStyle name="Porcentagem 9 2" xfId="281" xr:uid="{00000000-0005-0000-0000-000017010000}"/>
    <cellStyle name="Saída 2" xfId="283" xr:uid="{00000000-0005-0000-0000-000018010000}"/>
    <cellStyle name="Saída 2 2" xfId="284" xr:uid="{00000000-0005-0000-0000-000019010000}"/>
    <cellStyle name="Saída 3" xfId="282" xr:uid="{00000000-0005-0000-0000-00001A010000}"/>
    <cellStyle name="Separador de m" xfId="285" xr:uid="{00000000-0005-0000-0000-00001B010000}"/>
    <cellStyle name="Separador de milhares 10" xfId="286" xr:uid="{00000000-0005-0000-0000-00001C010000}"/>
    <cellStyle name="Separador de milhares 10 2" xfId="287" xr:uid="{00000000-0005-0000-0000-00001D010000}"/>
    <cellStyle name="Separador de milhares 11" xfId="288" xr:uid="{00000000-0005-0000-0000-00001E010000}"/>
    <cellStyle name="Separador de milhares 12" xfId="289" xr:uid="{00000000-0005-0000-0000-00001F010000}"/>
    <cellStyle name="Separador de milhares 12 2" xfId="290" xr:uid="{00000000-0005-0000-0000-000020010000}"/>
    <cellStyle name="Separador de milhares 13" xfId="291" xr:uid="{00000000-0005-0000-0000-000021010000}"/>
    <cellStyle name="Separador de milhares 14" xfId="292" xr:uid="{00000000-0005-0000-0000-000022010000}"/>
    <cellStyle name="Separador de milhares 15" xfId="293" xr:uid="{00000000-0005-0000-0000-000023010000}"/>
    <cellStyle name="Separador de milhares 15 2" xfId="294" xr:uid="{00000000-0005-0000-0000-000024010000}"/>
    <cellStyle name="Separador de milhares 16" xfId="295" xr:uid="{00000000-0005-0000-0000-000025010000}"/>
    <cellStyle name="Separador de milhares 17" xfId="296" xr:uid="{00000000-0005-0000-0000-000026010000}"/>
    <cellStyle name="Separador de milhares 17 2" xfId="297" xr:uid="{00000000-0005-0000-0000-000027010000}"/>
    <cellStyle name="Separador de milhares 18" xfId="298" xr:uid="{00000000-0005-0000-0000-000028010000}"/>
    <cellStyle name="Separador de milhares 18 2" xfId="299" xr:uid="{00000000-0005-0000-0000-000029010000}"/>
    <cellStyle name="Separador de milhares 19" xfId="300" xr:uid="{00000000-0005-0000-0000-00002A010000}"/>
    <cellStyle name="Separador de milhares 19 2" xfId="301" xr:uid="{00000000-0005-0000-0000-00002B010000}"/>
    <cellStyle name="Separador de milhares 2" xfId="302" xr:uid="{00000000-0005-0000-0000-00002C010000}"/>
    <cellStyle name="Separador de milhares 2 10" xfId="303" xr:uid="{00000000-0005-0000-0000-00002D010000}"/>
    <cellStyle name="Separador de milhares 2 11" xfId="304" xr:uid="{00000000-0005-0000-0000-00002E010000}"/>
    <cellStyle name="Separador de milhares 2 12" xfId="305" xr:uid="{00000000-0005-0000-0000-00002F010000}"/>
    <cellStyle name="Separador de milhares 2 2" xfId="306" xr:uid="{00000000-0005-0000-0000-000030010000}"/>
    <cellStyle name="Separador de milhares 2 3" xfId="307" xr:uid="{00000000-0005-0000-0000-000031010000}"/>
    <cellStyle name="Separador de milhares 2 3 2" xfId="308" xr:uid="{00000000-0005-0000-0000-000032010000}"/>
    <cellStyle name="Separador de milhares 2 4" xfId="309" xr:uid="{00000000-0005-0000-0000-000033010000}"/>
    <cellStyle name="Separador de milhares 2 5" xfId="310" xr:uid="{00000000-0005-0000-0000-000034010000}"/>
    <cellStyle name="Separador de milhares 2 6" xfId="311" xr:uid="{00000000-0005-0000-0000-000035010000}"/>
    <cellStyle name="Separador de milhares 2 7" xfId="312" xr:uid="{00000000-0005-0000-0000-000036010000}"/>
    <cellStyle name="Separador de milhares 2 8" xfId="313" xr:uid="{00000000-0005-0000-0000-000037010000}"/>
    <cellStyle name="Separador de milhares 2 9" xfId="314" xr:uid="{00000000-0005-0000-0000-000038010000}"/>
    <cellStyle name="Separador de milhares 2_Relatorios Financeiro 2012" xfId="315" xr:uid="{00000000-0005-0000-0000-000039010000}"/>
    <cellStyle name="Separador de milhares 3" xfId="316" xr:uid="{00000000-0005-0000-0000-00003A010000}"/>
    <cellStyle name="Separador de milhares 3 2" xfId="317" xr:uid="{00000000-0005-0000-0000-00003B010000}"/>
    <cellStyle name="Separador de milhares 3 2 2" xfId="318" xr:uid="{00000000-0005-0000-0000-00003C010000}"/>
    <cellStyle name="Separador de milhares 3 3" xfId="319" xr:uid="{00000000-0005-0000-0000-00003D010000}"/>
    <cellStyle name="Separador de milhares 3 3 2" xfId="320" xr:uid="{00000000-0005-0000-0000-00003E010000}"/>
    <cellStyle name="Separador de milhares 3 4" xfId="321" xr:uid="{00000000-0005-0000-0000-00003F010000}"/>
    <cellStyle name="Separador de milhares 3 5" xfId="322" xr:uid="{00000000-0005-0000-0000-000040010000}"/>
    <cellStyle name="Separador de milhares 3 6" xfId="323" xr:uid="{00000000-0005-0000-0000-000041010000}"/>
    <cellStyle name="Separador de milhares 3 6 2" xfId="408" xr:uid="{F7D01653-B753-4F24-B381-66E4BA2B5F00}"/>
    <cellStyle name="Separador de milhares 3_Relatorios Financeiro 2012" xfId="324" xr:uid="{00000000-0005-0000-0000-000042010000}"/>
    <cellStyle name="Separador de milhares 4" xfId="325" xr:uid="{00000000-0005-0000-0000-000043010000}"/>
    <cellStyle name="Separador de milhares 5" xfId="326" xr:uid="{00000000-0005-0000-0000-000044010000}"/>
    <cellStyle name="Separador de milhares 5 2" xfId="327" xr:uid="{00000000-0005-0000-0000-000045010000}"/>
    <cellStyle name="Separador de milhares 5 3" xfId="328" xr:uid="{00000000-0005-0000-0000-000046010000}"/>
    <cellStyle name="Separador de milhares 5 4" xfId="329" xr:uid="{00000000-0005-0000-0000-000047010000}"/>
    <cellStyle name="Separador de milhares 6" xfId="330" xr:uid="{00000000-0005-0000-0000-000048010000}"/>
    <cellStyle name="Separador de milhares 6 2" xfId="331" xr:uid="{00000000-0005-0000-0000-000049010000}"/>
    <cellStyle name="Separador de milhares 7" xfId="332" xr:uid="{00000000-0005-0000-0000-00004A010000}"/>
    <cellStyle name="Separador de milhares 7 2" xfId="333" xr:uid="{00000000-0005-0000-0000-00004B010000}"/>
    <cellStyle name="Separador de milhares 7 2 2" xfId="334" xr:uid="{00000000-0005-0000-0000-00004C010000}"/>
    <cellStyle name="Separador de milhares 7 3" xfId="335" xr:uid="{00000000-0005-0000-0000-00004D010000}"/>
    <cellStyle name="Separador de milhares 7 4" xfId="336" xr:uid="{00000000-0005-0000-0000-00004E010000}"/>
    <cellStyle name="Separador de milhares 8" xfId="337" xr:uid="{00000000-0005-0000-0000-00004F010000}"/>
    <cellStyle name="Separador de milhares 8 2" xfId="338" xr:uid="{00000000-0005-0000-0000-000050010000}"/>
    <cellStyle name="Separador de milhares 9" xfId="339" xr:uid="{00000000-0005-0000-0000-000051010000}"/>
    <cellStyle name="Separador de milhares 9 2" xfId="340" xr:uid="{00000000-0005-0000-0000-000052010000}"/>
    <cellStyle name="Separador de milhares 9 2 2" xfId="341" xr:uid="{00000000-0005-0000-0000-000053010000}"/>
    <cellStyle name="Separador de milhares 9 3" xfId="342" xr:uid="{00000000-0005-0000-0000-000054010000}"/>
    <cellStyle name="STYLE1 - Style1" xfId="343" xr:uid="{00000000-0005-0000-0000-000055010000}"/>
    <cellStyle name="STYLE2 - Style2" xfId="344" xr:uid="{00000000-0005-0000-0000-000056010000}"/>
    <cellStyle name="SubHeading" xfId="345" xr:uid="{00000000-0005-0000-0000-000057010000}"/>
    <cellStyle name="subtítulo_saam" xfId="38" xr:uid="{00000000-0005-0000-0000-000058010000}"/>
    <cellStyle name="Texto de Aviso" xfId="399" builtinId="11" customBuiltin="1"/>
    <cellStyle name="Texto de Aviso 2" xfId="347" xr:uid="{00000000-0005-0000-0000-00005A010000}"/>
    <cellStyle name="Texto de Aviso 2 2" xfId="348" xr:uid="{00000000-0005-0000-0000-00005B010000}"/>
    <cellStyle name="Texto de Aviso 3" xfId="346" xr:uid="{00000000-0005-0000-0000-00005C010000}"/>
    <cellStyle name="Texto Explicativo 2" xfId="350" xr:uid="{00000000-0005-0000-0000-00005D010000}"/>
    <cellStyle name="Texto Explicativo 2 2" xfId="351" xr:uid="{00000000-0005-0000-0000-00005E010000}"/>
    <cellStyle name="Texto Explicativo 3" xfId="349" xr:uid="{00000000-0005-0000-0000-00005F010000}"/>
    <cellStyle name="Tickmark" xfId="352" xr:uid="{00000000-0005-0000-0000-000060010000}"/>
    <cellStyle name="Title" xfId="1" xr:uid="{00000000-0005-0000-0000-000061010000}"/>
    <cellStyle name="Title 2" xfId="353" xr:uid="{00000000-0005-0000-0000-000062010000}"/>
    <cellStyle name="Título 1 2" xfId="356" xr:uid="{00000000-0005-0000-0000-000063010000}"/>
    <cellStyle name="Título 1 2 2" xfId="357" xr:uid="{00000000-0005-0000-0000-000064010000}"/>
    <cellStyle name="Título 1 3" xfId="355" xr:uid="{00000000-0005-0000-0000-000065010000}"/>
    <cellStyle name="Título 1 4" xfId="404" xr:uid="{00000000-0005-0000-0000-000066010000}"/>
    <cellStyle name="Título 2 2" xfId="359" xr:uid="{00000000-0005-0000-0000-000067010000}"/>
    <cellStyle name="Título 2 2 2" xfId="360" xr:uid="{00000000-0005-0000-0000-000068010000}"/>
    <cellStyle name="Título 2 3" xfId="358" xr:uid="{00000000-0005-0000-0000-000069010000}"/>
    <cellStyle name="Título 2 4" xfId="403" xr:uid="{00000000-0005-0000-0000-00006A010000}"/>
    <cellStyle name="Título 3 2" xfId="362" xr:uid="{00000000-0005-0000-0000-00006B010000}"/>
    <cellStyle name="Título 3 2 2" xfId="363" xr:uid="{00000000-0005-0000-0000-00006C010000}"/>
    <cellStyle name="Título 3 3" xfId="361" xr:uid="{00000000-0005-0000-0000-00006D010000}"/>
    <cellStyle name="Título 3 4" xfId="405" xr:uid="{00000000-0005-0000-0000-00006E010000}"/>
    <cellStyle name="Título 4 2" xfId="365" xr:uid="{00000000-0005-0000-0000-00006F010000}"/>
    <cellStyle name="Título 4 2 2" xfId="366" xr:uid="{00000000-0005-0000-0000-000070010000}"/>
    <cellStyle name="Título 4 3" xfId="364" xr:uid="{00000000-0005-0000-0000-000071010000}"/>
    <cellStyle name="Título 5" xfId="367" xr:uid="{00000000-0005-0000-0000-000072010000}"/>
    <cellStyle name="Título 5 2" xfId="368" xr:uid="{00000000-0005-0000-0000-000073010000}"/>
    <cellStyle name="Título 6" xfId="354" xr:uid="{00000000-0005-0000-0000-000074010000}"/>
    <cellStyle name="Título 7" xfId="402" xr:uid="{00000000-0005-0000-0000-000075010000}"/>
    <cellStyle name="Título_saam" xfId="37" xr:uid="{00000000-0005-0000-0000-000076010000}"/>
    <cellStyle name="Titulo1" xfId="369" xr:uid="{00000000-0005-0000-0000-000077010000}"/>
    <cellStyle name="Titulo2" xfId="370" xr:uid="{00000000-0005-0000-0000-000078010000}"/>
    <cellStyle name="Total" xfId="10" builtinId="25" customBuiltin="1"/>
    <cellStyle name="Total 2" xfId="372" xr:uid="{00000000-0005-0000-0000-00007A010000}"/>
    <cellStyle name="Total 2 2" xfId="373" xr:uid="{00000000-0005-0000-0000-00007B010000}"/>
    <cellStyle name="Total 3" xfId="371" xr:uid="{00000000-0005-0000-0000-00007C010000}"/>
    <cellStyle name="Um usuário do Microsoft Office satisfeito" xfId="374" xr:uid="{00000000-0005-0000-0000-00007D010000}"/>
    <cellStyle name="Um usuário do Microsoft Office satisfeito 2" xfId="375" xr:uid="{00000000-0005-0000-0000-00007E010000}"/>
    <cellStyle name="Um usuário do Microsoft Office satisfeito 2 2" xfId="376" xr:uid="{00000000-0005-0000-0000-00007F010000}"/>
    <cellStyle name="Unprotect" xfId="377" xr:uid="{00000000-0005-0000-0000-000080010000}"/>
    <cellStyle name="Vírgula" xfId="35" builtinId="3"/>
    <cellStyle name="Vírgula 10" xfId="379" xr:uid="{00000000-0005-0000-0000-000082010000}"/>
    <cellStyle name="Vírgula 11" xfId="378" xr:uid="{00000000-0005-0000-0000-000083010000}"/>
    <cellStyle name="Vírgula 2" xfId="380" xr:uid="{00000000-0005-0000-0000-000084010000}"/>
    <cellStyle name="Vírgula 2 2" xfId="381" xr:uid="{00000000-0005-0000-0000-000085010000}"/>
    <cellStyle name="Vírgula 2 3" xfId="382" xr:uid="{00000000-0005-0000-0000-000086010000}"/>
    <cellStyle name="Vírgula 3" xfId="383" xr:uid="{00000000-0005-0000-0000-000087010000}"/>
    <cellStyle name="Vírgula 4" xfId="384" xr:uid="{00000000-0005-0000-0000-000088010000}"/>
    <cellStyle name="Vírgula 5" xfId="385" xr:uid="{00000000-0005-0000-0000-000089010000}"/>
    <cellStyle name="Vírgula 5 2" xfId="386" xr:uid="{00000000-0005-0000-0000-00008A010000}"/>
    <cellStyle name="Vírgula 6" xfId="387" xr:uid="{00000000-0005-0000-0000-00008B010000}"/>
    <cellStyle name="Vírgula 6 2" xfId="388" xr:uid="{00000000-0005-0000-0000-00008C010000}"/>
    <cellStyle name="Vírgula 7" xfId="389" xr:uid="{00000000-0005-0000-0000-00008D010000}"/>
    <cellStyle name="Vírgula 7 2" xfId="390" xr:uid="{00000000-0005-0000-0000-00008E010000}"/>
    <cellStyle name="Vírgula 7 3" xfId="391" xr:uid="{00000000-0005-0000-0000-00008F010000}"/>
    <cellStyle name="Vírgula 8" xfId="392" xr:uid="{00000000-0005-0000-0000-000090010000}"/>
    <cellStyle name="Vírgula 8 2" xfId="393" xr:uid="{00000000-0005-0000-0000-000091010000}"/>
    <cellStyle name="Vírgula 8 3" xfId="394" xr:uid="{00000000-0005-0000-0000-000092010000}"/>
    <cellStyle name="Vírgula 9" xfId="395" xr:uid="{00000000-0005-0000-0000-000093010000}"/>
    <cellStyle name="Vírgula 9 2" xfId="396" xr:uid="{00000000-0005-0000-0000-000094010000}"/>
    <cellStyle name="Walutowy [0]_laroux" xfId="397" xr:uid="{00000000-0005-0000-0000-000095010000}"/>
    <cellStyle name="Walutowy_laroux" xfId="398" xr:uid="{00000000-0005-0000-0000-00009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connections" Target="connections.xml"/><Relationship Id="rId8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ceita l&#237;quida por produto'!B2"/><Relationship Id="rId13" Type="http://schemas.openxmlformats.org/officeDocument/2006/relationships/image" Target="../media/image2.png"/><Relationship Id="rId3" Type="http://schemas.openxmlformats.org/officeDocument/2006/relationships/hyperlink" Target="#'Ebitda ajustado'!A1"/><Relationship Id="rId7" Type="http://schemas.openxmlformats.org/officeDocument/2006/relationships/hyperlink" Target="#'Receita l&#237;quida'!B2"/><Relationship Id="rId12" Type="http://schemas.openxmlformats.org/officeDocument/2006/relationships/hyperlink" Target="#Informa&#231;&#245;es!B2"/><Relationship Id="rId2" Type="http://schemas.openxmlformats.org/officeDocument/2006/relationships/hyperlink" Target="#'Indicadores financeiros'!A1"/><Relationship Id="rId1" Type="http://schemas.openxmlformats.org/officeDocument/2006/relationships/image" Target="../media/image1.png"/><Relationship Id="rId6" Type="http://schemas.openxmlformats.org/officeDocument/2006/relationships/hyperlink" Target="#'Fluxo de caixa'!B2"/><Relationship Id="rId11" Type="http://schemas.openxmlformats.org/officeDocument/2006/relationships/hyperlink" Target="#'Produ&#231;&#227;o (ton)'!B2"/><Relationship Id="rId5" Type="http://schemas.openxmlformats.org/officeDocument/2006/relationships/hyperlink" Target="#DRE!B2"/><Relationship Id="rId10" Type="http://schemas.openxmlformats.org/officeDocument/2006/relationships/hyperlink" Target="#'Vendas (ton)'!B2"/><Relationship Id="rId4" Type="http://schemas.openxmlformats.org/officeDocument/2006/relationships/hyperlink" Target="#'Balan&#231;o patrimonial'!A1"/><Relationship Id="rId9" Type="http://schemas.openxmlformats.org/officeDocument/2006/relationships/hyperlink" Target="#'IRPJ e CSLL'!B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Paine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Paine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aine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Pai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262678</xdr:colOff>
      <xdr:row>0</xdr:row>
      <xdr:rowOff>139031</xdr:rowOff>
    </xdr:from>
    <xdr:to>
      <xdr:col>1</xdr:col>
      <xdr:colOff>1079106</xdr:colOff>
      <xdr:row>1</xdr:row>
      <xdr:rowOff>554476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330" y="139031"/>
          <a:ext cx="816428" cy="655641"/>
        </a:xfrm>
        <a:prstGeom prst="rect">
          <a:avLst/>
        </a:prstGeom>
      </xdr:spPr>
    </xdr:pic>
    <xdr:clientData/>
  </xdr:twoCellAnchor>
  <xdr:twoCellAnchor>
    <xdr:from>
      <xdr:col>1</xdr:col>
      <xdr:colOff>147293</xdr:colOff>
      <xdr:row>6</xdr:row>
      <xdr:rowOff>81704</xdr:rowOff>
    </xdr:from>
    <xdr:to>
      <xdr:col>1</xdr:col>
      <xdr:colOff>255293</xdr:colOff>
      <xdr:row>6</xdr:row>
      <xdr:rowOff>189704</xdr:rowOff>
    </xdr:to>
    <xdr:sp macro="" textlink="">
      <xdr:nvSpPr>
        <xdr:cNvPr id="22" name="Investimentos" descr="&quot;&quot;" title="Cor do gráfico de investiment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2945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146796</xdr:colOff>
      <xdr:row>7</xdr:row>
      <xdr:rowOff>68451</xdr:rowOff>
    </xdr:from>
    <xdr:to>
      <xdr:col>1</xdr:col>
      <xdr:colOff>254796</xdr:colOff>
      <xdr:row>7</xdr:row>
      <xdr:rowOff>176451</xdr:rowOff>
    </xdr:to>
    <xdr:sp macro="" textlink="">
      <xdr:nvSpPr>
        <xdr:cNvPr id="25" name="Investimentos" descr="&quot;&quot;" title="Cor do gráfico de investimento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0626" y="1912491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186331</xdr:colOff>
      <xdr:row>6</xdr:row>
      <xdr:rowOff>90557</xdr:rowOff>
    </xdr:from>
    <xdr:to>
      <xdr:col>3</xdr:col>
      <xdr:colOff>294331</xdr:colOff>
      <xdr:row>6</xdr:row>
      <xdr:rowOff>198557</xdr:rowOff>
    </xdr:to>
    <xdr:sp macro="" textlink="">
      <xdr:nvSpPr>
        <xdr:cNvPr id="27" name="Investimentos" descr="&quot;&quot;" title="Cor do gráfico de investiment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8969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185834</xdr:colOff>
      <xdr:row>7</xdr:row>
      <xdr:rowOff>77304</xdr:rowOff>
    </xdr:from>
    <xdr:to>
      <xdr:col>3</xdr:col>
      <xdr:colOff>293834</xdr:colOff>
      <xdr:row>7</xdr:row>
      <xdr:rowOff>185304</xdr:rowOff>
    </xdr:to>
    <xdr:sp macro="" textlink="">
      <xdr:nvSpPr>
        <xdr:cNvPr id="28" name="Investimentos" descr="&quot;&quot;" title="Cor do gráfico de investiment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818472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189644</xdr:colOff>
      <xdr:row>8</xdr:row>
      <xdr:rowOff>77304</xdr:rowOff>
    </xdr:from>
    <xdr:to>
      <xdr:col>3</xdr:col>
      <xdr:colOff>297644</xdr:colOff>
      <xdr:row>8</xdr:row>
      <xdr:rowOff>185304</xdr:rowOff>
    </xdr:to>
    <xdr:sp macro="" textlink="">
      <xdr:nvSpPr>
        <xdr:cNvPr id="29" name="Investimentos" descr="&quot;&quot;" title="Cor do gráfico de investimento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822282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173193</xdr:colOff>
      <xdr:row>6</xdr:row>
      <xdr:rowOff>90557</xdr:rowOff>
    </xdr:from>
    <xdr:to>
      <xdr:col>5</xdr:col>
      <xdr:colOff>281193</xdr:colOff>
      <xdr:row>6</xdr:row>
      <xdr:rowOff>198557</xdr:rowOff>
    </xdr:to>
    <xdr:sp macro="" textlink="">
      <xdr:nvSpPr>
        <xdr:cNvPr id="30" name="Investimentos" descr="&quot;&quot;" title="Cor do gráfico de investiment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43624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7</xdr:row>
      <xdr:rowOff>77304</xdr:rowOff>
    </xdr:from>
    <xdr:to>
      <xdr:col>5</xdr:col>
      <xdr:colOff>280696</xdr:colOff>
      <xdr:row>7</xdr:row>
      <xdr:rowOff>185304</xdr:rowOff>
    </xdr:to>
    <xdr:sp macro="" textlink="">
      <xdr:nvSpPr>
        <xdr:cNvPr id="31" name="Investimentos" descr="&quot;&quot;" title="Cor do gráfico de investiment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643127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8</xdr:row>
      <xdr:rowOff>77304</xdr:rowOff>
    </xdr:from>
    <xdr:to>
      <xdr:col>5</xdr:col>
      <xdr:colOff>284506</xdr:colOff>
      <xdr:row>8</xdr:row>
      <xdr:rowOff>185304</xdr:rowOff>
    </xdr:to>
    <xdr:sp macro="" textlink="">
      <xdr:nvSpPr>
        <xdr:cNvPr id="32" name="Investimentos" descr="&quot;&quot;" title="Cor do gráfico de investimento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46937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9</xdr:row>
      <xdr:rowOff>77304</xdr:rowOff>
    </xdr:from>
    <xdr:to>
      <xdr:col>5</xdr:col>
      <xdr:colOff>280696</xdr:colOff>
      <xdr:row>9</xdr:row>
      <xdr:rowOff>185304</xdr:rowOff>
    </xdr:to>
    <xdr:sp macro="" textlink="">
      <xdr:nvSpPr>
        <xdr:cNvPr id="33" name="Investimentos" descr="&quot;&quot;" title="Cor do gráfico de investimento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43127" y="2415856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10</xdr:row>
      <xdr:rowOff>91959</xdr:rowOff>
    </xdr:from>
    <xdr:to>
      <xdr:col>5</xdr:col>
      <xdr:colOff>284506</xdr:colOff>
      <xdr:row>10</xdr:row>
      <xdr:rowOff>199959</xdr:rowOff>
    </xdr:to>
    <xdr:sp macro="" textlink="">
      <xdr:nvSpPr>
        <xdr:cNvPr id="34" name="Investimentos" descr="&quot;&quot;" title="Cor do gráfico de investimento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30314" y="2685690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10863</xdr:colOff>
      <xdr:row>2</xdr:row>
      <xdr:rowOff>33602</xdr:rowOff>
    </xdr:from>
    <xdr:to>
      <xdr:col>5</xdr:col>
      <xdr:colOff>2549768</xdr:colOff>
      <xdr:row>3</xdr:row>
      <xdr:rowOff>197827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72055" y="883525"/>
          <a:ext cx="8840059" cy="23749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/>
            <a:t>PAINEL</a:t>
          </a:r>
        </a:p>
      </xdr:txBody>
    </xdr:sp>
    <xdr:clientData/>
  </xdr:twoCellAnchor>
  <xdr:twoCellAnchor>
    <xdr:from>
      <xdr:col>5</xdr:col>
      <xdr:colOff>184310</xdr:colOff>
      <xdr:row>11</xdr:row>
      <xdr:rowOff>78709</xdr:rowOff>
    </xdr:from>
    <xdr:to>
      <xdr:col>5</xdr:col>
      <xdr:colOff>292310</xdr:colOff>
      <xdr:row>11</xdr:row>
      <xdr:rowOff>186709</xdr:rowOff>
    </xdr:to>
    <xdr:sp macro="" textlink="">
      <xdr:nvSpPr>
        <xdr:cNvPr id="19" name="Investimentos" descr="&quot;&quot;" title="Cor do gráfico de investimentos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37385" y="3145759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1323975</xdr:colOff>
      <xdr:row>0</xdr:row>
      <xdr:rowOff>161925</xdr:rowOff>
    </xdr:from>
    <xdr:to>
      <xdr:col>3</xdr:col>
      <xdr:colOff>1111476</xdr:colOff>
      <xdr:row>1</xdr:row>
      <xdr:rowOff>442005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CC00C1-D2A6-ED96-31BC-513AE292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61925"/>
          <a:ext cx="1140051" cy="5182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152400</xdr:rowOff>
    </xdr:from>
    <xdr:to>
      <xdr:col>1</xdr:col>
      <xdr:colOff>2386999</xdr:colOff>
      <xdr:row>2</xdr:row>
      <xdr:rowOff>91474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52400"/>
          <a:ext cx="396274" cy="3962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171450</xdr:rowOff>
    </xdr:from>
    <xdr:to>
      <xdr:col>1</xdr:col>
      <xdr:colOff>2453674</xdr:colOff>
      <xdr:row>2</xdr:row>
      <xdr:rowOff>110524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171450"/>
          <a:ext cx="396274" cy="3962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14</xdr:col>
      <xdr:colOff>419100</xdr:colOff>
      <xdr:row>13</xdr:row>
      <xdr:rowOff>22225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33350" y="628650"/>
          <a:ext cx="8343900" cy="22510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 u="sng"/>
            <a:t>Informações</a:t>
          </a:r>
          <a:r>
            <a:rPr lang="pt-BR" sz="1600" b="1" u="sng" baseline="0"/>
            <a:t> importantes:</a:t>
          </a:r>
          <a:endParaRPr lang="pt-BR" sz="1600" b="1" u="sng"/>
        </a:p>
        <a:p>
          <a:endParaRPr lang="pt-BR" sz="1400"/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 presente arquivo não foi auditado.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Esse arquivo, nem parte dele, pode ser retransmitido a terceiros sem a autorização prévia da Ferbasa.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Os indicadores da aba "Painel" foram calculados para auxiliar ao analista, não necessariamente representando todos os indicadores de desempenho acompanhados pela companhia.</a:t>
          </a:r>
        </a:p>
      </xdr:txBody>
    </xdr:sp>
    <xdr:clientData/>
  </xdr:twoCellAnchor>
  <xdr:twoCellAnchor editAs="oneCell">
    <xdr:from>
      <xdr:col>4</xdr:col>
      <xdr:colOff>600075</xdr:colOff>
      <xdr:row>1</xdr:row>
      <xdr:rowOff>0</xdr:rowOff>
    </xdr:from>
    <xdr:to>
      <xdr:col>5</xdr:col>
      <xdr:colOff>386475</xdr:colOff>
      <xdr:row>3</xdr:row>
      <xdr:rowOff>15000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62225" y="571500"/>
          <a:ext cx="39600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2294283</xdr:colOff>
      <xdr:row>0</xdr:row>
      <xdr:rowOff>57978</xdr:rowOff>
    </xdr:from>
    <xdr:to>
      <xdr:col>1</xdr:col>
      <xdr:colOff>2690283</xdr:colOff>
      <xdr:row>2</xdr:row>
      <xdr:rowOff>1540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8826" y="57978"/>
          <a:ext cx="396000" cy="3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2447925</xdr:colOff>
      <xdr:row>0</xdr:row>
      <xdr:rowOff>142875</xdr:rowOff>
    </xdr:from>
    <xdr:to>
      <xdr:col>1</xdr:col>
      <xdr:colOff>2843925</xdr:colOff>
      <xdr:row>2</xdr:row>
      <xdr:rowOff>81675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4125" y="142875"/>
          <a:ext cx="396000" cy="39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2266024</xdr:colOff>
      <xdr:row>1</xdr:row>
      <xdr:rowOff>138855</xdr:rowOff>
    </xdr:from>
    <xdr:to>
      <xdr:col>1</xdr:col>
      <xdr:colOff>2662024</xdr:colOff>
      <xdr:row>3</xdr:row>
      <xdr:rowOff>21333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0567" y="329355"/>
          <a:ext cx="396000" cy="3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2532823</xdr:colOff>
      <xdr:row>0</xdr:row>
      <xdr:rowOff>115957</xdr:rowOff>
    </xdr:from>
    <xdr:to>
      <xdr:col>1</xdr:col>
      <xdr:colOff>2928823</xdr:colOff>
      <xdr:row>2</xdr:row>
      <xdr:rowOff>80140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07366" y="115957"/>
          <a:ext cx="396000" cy="394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3467100</xdr:colOff>
      <xdr:row>0</xdr:row>
      <xdr:rowOff>114300</xdr:rowOff>
    </xdr:from>
    <xdr:to>
      <xdr:col>1</xdr:col>
      <xdr:colOff>3863100</xdr:colOff>
      <xdr:row>2</xdr:row>
      <xdr:rowOff>80554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43300" y="114300"/>
          <a:ext cx="396000" cy="394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2549334</xdr:colOff>
      <xdr:row>0</xdr:row>
      <xdr:rowOff>180975</xdr:rowOff>
    </xdr:from>
    <xdr:to>
      <xdr:col>1</xdr:col>
      <xdr:colOff>2945334</xdr:colOff>
      <xdr:row>2</xdr:row>
      <xdr:rowOff>118654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38981" y="180975"/>
          <a:ext cx="396000" cy="397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2705100</xdr:colOff>
      <xdr:row>0</xdr:row>
      <xdr:rowOff>171450</xdr:rowOff>
    </xdr:from>
    <xdr:to>
      <xdr:col>1</xdr:col>
      <xdr:colOff>3101100</xdr:colOff>
      <xdr:row>2</xdr:row>
      <xdr:rowOff>109129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38450" y="171450"/>
          <a:ext cx="396000" cy="394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2533650</xdr:colOff>
      <xdr:row>0</xdr:row>
      <xdr:rowOff>133350</xdr:rowOff>
    </xdr:from>
    <xdr:to>
      <xdr:col>1</xdr:col>
      <xdr:colOff>2929924</xdr:colOff>
      <xdr:row>2</xdr:row>
      <xdr:rowOff>72424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133350"/>
          <a:ext cx="396274" cy="39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ITRS%20DE%201997\ITR1T97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1/Covenants-%20simula&#231;ao%205-jun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Ativo%20Imobilizado%20Leadshee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DGET\Budget%202004\2004-3%20Budget%20-%20jv2701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%205340%20-%20Clientes%20Combined%20Leadsheet%20-%20Model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UT/dpr2009/Custo%20Real/Custo_reposi&#231;&#227;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Revis&#227;o%20anal&#237;tica%20-%20Min&#233;rios%20Metal&#250;rg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SINI99\ESTO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com\Horizon%20Telecom%20International,%20LLC\GHP%20Folder\HTI_Funding%20Detail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Grupo%20OAS/OAS/Auditoria%20OAS%2031%20jan%202002%20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Grupo%20OAS/OAS/Auditoria%20OAS%2031%20jan%202002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lecom\Horizon%20Telecom%20International,%20LLC\GHP%20Folder\HTI_Funding%20Detail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Imobilizado%20e%20Diferid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Urucum/Auditoria/Final/Tatiane%20CTS/Ataliza&#231;&#227;o%20Junho%202003/ITAPOAN%20PIS%20-%20Atualizado%20at&#233;%20fev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ixa%20e%20Bancos%20Combined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Documents%20and%20Settings/151/Configura&#231;&#245;es%20locais/Temp/Unidade%20Morro%20da%20Mi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CJMA16\USER1\DEGAB\DIMIB\TRABALHO\PEST97\PROJETO\MNASIS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ndrade/My%20Documents/RODRIGO/Templates/5640%20Imobilizado%20-%20CL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suporte%20lead%20banco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2%20%20Clientes%20(Testes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trim&#244;nio%20l&#237;quid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GGranzier\Budget\Budget%2010%20Years\Updated%20Model%20-%20October%203%202000f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USER/DICON/Marcos%20Alberto/An&#225;lise%20Cont&#225;bil/Ferbasa%202011/Resultado%20Ferbasa%20Jan2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1%20Imobilizado%20-%20%20Combined%20Leadshee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DATA/Lilia/Clientes/Fibrasil/Dez%2099/Back%20up/DATA/Lilia/Fibrasil/0998/PLANEJ/f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pa%2031.10.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WP&#180;S%2031.12.97\Flo1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50%20Aging%20List%20-%20Contas%20a%20Receber%202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s%20Leadsheet%20-%2031%2012%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00%20Mapa%20de%20empr&#233;stimos%20e%20financiamento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40%20Empr&#233;stimo%20e%20Financiamento%20Leadsheet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s%20Leadsheet%20-%2031%2012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%20Final%20Demonstra&#231;&#245;es%20Financeiras%202004/Arquivo%20para%20balan&#231;o%20Deloitt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Edson/WP%20Modelos/6341%20Empr&#233;stimos%20e%20financiamentos%20Combined%20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itte%20Folder/Clientes/CLN/2003/PPC/MapasI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9%20Impostos%20a%20Compensar%20%20%20%20%20%20%20%20%20%20%20%20%20%20%20%20%20%20%20%20%20%20%20%20%20%20%20%20%20URUPEMA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o%20Contas%20a%20Receber_modelo%20Sibra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os/Trabalho/Mapas%20e%20an&#225;lises%20para%20o%20ITR%20de%2031.03.05%20Imobilizad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0%20Impostos%20a%20Recuperar%20Leadsheet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Empr&#233;stimos%20e%20Financiamentos%20-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a%20varia&#231;&#227;o%20cambial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&#225;rcia/DIVERSOS/CONCILIA&#199;&#195;O%20FORNECEDO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Edson/Clientes%202002/CEMAR/PPC/6330%20PPC%20Empr&#233;stimos%20e%20Financiamentos%20-%20Ribeiro%20(Tesouraria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Arquivo%20perdido/6340%20Empr&#233;stimos%20e%20financiament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50%20Teste%20de%20Emprestimos%20e%20Financiamento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%20Leadsheet%20-%2031%2012%20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Arquivo%20perdido/6340%20Empr&#233;stimos%20e%20financiamento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%20Leadsheet%20-%2031%2012%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Ana%20Emilia/Grupo%20Sibra/6140%201%20Teste%20Fornecedor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xxxxxx%20Imobilizado%20-%20Testes%20SIBRA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Reuni&#227;o%20Diretoria/Relatorios%202012/Fevereiro/Relatorios%20Financeiro%20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S&#227;o%20Rafael/Final/Relat&#243;rio/2210%202%20Relatorio%20Excel%20%20-%20Monte%20Tabor%20-%2031%2012%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Politeno/E-MAIL%20PARA%20SUELY/FLUXO%20DE%20CAIXA%20COM%20MARCOS%202007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S&#227;o%20Rafael/Final/Relat&#243;rio/2210%202%20Relatorio%20Excel%20%20-%20Monte%20Tabor%20-%2031%2012%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ultra/LOCALS~1/Temp/3412%20Anexo%20-%20Carta%20de%20an&#225;lis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USER/DICON/ARNALDO/trabalho2006/relat&#243;rios/relat&#243;rio%20jan%20200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2006/relat&#243;rios/relat&#243;rio%20jan%20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ssa\ferbasa\Documents%20and%20Settings\lucicleide\Configura&#231;&#245;es%20locais\Temporary%20Internet%20Files\Content.Outlook\9UM5Q5Q5\USER\DICON\ARNALDO\trabalho2006\relat&#243;rios\relat&#243;rio%20jan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FINANCE/Actlex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Marcos%20Alberto/An&#225;lise%20Cont&#225;bil/Ferbasa%202010/Apura&#231;&#227;o%20IRPJ%20e%20CSLL%202010%20J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2/Reforecast%20Q2%20-%20P&amp;L%20-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BP"/>
      <sheetName val="Teste Drpc"/>
      <sheetName val="37) Resumo"/>
      <sheetName val="Parâmetro de receita"/>
      <sheetName val="Mensagem"/>
      <sheetName val="estoque total dez_98"/>
      <sheetName val="C1398T96"/>
      <sheetName val="Parâmetro"/>
      <sheetName val="Determinação dos Parâmetros"/>
      <sheetName val="ITR1T97A"/>
      <sheetName val="VENDAS_P_SUBSIDIÁRIA"/>
      <sheetName val="Lead"/>
      <sheetName val="Diversos"/>
      <sheetName val="ICMS-Cofins Arcos"/>
      <sheetName val="Mutação do PL Trimestral"/>
      <sheetName val="XREF"/>
      <sheetName val="OUT02_REPORT"/>
      <sheetName val="Cover"/>
      <sheetName val="ICATU"/>
      <sheetName val="VARIABLES"/>
      <sheetName val="INICIO"/>
      <sheetName val="UF_diaria"/>
      <sheetName val="Toggles"/>
      <sheetName val="Plan2"/>
      <sheetName val="Proteção e Monitoramento (2)"/>
      <sheetName val="Base_Graficos"/>
      <sheetName val="Capa"/>
      <sheetName val="Index Assuntos"/>
      <sheetName val="Instructions"/>
      <sheetName val="T&amp;M"/>
      <sheetName val="E2.1.1-Fat 06.2006"/>
      <sheetName val="INFO"/>
      <sheetName val="APOIO"/>
      <sheetName val="TMX-VTAS.02"/>
      <sheetName val="RIEP_INC_98"/>
      <sheetName val="Base"/>
      <sheetName val="Listas Suspensas"/>
      <sheetName val="aux_EV"/>
      <sheetName val="aux_CC"/>
      <sheetName val="AUX CONTA CONTABIL"/>
      <sheetName val="AUX CENTRO CUSTO"/>
      <sheetName val="AUX_cargos"/>
      <sheetName val="TAXAS"/>
      <sheetName val="Proyectos 2004 PAIS"/>
      <sheetName val="Lis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juros"/>
      <sheetName val="Ebitda"/>
      <sheetName val="Versao 9 (d) (3)"/>
      <sheetName val="Versao 9 (d) (4)"/>
      <sheetName val="Versao 10 (e) (3)"/>
      <sheetName val="Versao 1"/>
      <sheetName val="1B"/>
      <sheetName val="1B (2)"/>
      <sheetName val="Versao 1b ($=R$2,13)"/>
      <sheetName val="Versao 1 (budget)"/>
      <sheetName val="Versao 1b ($=R$2,13) (2)"/>
      <sheetName val="Versao 2"/>
      <sheetName val="Versao 3"/>
      <sheetName val="Versao 4"/>
      <sheetName val="Versao 5"/>
      <sheetName val="Versao 6"/>
      <sheetName val="Versao 7"/>
      <sheetName val="Versao 8 (c)"/>
      <sheetName val="Versao 8 (c) (2)"/>
      <sheetName val="Versao 9 (d)"/>
      <sheetName val="Versao 9 (d) (2)"/>
      <sheetName val="Versao 10 (e)"/>
      <sheetName val="Versao 10 (e) (2)"/>
      <sheetName val="V 15 (Scenario 4) (2)"/>
      <sheetName val="Versao 11"/>
      <sheetName val="Versao 12"/>
      <sheetName val="Versao 13"/>
      <sheetName val="Versao 14"/>
      <sheetName val="V 17 (Scenario 5) (2)"/>
      <sheetName val="V 16 (Scenario 4) (2)"/>
      <sheetName val="V 18 (Scenario 5) (2)"/>
      <sheetName val="V 19 (Scenario Budget) (2)"/>
      <sheetName val="V 20 (Scenario Budget) (2)"/>
      <sheetName val="V 16 (Scenario 4) (3)"/>
      <sheetName val="V 15 (Scenario 4)"/>
      <sheetName val="V 16 (Scenario 4)"/>
      <sheetName val="V 17 (Scenario 5)"/>
      <sheetName val="V 18 (Scenario 5)"/>
      <sheetName val="V 19 (Scenario Budget)"/>
      <sheetName val="V 20 (Scenario Budget)"/>
      <sheetName val="Dec 00"/>
      <sheetName val="Budget 2001-P&amp;L"/>
      <sheetName val="Versao Q1"/>
      <sheetName val="Paraná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Q2">
            <v>0.99999999999999989</v>
          </cell>
        </row>
        <row r="3">
          <cell r="B3" t="str">
            <v>change of ebitda</v>
          </cell>
          <cell r="F3">
            <v>5.6798910438426949E-2</v>
          </cell>
          <cell r="G3">
            <v>5.834743859801883E-2</v>
          </cell>
          <cell r="H3">
            <v>6.2102684633137444E-2</v>
          </cell>
          <cell r="I3">
            <v>6.3063514889176886E-2</v>
          </cell>
          <cell r="J3">
            <v>7.2422341954769098E-2</v>
          </cell>
          <cell r="K3">
            <v>7.6834038916414146E-2</v>
          </cell>
          <cell r="L3">
            <v>8.2825559608114149E-2</v>
          </cell>
          <cell r="M3">
            <v>9.142715061820024E-2</v>
          </cell>
          <cell r="N3">
            <v>9.5307739794327342E-2</v>
          </cell>
          <cell r="O3">
            <v>0.10329806023997132</v>
          </cell>
          <cell r="P3">
            <v>0.11318395625003069</v>
          </cell>
          <cell r="Q3">
            <v>0.12438860405941277</v>
          </cell>
          <cell r="R3">
            <v>5.6798910438426949E-2</v>
          </cell>
          <cell r="S3">
            <v>5.834743859801883E-2</v>
          </cell>
          <cell r="T3">
            <v>6.2102684633137444E-2</v>
          </cell>
          <cell r="U3">
            <v>6.3063514889176886E-2</v>
          </cell>
          <cell r="V3">
            <v>7.2422341954769098E-2</v>
          </cell>
          <cell r="W3">
            <v>7.6834038916414146E-2</v>
          </cell>
          <cell r="X3">
            <v>8.2825559608114149E-2</v>
          </cell>
          <cell r="Y3">
            <v>9.142715061820024E-2</v>
          </cell>
          <cell r="Z3">
            <v>9.5307739794327342E-2</v>
          </cell>
          <cell r="AA3">
            <v>0.10329806023997132</v>
          </cell>
          <cell r="AB3">
            <v>0.11318395625003069</v>
          </cell>
          <cell r="AC3">
            <v>0.12438860405941277</v>
          </cell>
        </row>
        <row r="4">
          <cell r="Q4">
            <v>8494.2880559232963</v>
          </cell>
          <cell r="AC4">
            <v>20748.609946354176</v>
          </cell>
        </row>
        <row r="7">
          <cell r="D7" t="str">
            <v>Q4/00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R7">
            <v>37257</v>
          </cell>
          <cell r="S7">
            <v>37288</v>
          </cell>
          <cell r="T7">
            <v>37316</v>
          </cell>
          <cell r="U7">
            <v>37347</v>
          </cell>
          <cell r="V7">
            <v>37377</v>
          </cell>
          <cell r="W7">
            <v>37408</v>
          </cell>
          <cell r="X7">
            <v>37438</v>
          </cell>
          <cell r="Y7">
            <v>37469</v>
          </cell>
          <cell r="Z7">
            <v>37500</v>
          </cell>
          <cell r="AA7">
            <v>37530</v>
          </cell>
          <cell r="AB7">
            <v>37561</v>
          </cell>
          <cell r="AC7">
            <v>37591</v>
          </cell>
        </row>
        <row r="9">
          <cell r="B9" t="str">
            <v>EBTIDA US$ th</v>
          </cell>
          <cell r="D9">
            <v>2106</v>
          </cell>
          <cell r="F9">
            <v>482.46630652658706</v>
          </cell>
          <cell r="G9">
            <v>495.61995077686925</v>
          </cell>
          <cell r="H9">
            <v>527.51809232003063</v>
          </cell>
          <cell r="I9">
            <v>535.67966128767614</v>
          </cell>
          <cell r="J9">
            <v>615.1762342483878</v>
          </cell>
          <cell r="K9">
            <v>652.65045905604245</v>
          </cell>
          <cell r="L9">
            <v>703.54416170436707</v>
          </cell>
          <cell r="M9">
            <v>776.60855348327846</v>
          </cell>
          <cell r="N9">
            <v>809.57139577200019</v>
          </cell>
          <cell r="O9">
            <v>877.44347929643357</v>
          </cell>
          <cell r="P9">
            <v>961.41712769678065</v>
          </cell>
          <cell r="Q9">
            <v>1056.5926337548419</v>
          </cell>
          <cell r="R9">
            <v>1116.6059441293849</v>
          </cell>
          <cell r="S9">
            <v>1181.757040892657</v>
          </cell>
          <cell r="T9">
            <v>1255.1473257162033</v>
          </cell>
          <cell r="U9">
            <v>1334.3013277796178</v>
          </cell>
          <cell r="V9">
            <v>1430.9345548107758</v>
          </cell>
          <cell r="W9">
            <v>1540.8790360819487</v>
          </cell>
          <cell r="X9">
            <v>1668.5032045338478</v>
          </cell>
          <cell r="Y9">
            <v>1821.0496983217138</v>
          </cell>
          <cell r="Z9">
            <v>1994.609829121898</v>
          </cell>
          <cell r="AA9">
            <v>2200.6491554057707</v>
          </cell>
          <cell r="AB9">
            <v>2449.7273331328847</v>
          </cell>
          <cell r="AC9">
            <v>2754.4454964274723</v>
          </cell>
        </row>
        <row r="10">
          <cell r="AC10">
            <v>20748.609946354176</v>
          </cell>
        </row>
        <row r="11">
          <cell r="B11" t="str">
            <v>Interest Expenses budget</v>
          </cell>
          <cell r="F11">
            <v>715.02140875197028</v>
          </cell>
          <cell r="G11">
            <v>573.48092723004686</v>
          </cell>
          <cell r="H11">
            <v>573.48092723004595</v>
          </cell>
          <cell r="I11">
            <v>573.48092723004686</v>
          </cell>
          <cell r="J11">
            <v>573.48092723004663</v>
          </cell>
          <cell r="K11">
            <v>635.92224178403808</v>
          </cell>
          <cell r="L11">
            <v>635.92224178403751</v>
          </cell>
          <cell r="M11">
            <v>635.92224178403728</v>
          </cell>
          <cell r="N11">
            <v>654.65463615023475</v>
          </cell>
          <cell r="O11">
            <v>654.65463615023475</v>
          </cell>
          <cell r="P11">
            <v>654.65463615023452</v>
          </cell>
          <cell r="Q11">
            <v>671.6890910281719</v>
          </cell>
          <cell r="R11">
            <v>668.75</v>
          </cell>
          <cell r="S11">
            <v>668.75</v>
          </cell>
          <cell r="T11">
            <v>668.75</v>
          </cell>
          <cell r="U11">
            <v>668.75</v>
          </cell>
          <cell r="V11">
            <v>668.75</v>
          </cell>
          <cell r="W11">
            <v>668.75</v>
          </cell>
          <cell r="X11">
            <v>668.75</v>
          </cell>
          <cell r="Y11">
            <v>668.75</v>
          </cell>
          <cell r="Z11">
            <v>668.75</v>
          </cell>
          <cell r="AA11">
            <v>668.75</v>
          </cell>
          <cell r="AB11">
            <v>668.75</v>
          </cell>
          <cell r="AC11">
            <v>668.75</v>
          </cell>
        </row>
        <row r="12">
          <cell r="B12" t="str">
            <v>Interest Expenses 2</v>
          </cell>
          <cell r="D12">
            <v>1718</v>
          </cell>
          <cell r="F12">
            <v>588.53125</v>
          </cell>
          <cell r="G12">
            <v>588.53125</v>
          </cell>
          <cell r="H12">
            <v>630.78477112676069</v>
          </cell>
          <cell r="I12">
            <v>630.78477112676069</v>
          </cell>
          <cell r="J12">
            <v>630.78477112676069</v>
          </cell>
          <cell r="K12">
            <v>694.16505281690149</v>
          </cell>
          <cell r="L12">
            <v>694.16505281690149</v>
          </cell>
          <cell r="M12">
            <v>694.16505281690149</v>
          </cell>
          <cell r="N12">
            <v>710.01012323943667</v>
          </cell>
          <cell r="O12">
            <v>710.01012323943667</v>
          </cell>
          <cell r="P12">
            <v>710.01012323943667</v>
          </cell>
          <cell r="Q12">
            <v>710.01012323943667</v>
          </cell>
          <cell r="R12">
            <v>775.3684565727699</v>
          </cell>
          <cell r="S12">
            <v>775.3684565727699</v>
          </cell>
          <cell r="T12">
            <v>775.3684565727699</v>
          </cell>
          <cell r="U12">
            <v>775.3684565727699</v>
          </cell>
          <cell r="V12">
            <v>775.3684565727699</v>
          </cell>
          <cell r="W12">
            <v>721.89345657276999</v>
          </cell>
          <cell r="X12">
            <v>721.89345657276999</v>
          </cell>
          <cell r="Y12">
            <v>721.89345657276999</v>
          </cell>
          <cell r="Z12">
            <v>721.89345657276999</v>
          </cell>
          <cell r="AA12">
            <v>721.89345657276999</v>
          </cell>
          <cell r="AB12">
            <v>721.89345657276999</v>
          </cell>
          <cell r="AC12">
            <v>721.89345657276999</v>
          </cell>
        </row>
        <row r="15">
          <cell r="B15" t="str">
            <v>Indebtedness</v>
          </cell>
        </row>
        <row r="16">
          <cell r="B16" t="str">
            <v>Capital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 t="str">
            <v>New AFAC</v>
          </cell>
        </row>
        <row r="18">
          <cell r="B18" t="str">
            <v>Capitalized Loan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20">
          <cell r="B20" t="str">
            <v>Principal Loan Related Parties</v>
          </cell>
          <cell r="F20">
            <v>20625</v>
          </cell>
          <cell r="G20">
            <v>20625</v>
          </cell>
          <cell r="H20">
            <v>24380.86854460094</v>
          </cell>
          <cell r="I20">
            <v>24380.86854460094</v>
          </cell>
          <cell r="J20">
            <v>24380.86854460094</v>
          </cell>
          <cell r="K20">
            <v>30014.671361502347</v>
          </cell>
          <cell r="L20">
            <v>30014.671361502347</v>
          </cell>
          <cell r="M20">
            <v>30014.671361502347</v>
          </cell>
          <cell r="N20">
            <v>31423.122065727701</v>
          </cell>
          <cell r="O20">
            <v>31423.122065727701</v>
          </cell>
          <cell r="P20">
            <v>31423.122065727701</v>
          </cell>
          <cell r="Q20">
            <v>31423.122065727701</v>
          </cell>
          <cell r="R20">
            <v>31423.122065727701</v>
          </cell>
          <cell r="S20">
            <v>31423.122065727701</v>
          </cell>
          <cell r="T20">
            <v>31423.122065727701</v>
          </cell>
          <cell r="U20">
            <v>31423.122065727701</v>
          </cell>
          <cell r="V20">
            <v>31423.122065727701</v>
          </cell>
          <cell r="W20">
            <v>31423.122065727701</v>
          </cell>
          <cell r="X20">
            <v>31423.122065727701</v>
          </cell>
          <cell r="Y20">
            <v>31423.122065727701</v>
          </cell>
          <cell r="Z20">
            <v>31423.122065727701</v>
          </cell>
          <cell r="AA20">
            <v>31423.122065727701</v>
          </cell>
          <cell r="AB20">
            <v>31423.122065727701</v>
          </cell>
          <cell r="AC20">
            <v>31423.122065727701</v>
          </cell>
        </row>
        <row r="21">
          <cell r="B21" t="str">
            <v>Principal Loan Banks</v>
          </cell>
          <cell r="D21">
            <v>30000</v>
          </cell>
          <cell r="F21">
            <v>30000</v>
          </cell>
          <cell r="G21">
            <v>30000</v>
          </cell>
          <cell r="H21">
            <v>30000</v>
          </cell>
          <cell r="I21">
            <v>30000</v>
          </cell>
          <cell r="J21">
            <v>30000</v>
          </cell>
          <cell r="K21">
            <v>30000</v>
          </cell>
          <cell r="L21">
            <v>30000</v>
          </cell>
          <cell r="M21">
            <v>30000</v>
          </cell>
          <cell r="N21">
            <v>30000</v>
          </cell>
          <cell r="O21">
            <v>30000</v>
          </cell>
          <cell r="P21">
            <v>30000</v>
          </cell>
          <cell r="Q21">
            <v>30000</v>
          </cell>
          <cell r="R21">
            <v>35500</v>
          </cell>
          <cell r="S21">
            <v>35500</v>
          </cell>
          <cell r="T21">
            <v>35500</v>
          </cell>
          <cell r="U21">
            <v>35500</v>
          </cell>
          <cell r="V21">
            <v>35500</v>
          </cell>
          <cell r="W21">
            <v>31000</v>
          </cell>
          <cell r="X21">
            <v>31000</v>
          </cell>
          <cell r="Y21">
            <v>31000</v>
          </cell>
          <cell r="Z21">
            <v>31000</v>
          </cell>
          <cell r="AA21">
            <v>31000</v>
          </cell>
          <cell r="AB21">
            <v>31000</v>
          </cell>
          <cell r="AC21">
            <v>31000</v>
          </cell>
        </row>
        <row r="22">
          <cell r="B22" t="str">
            <v>Bank Interest rate(year)</v>
          </cell>
          <cell r="F22">
            <v>0.1426</v>
          </cell>
          <cell r="G22">
            <v>0.1426</v>
          </cell>
          <cell r="H22">
            <v>0.1426</v>
          </cell>
          <cell r="I22">
            <v>0.1426</v>
          </cell>
          <cell r="J22">
            <v>0.1426</v>
          </cell>
          <cell r="K22">
            <v>0.1426</v>
          </cell>
          <cell r="L22">
            <v>0.1426</v>
          </cell>
          <cell r="M22">
            <v>0.1426</v>
          </cell>
          <cell r="N22">
            <v>0.1426</v>
          </cell>
          <cell r="O22">
            <v>0.1426</v>
          </cell>
          <cell r="P22">
            <v>0.1426</v>
          </cell>
          <cell r="Q22">
            <v>0.1426</v>
          </cell>
          <cell r="R22">
            <v>0.1426</v>
          </cell>
          <cell r="S22">
            <v>0.1426</v>
          </cell>
          <cell r="T22">
            <v>0.1426</v>
          </cell>
          <cell r="U22">
            <v>0.1426</v>
          </cell>
          <cell r="V22">
            <v>0.1426</v>
          </cell>
          <cell r="W22">
            <v>0.1426</v>
          </cell>
          <cell r="X22">
            <v>0.1426</v>
          </cell>
          <cell r="Y22">
            <v>0.1426</v>
          </cell>
          <cell r="Z22">
            <v>0.1426</v>
          </cell>
          <cell r="AA22">
            <v>0.1426</v>
          </cell>
          <cell r="AB22">
            <v>0.1426</v>
          </cell>
          <cell r="AC22">
            <v>0.1426</v>
          </cell>
        </row>
        <row r="24">
          <cell r="B24" t="str">
            <v>Begin Balance</v>
          </cell>
          <cell r="F24">
            <v>50625</v>
          </cell>
          <cell r="G24">
            <v>51064</v>
          </cell>
          <cell r="H24">
            <v>51503</v>
          </cell>
          <cell r="I24">
            <v>54690.122065727701</v>
          </cell>
          <cell r="J24">
            <v>55144.145539906101</v>
          </cell>
          <cell r="K24">
            <v>55598.169014084502</v>
          </cell>
          <cell r="L24">
            <v>60699.375586854454</v>
          </cell>
          <cell r="M24">
            <v>61216.779342722999</v>
          </cell>
          <cell r="N24">
            <v>61734.183098591544</v>
          </cell>
          <cell r="O24">
            <v>62625.882629107975</v>
          </cell>
          <cell r="P24">
            <v>63159.131455399052</v>
          </cell>
          <cell r="Q24">
            <v>63692.38028169013</v>
          </cell>
          <cell r="R24">
            <v>63175.629107981207</v>
          </cell>
          <cell r="S24">
            <v>69274.236267605622</v>
          </cell>
          <cell r="T24">
            <v>69872.843427230036</v>
          </cell>
          <cell r="U24">
            <v>69228.950586854451</v>
          </cell>
          <cell r="V24">
            <v>69827.557746478866</v>
          </cell>
          <cell r="W24">
            <v>70426.16490610328</v>
          </cell>
          <cell r="X24">
            <v>65228.797065727689</v>
          </cell>
          <cell r="Y24">
            <v>65773.929225352098</v>
          </cell>
          <cell r="Z24">
            <v>66319.061384976507</v>
          </cell>
          <cell r="AA24">
            <v>65779.193544600916</v>
          </cell>
          <cell r="AB24">
            <v>66324.325704225324</v>
          </cell>
          <cell r="AC24">
            <v>66869.457863849733</v>
          </cell>
        </row>
        <row r="25">
          <cell r="B25" t="str">
            <v>New Bank loan</v>
          </cell>
          <cell r="R25">
            <v>5500</v>
          </cell>
          <cell r="W25">
            <v>5500</v>
          </cell>
        </row>
        <row r="26">
          <cell r="B26" t="str">
            <v>New Shareholder loan</v>
          </cell>
          <cell r="H26">
            <v>3755.868544600939</v>
          </cell>
          <cell r="K26">
            <v>5633.8028169014087</v>
          </cell>
          <cell r="N26">
            <v>1408.4507042253522</v>
          </cell>
        </row>
        <row r="27">
          <cell r="B27" t="str">
            <v>Bank Principal Repayment</v>
          </cell>
          <cell r="W27">
            <v>-10000</v>
          </cell>
        </row>
        <row r="28">
          <cell r="B28" t="str">
            <v>Loan Transformed in Equity</v>
          </cell>
        </row>
        <row r="29">
          <cell r="B29" t="str">
            <v>Accrual interest (2)</v>
          </cell>
          <cell r="F29">
            <v>588.53125</v>
          </cell>
          <cell r="G29">
            <v>588.53125</v>
          </cell>
          <cell r="H29">
            <v>630.78477112676069</v>
          </cell>
          <cell r="I29">
            <v>630.78477112676069</v>
          </cell>
          <cell r="J29">
            <v>630.78477112676069</v>
          </cell>
          <cell r="K29">
            <v>694.16505281690149</v>
          </cell>
          <cell r="L29">
            <v>694.16505281690149</v>
          </cell>
          <cell r="M29">
            <v>694.16505281690149</v>
          </cell>
          <cell r="N29">
            <v>710.01012323943667</v>
          </cell>
          <cell r="O29">
            <v>710.01012323943667</v>
          </cell>
          <cell r="P29">
            <v>710.01012323943667</v>
          </cell>
          <cell r="Q29">
            <v>710.01012323943667</v>
          </cell>
          <cell r="R29">
            <v>775.3684565727699</v>
          </cell>
          <cell r="S29">
            <v>775.3684565727699</v>
          </cell>
          <cell r="T29">
            <v>775.3684565727699</v>
          </cell>
          <cell r="U29">
            <v>775.3684565727699</v>
          </cell>
          <cell r="V29">
            <v>775.3684565727699</v>
          </cell>
          <cell r="W29">
            <v>721.89345657276999</v>
          </cell>
          <cell r="X29">
            <v>721.89345657276999</v>
          </cell>
          <cell r="Y29">
            <v>721.89345657276999</v>
          </cell>
          <cell r="Z29">
            <v>721.89345657276999</v>
          </cell>
          <cell r="AA29">
            <v>721.89345657276999</v>
          </cell>
          <cell r="AB29">
            <v>721.89345657276999</v>
          </cell>
          <cell r="AC29">
            <v>721.89345657276999</v>
          </cell>
        </row>
        <row r="30">
          <cell r="B30" t="str">
            <v>Interest Paid</v>
          </cell>
          <cell r="F30">
            <v>-149.53125</v>
          </cell>
          <cell r="G30">
            <v>-149.53125</v>
          </cell>
          <cell r="H30">
            <v>-1199.53125</v>
          </cell>
          <cell r="I30">
            <v>-176.76129694835683</v>
          </cell>
          <cell r="J30">
            <v>-176.76129694835683</v>
          </cell>
          <cell r="K30">
            <v>-1226.7612969483569</v>
          </cell>
          <cell r="L30">
            <v>-176.76129694835683</v>
          </cell>
          <cell r="M30">
            <v>-176.76129694835683</v>
          </cell>
          <cell r="N30">
            <v>-1226.7612969483569</v>
          </cell>
          <cell r="O30">
            <v>-176.76129694835683</v>
          </cell>
          <cell r="P30">
            <v>-176.76129694835683</v>
          </cell>
          <cell r="Q30">
            <v>-1226.7612969483569</v>
          </cell>
          <cell r="R30">
            <v>-176.76129694835683</v>
          </cell>
          <cell r="S30">
            <v>-176.76129694835683</v>
          </cell>
          <cell r="T30">
            <v>-1419.2612969483571</v>
          </cell>
          <cell r="U30">
            <v>-176.76129694835683</v>
          </cell>
          <cell r="V30">
            <v>-176.76129694835683</v>
          </cell>
          <cell r="W30">
            <v>-1419.2612969483571</v>
          </cell>
          <cell r="X30">
            <v>-176.76129694835683</v>
          </cell>
          <cell r="Y30">
            <v>-176.76129694835683</v>
          </cell>
          <cell r="Z30">
            <v>-1261.7612969483569</v>
          </cell>
          <cell r="AA30">
            <v>-176.76129694835683</v>
          </cell>
          <cell r="AB30">
            <v>-176.76129694835683</v>
          </cell>
          <cell r="AC30">
            <v>-1261.7612969483569</v>
          </cell>
        </row>
        <row r="31">
          <cell r="B31" t="str">
            <v>End Indebtedness</v>
          </cell>
          <cell r="F31">
            <v>51064</v>
          </cell>
          <cell r="G31">
            <v>51503</v>
          </cell>
          <cell r="H31">
            <v>54690.122065727701</v>
          </cell>
          <cell r="I31">
            <v>55144.145539906101</v>
          </cell>
          <cell r="J31">
            <v>55598.169014084502</v>
          </cell>
          <cell r="K31">
            <v>60699.375586854454</v>
          </cell>
          <cell r="L31">
            <v>61216.779342722999</v>
          </cell>
          <cell r="M31">
            <v>61734.183098591544</v>
          </cell>
          <cell r="N31">
            <v>62625.882629107975</v>
          </cell>
          <cell r="O31">
            <v>63159.131455399052</v>
          </cell>
          <cell r="P31">
            <v>63692.38028169013</v>
          </cell>
          <cell r="Q31">
            <v>63175.629107981207</v>
          </cell>
          <cell r="R31">
            <v>69274.236267605622</v>
          </cell>
          <cell r="S31">
            <v>69872.843427230036</v>
          </cell>
          <cell r="T31">
            <v>69228.950586854451</v>
          </cell>
          <cell r="U31">
            <v>69827.557746478866</v>
          </cell>
          <cell r="V31">
            <v>70426.16490610328</v>
          </cell>
          <cell r="W31">
            <v>65228.797065727689</v>
          </cell>
          <cell r="X31">
            <v>65773.929225352098</v>
          </cell>
          <cell r="Y31">
            <v>66319.061384976507</v>
          </cell>
          <cell r="Z31">
            <v>65779.193544600916</v>
          </cell>
          <cell r="AA31">
            <v>66324.325704225324</v>
          </cell>
          <cell r="AB31">
            <v>66869.457863849733</v>
          </cell>
          <cell r="AC31">
            <v>66329.590023474142</v>
          </cell>
        </row>
        <row r="33">
          <cell r="B33" t="str">
            <v>US$ rate</v>
          </cell>
          <cell r="F33">
            <v>2.13</v>
          </cell>
          <cell r="G33">
            <v>2.13</v>
          </cell>
          <cell r="H33">
            <v>2.13</v>
          </cell>
          <cell r="I33">
            <v>2.13</v>
          </cell>
          <cell r="J33">
            <v>2.13</v>
          </cell>
          <cell r="K33">
            <v>2.13</v>
          </cell>
          <cell r="L33">
            <v>2.13</v>
          </cell>
          <cell r="M33">
            <v>2.13</v>
          </cell>
          <cell r="N33">
            <v>2.13</v>
          </cell>
          <cell r="O33">
            <v>2.13</v>
          </cell>
          <cell r="P33">
            <v>2.13</v>
          </cell>
          <cell r="Q33">
            <v>2.13</v>
          </cell>
          <cell r="R33">
            <v>2.13</v>
          </cell>
          <cell r="S33">
            <v>2.13</v>
          </cell>
          <cell r="T33">
            <v>2.13</v>
          </cell>
          <cell r="U33">
            <v>2.13</v>
          </cell>
          <cell r="V33">
            <v>2.13</v>
          </cell>
          <cell r="W33">
            <v>2.13</v>
          </cell>
          <cell r="X33">
            <v>2.13</v>
          </cell>
          <cell r="Y33">
            <v>2.13</v>
          </cell>
          <cell r="Z33">
            <v>2.13</v>
          </cell>
          <cell r="AA33">
            <v>2.13</v>
          </cell>
          <cell r="AB33">
            <v>2.13</v>
          </cell>
          <cell r="AC33">
            <v>2.13</v>
          </cell>
        </row>
        <row r="37">
          <cell r="F37" t="str">
            <v>Q4/00</v>
          </cell>
          <cell r="H37" t="str">
            <v>Q1/01</v>
          </cell>
          <cell r="K37" t="str">
            <v>Q2/01</v>
          </cell>
          <cell r="N37" t="str">
            <v>Q3/01</v>
          </cell>
          <cell r="Q37" t="str">
            <v>Q4/01</v>
          </cell>
          <cell r="T37" t="str">
            <v>Q1/02</v>
          </cell>
          <cell r="W37" t="str">
            <v>Q2/02</v>
          </cell>
          <cell r="Z37" t="str">
            <v>Q3/02</v>
          </cell>
          <cell r="AC37" t="str">
            <v>Q4/02</v>
          </cell>
        </row>
        <row r="39">
          <cell r="B39" t="str">
            <v>Consolidated Adjusted Ebitda</v>
          </cell>
          <cell r="F39">
            <v>8005.0839240050409</v>
          </cell>
          <cell r="H39">
            <v>7223.208699246974</v>
          </cell>
          <cell r="K39">
            <v>6618.2214084311872</v>
          </cell>
          <cell r="N39">
            <v>8186.4609311035038</v>
          </cell>
          <cell r="Q39">
            <v>10370.354703415403</v>
          </cell>
          <cell r="T39">
            <v>12897.927102972602</v>
          </cell>
          <cell r="W39">
            <v>15719.250458821174</v>
          </cell>
          <cell r="Z39">
            <v>19580.555301299602</v>
          </cell>
          <cell r="AC39">
            <v>25777.969433887174</v>
          </cell>
        </row>
        <row r="40">
          <cell r="B40" t="str">
            <v>Consolidated adj.Interest Expense</v>
          </cell>
          <cell r="F40">
            <v>6815.0109866060002</v>
          </cell>
          <cell r="H40">
            <v>7051.6945422535209</v>
          </cell>
          <cell r="K40">
            <v>7527.1637323943678</v>
          </cell>
          <cell r="N40">
            <v>8108.149647887326</v>
          </cell>
          <cell r="Q40">
            <v>8456.7411971830988</v>
          </cell>
          <cell r="T40">
            <v>8912.2714788732392</v>
          </cell>
          <cell r="W40">
            <v>9197.4714788732381</v>
          </cell>
          <cell r="Z40">
            <v>8876.6214788732395</v>
          </cell>
          <cell r="AC40">
            <v>8662.7214788732399</v>
          </cell>
        </row>
        <row r="41">
          <cell r="B41" t="str">
            <v>A) INTEREST COVERAGE</v>
          </cell>
          <cell r="F41">
            <v>1.174625241212079</v>
          </cell>
          <cell r="H41">
            <v>1.0243224030714526</v>
          </cell>
          <cell r="K41">
            <v>0.87924504417893823</v>
          </cell>
          <cell r="N41">
            <v>1.0096583421146628</v>
          </cell>
          <cell r="Q41">
            <v>1.226282614261593</v>
          </cell>
          <cell r="T41">
            <v>1.4472098536885303</v>
          </cell>
          <cell r="W41">
            <v>1.709083903649887</v>
          </cell>
          <cell r="Z41">
            <v>2.2058567381635243</v>
          </cell>
          <cell r="AC41">
            <v>2.9757356849986265</v>
          </cell>
        </row>
        <row r="42">
          <cell r="B42" t="str">
            <v xml:space="preserve">      INDENTURE</v>
          </cell>
          <cell r="F42">
            <v>1.1000000000000001</v>
          </cell>
          <cell r="H42">
            <v>1.25</v>
          </cell>
          <cell r="K42">
            <v>1.25</v>
          </cell>
          <cell r="N42">
            <v>1.5</v>
          </cell>
          <cell r="Q42">
            <v>1.5</v>
          </cell>
          <cell r="T42">
            <v>1.75</v>
          </cell>
          <cell r="W42">
            <v>1.75</v>
          </cell>
          <cell r="Z42">
            <v>2</v>
          </cell>
          <cell r="AC42">
            <v>2</v>
          </cell>
        </row>
        <row r="43">
          <cell r="B43" t="str">
            <v>In complace:</v>
          </cell>
          <cell r="F43" t="str">
            <v>ok</v>
          </cell>
          <cell r="H43" t="str">
            <v>not match</v>
          </cell>
          <cell r="K43" t="str">
            <v>not match</v>
          </cell>
          <cell r="N43" t="str">
            <v>not match</v>
          </cell>
          <cell r="Q43" t="str">
            <v>not match</v>
          </cell>
          <cell r="T43" t="str">
            <v>not match</v>
          </cell>
          <cell r="W43" t="str">
            <v>not match</v>
          </cell>
          <cell r="Z43" t="str">
            <v>ok</v>
          </cell>
          <cell r="AC43" t="str">
            <v>ok</v>
          </cell>
        </row>
        <row r="47">
          <cell r="B47" t="str">
            <v>Consolidated  Total Indebtedness</v>
          </cell>
          <cell r="F47">
            <v>30000</v>
          </cell>
          <cell r="H47">
            <v>30000</v>
          </cell>
          <cell r="K47">
            <v>30000</v>
          </cell>
          <cell r="N47">
            <v>30000</v>
          </cell>
          <cell r="Q47">
            <v>30000</v>
          </cell>
          <cell r="T47">
            <v>35500</v>
          </cell>
          <cell r="W47">
            <v>31000</v>
          </cell>
          <cell r="Z47">
            <v>31000</v>
          </cell>
          <cell r="AC47">
            <v>31000</v>
          </cell>
        </row>
        <row r="48">
          <cell r="B48" t="str">
            <v>Consolidated Adjusted Ebitda</v>
          </cell>
          <cell r="F48">
            <v>8005.0839240050409</v>
          </cell>
          <cell r="H48">
            <v>7223.208699246974</v>
          </cell>
          <cell r="K48">
            <v>6618.2214084311872</v>
          </cell>
          <cell r="N48">
            <v>8186.4609311035038</v>
          </cell>
          <cell r="Q48">
            <v>10370.354703415403</v>
          </cell>
          <cell r="T48">
            <v>12897.927102972602</v>
          </cell>
          <cell r="W48">
            <v>15719.250458821174</v>
          </cell>
          <cell r="Z48">
            <v>19580.555301299602</v>
          </cell>
          <cell r="AC48">
            <v>25777.969433887174</v>
          </cell>
        </row>
        <row r="49">
          <cell r="B49" t="str">
            <v>B) LEVERAGE-INDEBTEDNESS</v>
          </cell>
          <cell r="F49">
            <v>3.7476184240915034</v>
          </cell>
          <cell r="H49">
            <v>4.1532788611143863</v>
          </cell>
          <cell r="K49">
            <v>4.5329399167247466</v>
          </cell>
          <cell r="N49">
            <v>3.664587207155475</v>
          </cell>
          <cell r="Q49">
            <v>2.8928615132247799</v>
          </cell>
          <cell r="T49">
            <v>2.7523802636330816</v>
          </cell>
          <cell r="W49">
            <v>1.9721042094983432</v>
          </cell>
          <cell r="Z49">
            <v>1.5832033118050777</v>
          </cell>
          <cell r="AC49">
            <v>1.2025772658124132</v>
          </cell>
        </row>
        <row r="50">
          <cell r="B50" t="str">
            <v xml:space="preserve">      INDENTURE</v>
          </cell>
          <cell r="F50">
            <v>6</v>
          </cell>
          <cell r="H50">
            <v>5.5</v>
          </cell>
          <cell r="K50">
            <v>5</v>
          </cell>
          <cell r="N50">
            <v>4.5</v>
          </cell>
          <cell r="Q50">
            <v>4</v>
          </cell>
          <cell r="T50">
            <v>4</v>
          </cell>
          <cell r="W50">
            <v>4</v>
          </cell>
          <cell r="Z50">
            <v>4</v>
          </cell>
          <cell r="AC50">
            <v>4</v>
          </cell>
        </row>
        <row r="51">
          <cell r="B51" t="str">
            <v>In complace:</v>
          </cell>
          <cell r="F51" t="str">
            <v>ok</v>
          </cell>
          <cell r="H51" t="str">
            <v>ok</v>
          </cell>
          <cell r="K51" t="str">
            <v>ok</v>
          </cell>
          <cell r="N51" t="str">
            <v>ok</v>
          </cell>
          <cell r="Q51" t="str">
            <v>ok</v>
          </cell>
          <cell r="T51" t="str">
            <v>ok</v>
          </cell>
          <cell r="W51" t="str">
            <v>ok</v>
          </cell>
          <cell r="Z51" t="str">
            <v>ok</v>
          </cell>
          <cell r="AC51" t="str">
            <v>ok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Nota Explicativa"/>
      <sheetName val="Apresentação"/>
      <sheetName val="Mapa de Movimentação"/>
      <sheetName val="Global Deprec. 31.10"/>
      <sheetName val=" Parâmetros - Depreciação"/>
      <sheetName val="Global Deprec. 31.12"/>
      <sheetName val="Tabela de Parâmetros"/>
      <sheetName val="Teste Inspeção 31.10"/>
      <sheetName val="LOG Inspec."/>
      <sheetName val="Teste Adições 31.10"/>
      <sheetName val="LOG Adições"/>
      <sheetName val="XREF"/>
      <sheetName val="Tickmarks"/>
      <sheetName val="#REF"/>
      <sheetName val="Plan1"/>
      <sheetName val="Versao 1b ($=R$2,13)"/>
      <sheetName val="REAGO - Movimentação"/>
      <sheetName val="Reago - Nota"/>
      <sheetName val="REAGO - Teste de adição"/>
      <sheetName val="REAGO - Saldo Inicial"/>
      <sheetName val="REAGO - PAS Depreciação"/>
      <sheetName val="CAVO - Movimentação"/>
      <sheetName val="CAVO - Imob Andamento"/>
      <sheetName val="CAVO - Teste de adição"/>
      <sheetName val="CAVO - Saldo Inicial"/>
      <sheetName val="CAVO - Baixas"/>
      <sheetName val="CAVO - PAS Depreciação"/>
      <sheetName val="CCO - Movimentação"/>
      <sheetName val="CCO - Teste de adição"/>
      <sheetName val="CCO - Saldo Inicial"/>
      <sheetName val="CCO - PAS Depreciação"/>
      <sheetName val="EPC - Movimentação"/>
      <sheetName val="EPC - Saldo Inicial"/>
      <sheetName val="EPC - Baixas"/>
      <sheetName val="EPC - PAS Depreciação"/>
      <sheetName val="CNEC - Movimentação"/>
      <sheetName val="CNEC - Teste de adição"/>
      <sheetName val="CNEC - Saldo Inicial"/>
      <sheetName val="CNEC - Baixas"/>
      <sheetName val="CNEC - PAS Depreciação"/>
      <sheetName val="CCTrans - Movimentação"/>
      <sheetName val="CCTrans - Teste de adição"/>
      <sheetName val="CCTrans - Saldo Inicial"/>
      <sheetName val="CCTrans - PAS Depreciação"/>
      <sheetName val="CCDI - Movimentação"/>
      <sheetName val="CCDI - Nota"/>
      <sheetName val="CCDI - Teste de adição"/>
      <sheetName val="CCDI - Saldo Inicial"/>
      <sheetName val="CCDI - PAS Depreciação"/>
      <sheetName val="CCE - Movimentação"/>
      <sheetName val="CCE - Saldo Inicial"/>
      <sheetName val="CCE - PAS Depreciação"/>
      <sheetName val="CCSA - Movimentação"/>
      <sheetName val="CCSA - Teste de adição"/>
      <sheetName val="CCSA - Saldo Inicial"/>
      <sheetName val="CCSA - PAS Depreciação"/>
      <sheetName val="MVTA - Movimentação"/>
      <sheetName val="MVTA - Nota"/>
      <sheetName val="MVTA - Teste de adição"/>
      <sheetName val="MVTA - Saldo Inicial"/>
      <sheetName val="MVTA - PAS Depreciação"/>
      <sheetName val="Command Log"/>
      <sheetName val="CCDI - DOAR"/>
      <sheetName val="Worksheet in 5610 Ativo Imobili"/>
      <sheetName val="CDI-MENSAL"/>
      <sheetName val="Mapa Imobilizado"/>
      <sheetName val="PAS Depreciação"/>
      <sheetName val="Teste Adição"/>
      <sheetName val="Comparativo"/>
      <sheetName val="Mapa Imobilizado 30.09.01"/>
      <sheetName val="Mapa Imobilizado 31dez01"/>
      <sheetName val="Comp. de Baixas"/>
      <sheetName val="Teste Depreciação BB 30set01"/>
      <sheetName val="Teste Depreciação BB 31dez01"/>
      <sheetName val="Sd. Inicial e I. Física"/>
      <sheetName val="Teste de Adições"/>
      <sheetName val="Log @ ACL Saldo Inicial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bras TVA"/>
      <sheetName val="São Jose"/>
      <sheetName val="Eucalipto"/>
      <sheetName val="Mogno"/>
      <sheetName val="Canpar"/>
      <sheetName val="Canbras Net"/>
      <sheetName val="Walberg"/>
      <sheetName val="Licenses Consol"/>
      <sheetName val="Consol &amp; Inputs"/>
      <sheetName val="Free Cash flow"/>
      <sheetName val="Plan1"/>
      <sheetName val="MAPA"/>
      <sheetName val="DMPL"/>
      <sheetName val="Programação"/>
      <sheetName val="Referências"/>
      <sheetName val="EQUITY ODEQUI"/>
      <sheetName val="BP CITI R$MIL"/>
      <sheetName val="BP CITI"/>
      <sheetName val="BP SOCIETÁRIA"/>
      <sheetName val="CHECK"/>
      <sheetName val="DEP_JUD"/>
      <sheetName val="ESTOQUES"/>
      <sheetName val="FINANC_CP"/>
      <sheetName val="FINANC_LP"/>
      <sheetName val="MUPL"/>
      <sheetName val="POLA"/>
      <sheetName val="RELAC_ECP"/>
      <sheetName val="RELAC_RCP"/>
      <sheetName val="RELAC_RLP"/>
      <sheetName val="SAQ_ECP"/>
      <sheetName val="SAQ_ELP"/>
      <sheetName val="SAQ_RCP"/>
      <sheetName val="TVM"/>
      <sheetName val="Canbras_TVA"/>
      <sheetName val="São_Jose"/>
      <sheetName val="Canbras_Net"/>
      <sheetName val="Licenses_Consol"/>
      <sheetName val="Consol_&amp;_Inputs"/>
      <sheetName val="Free_Cash_flow"/>
      <sheetName val="EQUITY_ODEQUI"/>
      <sheetName val="BP_CITI_R$MIL"/>
      <sheetName val="BP_CITI"/>
      <sheetName val="BP_SOCIETÁRIA"/>
      <sheetName val="CÁLCULO GRÁFICO"/>
      <sheetName val="Tabela de Parâmetros"/>
      <sheetName val="2004-3 Budget - jv270104"/>
      <sheetName val="NTN_NBCE_SWAP"/>
      <sheetName val="RESUMO SIMUL"/>
      <sheetName val="Atual. cambial"/>
      <sheetName val="T.C. (2)"/>
      <sheetName val="Ref"/>
      <sheetName val="Actual"/>
      <sheetName val="Budget"/>
      <sheetName val="Cod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Análise Aging"/>
      <sheetName val="Atual. cambial"/>
      <sheetName val="Partes Relacionadas"/>
      <sheetName val="Movimentação Clientes"/>
      <sheetName val="XREF"/>
      <sheetName val="Tickmarks"/>
      <sheetName val="Atual_ cambial"/>
      <sheetName val="CÁLCULO GRÁFICO"/>
      <sheetName val="Aging"/>
      <sheetName val="PDD-Movimentação"/>
      <sheetName val="{PPC}Mapa de movimentação"/>
      <sheetName val="ELP"/>
      <sheetName val="Empréstimos"/>
      <sheetName val="Teste Equity 30.09.03"/>
      <sheetName val="Provisão de Juros"/>
      <sheetName val="Mapa"/>
      <sheetName val="Canbras TVA"/>
      <sheetName val="#REF"/>
      <sheetName val="pl atual"/>
      <sheetName val="Cenários"/>
      <sheetName val="Dívidas"/>
      <sheetName val="AEN - Auxiliar"/>
      <sheetName val="CONSOL DRE GERAL"/>
      <sheetName val="DMPL"/>
      <sheetName val="Parâ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Dezembro"/>
      <sheetName val="Empilhado 3"/>
      <sheetName val="Plan1"/>
      <sheetName val=" Dados dos graficos 3"/>
      <sheetName val="Novembro"/>
      <sheetName val="Graficos do AC"/>
      <sheetName val="Graficos do BC"/>
      <sheetName val="Graficos do Si 75%"/>
      <sheetName val="Março (simulação)"/>
      <sheetName val="Graficos do Si CR"/>
      <sheetName val="Empilhado"/>
      <sheetName val=" Dados dos grafic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 (3)"/>
      <sheetName val="BP"/>
      <sheetName val="DR"/>
      <sheetName val="Ajustes"/>
      <sheetName val="Tickmark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BP"/>
      <sheetName val="ESTOQUES"/>
      <sheetName val="RESULTADO MÊS A MÊS"/>
      <sheetName val="6. Projetos em estudo"/>
      <sheetName val="Feriados"/>
      <sheetName val="ORIGINAL"/>
      <sheetName val="CASHJGV"/>
      <sheetName val="S2.1"/>
      <sheetName val="ttel"/>
      <sheetName val="VENDAS "/>
      <sheetName val="Master FIF Flutuação"/>
      <sheetName val=" Fluxo"/>
      <sheetName val="Saída - Relatório Interno"/>
      <sheetName val="Lead"/>
      <sheetName val="FC.3.2"/>
      <sheetName val="BT4 - Ajustes"/>
      <sheetName val="FCF"/>
      <sheetName val="DRE"/>
      <sheetName val="N"/>
      <sheetName val="BALANCETE"/>
      <sheetName val="Resumo Fatur."/>
      <sheetName val="Mapa"/>
      <sheetName val="6__Projetos_em_estudo"/>
      <sheetName val="RESULTADO_MÊS_A_MÊS"/>
      <sheetName val="S2_1"/>
      <sheetName val="Saída_-_Relatório_Interno"/>
      <sheetName val="FC_3_2"/>
      <sheetName val="BT4_-_Ajustes"/>
      <sheetName val="Resumo_Fatur_"/>
      <sheetName val="VENDAS_"/>
      <sheetName val="Master_FIF_Flutuação"/>
      <sheetName val="_Fluxo"/>
      <sheetName val="I De - Para"/>
      <sheetName val="Coob. Emitente"/>
      <sheetName val="Indexador"/>
      <sheetName val="Liquidação"/>
      <sheetName val="Forma de Pagto"/>
      <sheetName val="Periodicidad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Informe"/>
      <sheetName val="Base de Dados"/>
      <sheetName val="FRA"/>
      <sheetName val="COUPOM"/>
      <sheetName val="Fer E CDI"/>
      <sheetName val="N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Fer_E_CDI"/>
      <sheetName val="Feriados"/>
      <sheetName val="Plan1"/>
      <sheetName val="Master FIF Flutuação"/>
      <sheetName val="Janeiro"/>
      <sheetName val="Mapa de Custo Jun.2003"/>
      <sheetName val="Frete"/>
      <sheetName val="Data Sheet"/>
      <sheetName val="Mapa de Resultado"/>
      <sheetName val="Tickmarks "/>
      <sheetName val="XREF"/>
      <sheetName val="Deposito Judicial"/>
      <sheetName val="FLUXO_ENDIVIDAMENTO"/>
      <sheetName val="ÍNDICE"/>
      <sheetName val="COMP_CX"/>
      <sheetName val="FC.3.2"/>
      <sheetName val="Seg A"/>
      <sheetName val="Cover"/>
      <sheetName val="DFLSUBS"/>
      <sheetName val="Cash movement"/>
      <sheetName val="Parm"/>
      <sheetName val="promco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Summary Information"/>
      <sheetName val="Lead"/>
      <sheetName val="Teste Drpc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Lead"/>
      <sheetName val="XREF"/>
      <sheetName val="Summary Information"/>
      <sheetName val="Links"/>
      <sheetName val="Mapa"/>
      <sheetName val="Adições"/>
      <sheetName val="Premissas"/>
      <sheetName val="pl atual"/>
      <sheetName val="UF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Plan1"/>
      <sheetName val="Mapa de Custo Jun.2003"/>
      <sheetName val="Parâmetro"/>
      <sheetName val="Parm"/>
      <sheetName val="ARRENDA"/>
      <sheetName val="FRA"/>
      <sheetName val="COUPOM"/>
      <sheetName val="promcoi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Summary_Information"/>
      <sheetName val="Schedule_A_Exhibit_B-21"/>
      <sheetName val="Exhibit_B1_-_Pre_Funding1"/>
      <sheetName val="Detailed_Adjustments1"/>
      <sheetName val="MC_Investors_Funding1"/>
      <sheetName val="MCII_Funding1"/>
      <sheetName val="MCIII_Funding1"/>
      <sheetName val="Great_Hill_Partners1"/>
      <sheetName val="Great_Hill_Investors1"/>
      <sheetName val="All_Fundings1"/>
      <sheetName val="Summary_Information1"/>
      <sheetName val="HTI_Funding Detail3"/>
      <sheetName val="INCCTOT"/>
      <sheetName val="Cash movement"/>
      <sheetName val="FC.3.2"/>
      <sheetName val="Seg A"/>
      <sheetName val="Fer E CDI"/>
      <sheetName val="N"/>
      <sheetName val="Cover"/>
      <sheetName val="DFLSUBS"/>
      <sheetName val="Base de Dados"/>
      <sheetName val="Informe"/>
      <sheetName val="Master FIF Flutuação"/>
      <sheetName val="Fer_E_CDI"/>
      <sheetName val="Feriados"/>
      <sheetName val="Composiçã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imobilizado"/>
      <sheetName val="Teste S.I. (Imob)"/>
      <sheetName val="Teste de Adições"/>
      <sheetName val="Depreciação (PAS)"/>
      <sheetName val="Diferido"/>
      <sheetName val="Obras em andamento"/>
      <sheetName val="Nota explicativa"/>
      <sheetName val="XREF"/>
      <sheetName val="Tickmarks"/>
      <sheetName val="UFIR"/>
      <sheetName val="RLP"/>
      <sheetName val="Financimentos CP"/>
      <sheetName val="Summary Information"/>
      <sheetName val="Plano de Contas"/>
      <sheetName val="Medições a faturar"/>
      <sheetName val="Premiss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 com PR"/>
      <sheetName val="PIS sem PR "/>
      <sheetName val="UFIR"/>
      <sheetName val="Compensação PIS_CPR"/>
      <sheetName val="Compensação PIS_SPR "/>
      <sheetName val="Selic"/>
      <sheetName val="Links"/>
      <sheetName val="XREF"/>
      <sheetName val="Financimentos CP"/>
      <sheetName val="Quantidade vendida"/>
      <sheetName val="Summary Information"/>
      <sheetName val="Lead"/>
      <sheetName val="Medições a faturar"/>
      <sheetName val="Plano de Contas"/>
      <sheetName val="Premissas"/>
      <sheetName val="circularização"/>
      <sheetName val="Variação Cambial"/>
      <sheetName val="CEEMES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onciliação bancária"/>
      <sheetName val="XREF"/>
      <sheetName val="Tickmarks"/>
      <sheetName val="Programa dos Testes"/>
      <sheetName val="UFIR"/>
      <sheetName val="Medições a faturar"/>
      <sheetName val="Financimentos CP"/>
      <sheetName val="MELHORIAS E OPÇÕES"/>
      <sheetName val="Plano de Contas"/>
      <sheetName val="Premissas"/>
      <sheetName val="Inventário PA"/>
      <sheetName val="Conciliação 31.12.04"/>
      <sheetName val="Conciliação 31.10.04"/>
      <sheetName val="Bancos"/>
      <sheetName val="#REF"/>
      <sheetName val="DR (2)"/>
      <sheetName val="BP"/>
      <sheetName val="DR"/>
      <sheetName val="DM"/>
      <sheetName val="Mapa DOAR"/>
      <sheetName val="Conciliação 31.12.05"/>
      <sheetName val="Aplicação Financeira 31.12.05"/>
      <sheetName val="Conciliação 31.10.05"/>
      <sheetName val="Sudameris CDB out-05"/>
      <sheetName val="Boston Renda Fixa out-05"/>
      <sheetName val="Cálc. CDI"/>
      <sheetName val="Bas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rro_da_Mina"/>
      <sheetName val="DIMA"/>
      <sheetName val="Resumo"/>
      <sheetName val="DIMAx"/>
      <sheetName val="CÓDIGOS"/>
      <sheetName val="BD"/>
      <sheetName val="Plano de Contas"/>
      <sheetName val="MELHORIAS E OPÇÕES"/>
      <sheetName val="Quantidade vendida"/>
      <sheetName val="Links"/>
      <sheetName val="Lead"/>
      <sheetName val="XREF"/>
      <sheetName val="Lead2"/>
      <sheetName val="Andam."/>
      <sheetName val="Concl."/>
      <sheetName val="Excluído"/>
      <sheetName val="Penden."/>
      <sheetName val="Progr."/>
      <sheetName val="Selec.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HORIAS E OPÇÕES"/>
      <sheetName val="ÍNDICE"/>
      <sheetName val="PLANILHA PRINCIPAL"/>
      <sheetName val="Links"/>
      <sheetName val="XREF"/>
      <sheetName val="Lead"/>
      <sheetName val="UFIR"/>
      <sheetName val="Plano de Contas"/>
      <sheetName val="Medições a faturar"/>
      <sheetName val="Premissas"/>
      <sheetName val="Financimentos CP"/>
      <sheetName val="circularização"/>
      <sheetName val="Variação Cambial"/>
      <sheetName val="DR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ação"/>
      <sheetName val="Seleção das Adições"/>
      <sheetName val="Adições"/>
      <sheetName val="Depreciação (PAS)"/>
      <sheetName val="Tabela Parâmetro"/>
      <sheetName val="Links"/>
      <sheetName val="XREF"/>
      <sheetName val="Tickmarks"/>
      <sheetName val="Teste Drpc"/>
      <sheetName val="UFIR"/>
      <sheetName val="Tabela de parâmetro"/>
      <sheetName val="KMP-RFS"/>
      <sheetName val="MTS"/>
      <sheetName val="SPS"/>
      <sheetName val="MELHORIAS E OPÇÕES"/>
      <sheetName val="Plano de Contas"/>
      <sheetName val="Lead2"/>
      <sheetName val="Medições a faturar"/>
      <sheetName val="Depreciação"/>
      <sheetName val="Andam."/>
      <sheetName val="Concl."/>
      <sheetName val="Excluído"/>
      <sheetName val="Penden."/>
      <sheetName val="Progr."/>
      <sheetName val="Selec."/>
      <sheetName val="Inventário P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1" t="str">
            <v>31/12/03</v>
          </cell>
        </row>
        <row r="3">
          <cell r="K3">
            <v>1213650</v>
          </cell>
        </row>
        <row r="4">
          <cell r="K4">
            <v>1213650</v>
          </cell>
        </row>
        <row r="6">
          <cell r="K6">
            <v>3017712.27</v>
          </cell>
        </row>
        <row r="7">
          <cell r="K7">
            <v>6115583.5800000001</v>
          </cell>
        </row>
        <row r="8">
          <cell r="K8">
            <v>1801030.98</v>
          </cell>
        </row>
        <row r="9">
          <cell r="K9">
            <v>100939.9</v>
          </cell>
        </row>
        <row r="10">
          <cell r="K10">
            <v>652003.51</v>
          </cell>
        </row>
        <row r="11">
          <cell r="K11">
            <v>19846957.690000001</v>
          </cell>
        </row>
        <row r="12">
          <cell r="K12">
            <v>12224035.33</v>
          </cell>
        </row>
        <row r="13">
          <cell r="K13">
            <v>341711.72</v>
          </cell>
        </row>
        <row r="14">
          <cell r="K14">
            <v>144573.54</v>
          </cell>
        </row>
        <row r="15">
          <cell r="K15">
            <v>3711350.17</v>
          </cell>
        </row>
        <row r="16">
          <cell r="K16">
            <v>3213.9</v>
          </cell>
        </row>
        <row r="17">
          <cell r="K17">
            <v>11644.4</v>
          </cell>
        </row>
        <row r="18">
          <cell r="K18">
            <v>196175.28</v>
          </cell>
        </row>
        <row r="19">
          <cell r="K19">
            <v>48166932.269999996</v>
          </cell>
        </row>
        <row r="21">
          <cell r="K21">
            <v>3182800.88</v>
          </cell>
        </row>
        <row r="22">
          <cell r="K22">
            <v>3182800.88</v>
          </cell>
        </row>
        <row r="24">
          <cell r="K24">
            <v>1347102.93</v>
          </cell>
        </row>
        <row r="25">
          <cell r="K25">
            <v>1347102.93</v>
          </cell>
        </row>
        <row r="27">
          <cell r="K27">
            <v>109011.53</v>
          </cell>
        </row>
        <row r="28">
          <cell r="K28">
            <v>109011.53</v>
          </cell>
        </row>
        <row r="30">
          <cell r="K30">
            <v>30711.599999999999</v>
          </cell>
        </row>
        <row r="31">
          <cell r="K31">
            <v>30711.599999999999</v>
          </cell>
        </row>
        <row r="33">
          <cell r="K33">
            <v>5586.96</v>
          </cell>
        </row>
        <row r="34">
          <cell r="K34">
            <v>186583.25</v>
          </cell>
        </row>
        <row r="35">
          <cell r="K35">
            <v>192170.21</v>
          </cell>
        </row>
        <row r="37">
          <cell r="K37">
            <v>312422.12</v>
          </cell>
        </row>
        <row r="38">
          <cell r="K38">
            <v>4254.45</v>
          </cell>
        </row>
        <row r="39">
          <cell r="K39">
            <v>17886.02</v>
          </cell>
        </row>
        <row r="40">
          <cell r="K40">
            <v>1264</v>
          </cell>
        </row>
        <row r="41">
          <cell r="K41">
            <v>0</v>
          </cell>
        </row>
        <row r="42">
          <cell r="K42">
            <v>71757.41</v>
          </cell>
        </row>
        <row r="43">
          <cell r="K43">
            <v>145207.67999999999</v>
          </cell>
        </row>
        <row r="44">
          <cell r="K44">
            <v>8439.16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104000</v>
          </cell>
        </row>
        <row r="52">
          <cell r="K52">
            <v>665230.84</v>
          </cell>
        </row>
        <row r="54">
          <cell r="K54">
            <v>-408223.22</v>
          </cell>
        </row>
        <row r="55">
          <cell r="K55">
            <v>-24902.58</v>
          </cell>
        </row>
        <row r="56">
          <cell r="K56">
            <v>-30614.16</v>
          </cell>
        </row>
        <row r="57">
          <cell r="K57">
            <v>-2793.56</v>
          </cell>
        </row>
        <row r="58">
          <cell r="K58">
            <v>-5661.89</v>
          </cell>
        </row>
        <row r="59">
          <cell r="K59">
            <v>-483.72</v>
          </cell>
        </row>
        <row r="60">
          <cell r="K60">
            <v>-18415.509999999998</v>
          </cell>
        </row>
        <row r="61">
          <cell r="K61">
            <v>-2587.73</v>
          </cell>
        </row>
        <row r="62">
          <cell r="K62">
            <v>-10094.32</v>
          </cell>
        </row>
        <row r="63">
          <cell r="K63">
            <v>-32859.839999999997</v>
          </cell>
        </row>
        <row r="64">
          <cell r="K64">
            <v>-149683.5</v>
          </cell>
        </row>
        <row r="65">
          <cell r="K65">
            <v>-17909.11</v>
          </cell>
        </row>
        <row r="66">
          <cell r="K66">
            <v>-372131.82</v>
          </cell>
        </row>
        <row r="67">
          <cell r="K67">
            <v>-753074.69</v>
          </cell>
        </row>
        <row r="68">
          <cell r="K68">
            <v>-12449.39</v>
          </cell>
        </row>
        <row r="69">
          <cell r="K69">
            <v>-80413.94</v>
          </cell>
        </row>
        <row r="70">
          <cell r="K70">
            <v>-373671.82</v>
          </cell>
        </row>
        <row r="71">
          <cell r="K71">
            <v>-219539.74</v>
          </cell>
        </row>
        <row r="72">
          <cell r="K72">
            <v>-2399898.66</v>
          </cell>
        </row>
        <row r="73">
          <cell r="K73">
            <v>-953046.96</v>
          </cell>
        </row>
        <row r="74">
          <cell r="K74">
            <v>-4620.6000000000004</v>
          </cell>
        </row>
        <row r="75">
          <cell r="K75">
            <v>0</v>
          </cell>
        </row>
        <row r="76">
          <cell r="K76">
            <v>-5873076.7599999998</v>
          </cell>
        </row>
        <row r="77">
          <cell r="K77">
            <v>49034533.5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2"/>
      <sheetName val="Sheet1"/>
      <sheetName val="Tickmarks"/>
      <sheetName val="Sheet2"/>
      <sheetName val="Sheet3"/>
      <sheetName val="Medições a faturar"/>
      <sheetName val="Movim. Sibra"/>
      <sheetName val="Lead"/>
      <sheetName val="prod"/>
      <sheetName val="Poupança"/>
      <sheetName val="1. Mapa 31.03.2010"/>
      <sheetName val="XREF"/>
      <sheetName val="Log file"/>
      <sheetName val="Adições"/>
      <sheetName val="Baixas"/>
      <sheetName val="Movimentação "/>
      <sheetName val="Links"/>
      <sheetName val="Mapa"/>
      <sheetName val="Exaustão florestas"/>
      <sheetName val="Depreciação"/>
      <sheetName val="Esforços"/>
      <sheetName val="Supplies"/>
      <sheetName val="Saldo Inicial"/>
      <sheetName val="Energ-Simpl"/>
      <sheetName val="Old Lead"/>
      <sheetName val="PENDENCIAS"/>
      <sheetName val="relação"/>
      <sheetName val="MELHORIAS E OPÇÕES"/>
      <sheetName val="Impostos"/>
      <sheetName val="BP"/>
      <sheetName val="Plano de Contas"/>
      <sheetName val="SERIES CDI E PTAX"/>
      <sheetName val="ce"/>
      <sheetName val="Spot"/>
      <sheetName val="Taxes"/>
      <sheetName val="AA-10(Op.63)"/>
      <sheetName val="Provisões "/>
      <sheetName val="Acomp"/>
      <sheetName val="1) Lead"/>
      <sheetName val="INDIECO1"/>
      <sheetName val="Provisão Férias e 13º"/>
      <sheetName val="DRE"/>
      <sheetName val="Movimentação Imobilizado"/>
      <sheetName val="Fornecedores"/>
      <sheetName val="Partes relacionadas"/>
      <sheetName val="SELIC"/>
      <sheetName val="Inventário PA"/>
      <sheetName val="Teste Drpc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 de Contas"/>
      <sheetName val="MACRO1"/>
      <sheetName val="Page1 - 2"/>
      <sheetName val="Page3 - 5"/>
      <sheetName val="BP"/>
      <sheetName val="DR"/>
      <sheetName val="CF"/>
      <sheetName val="CF (2)"/>
      <sheetName val="ATIVO"/>
      <sheetName val="AC"/>
      <sheetName val="RELP"/>
      <sheetName val="PERMAN - INVEST"/>
      <sheetName val="PERMAN - IMOBILIZADO"/>
      <sheetName val="PASSIVO"/>
      <sheetName val="PC"/>
      <sheetName val="EXLP"/>
      <sheetName val="MUTAÇÃO"/>
      <sheetName val="PIR (IRPJ)"/>
      <sheetName val="PIR (CSL)"/>
      <sheetName val="DEMONSTRAÇÃO DO RESULTADO"/>
      <sheetName val="DR (CUSTEIO MENSAL)"/>
      <sheetName val="BASE DE CÁLCULO (PIS E COFINS)"/>
      <sheetName val="CAPA"/>
      <sheetName val="DR_US$"/>
      <sheetName val="DR (CUSTEIO MENSAL_US$)"/>
      <sheetName val="DR_US$ (2)"/>
      <sheetName val="DR (CUSTEIO MENSAL_US$) (2)"/>
      <sheetName val="Ganho e perda"/>
      <sheetName val="CF_Flutuação"/>
      <sheetName val="DOLAR_2002"/>
      <sheetName val="Links"/>
      <sheetName val="MELHORIAS E OPÇÕES"/>
      <sheetName val="XREF"/>
      <sheetName val="Summary Information"/>
      <sheetName val="UFIR"/>
      <sheetName val="Medições a faturar"/>
      <sheetName val="Premissas"/>
      <sheetName val="Financimentos CP"/>
      <sheetName val="circularização"/>
      <sheetName val="Variação Cambial"/>
      <sheetName val="Teste Drpc"/>
      <sheetName val="A4.3"/>
      <sheetName val="indices"/>
      <sheetName val="Inserir"/>
      <sheetName val="ABC"/>
      <sheetName val="Brasil-SP"/>
      <sheetName val="Banespa"/>
      <sheetName val="Itaú"/>
      <sheetName val="Santander"/>
      <sheetName val="BANKBOSTON"/>
      <sheetName val="Dados"/>
      <sheetName val="saída até 99"/>
      <sheetName val="Lead"/>
      <sheetName val="Mapa"/>
      <sheetName val="Lançamentos Processos"/>
      <sheetName val="ELP"/>
      <sheetName val="DMPL"/>
      <sheetName val="ICMS "/>
      <sheetName val="FGTS e INSS"/>
      <sheetName val="Provisão de Juros"/>
      <sheetName val="Adições"/>
      <sheetName val="Metal Market Data Sources"/>
      <sheetName val="GRAPH SHEET"/>
      <sheetName val="Cover"/>
      <sheetName val="Macro"/>
      <sheetName val="SCG"/>
      <sheetName val="Sum-of-Parts"/>
      <sheetName val="@Home P&amp;L"/>
      <sheetName val="Mortality"/>
      <sheetName val="Plano_de_Cont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 a receber"/>
      <sheetName val="Medições a faturar"/>
      <sheetName val="Circularizações"/>
      <sheetName val="Cut-off"/>
      <sheetName val="Movimentação"/>
      <sheetName val="Tickmarks"/>
      <sheetName val="Mediçõesafaturar"/>
      <sheetName val="relação"/>
      <sheetName val="Lead"/>
      <sheetName val="DRE"/>
      <sheetName val="Adições"/>
      <sheetName val="Saldo Inicial"/>
      <sheetName val="Plano de Contas"/>
      <sheetName val="prod"/>
      <sheetName val="USS99"/>
      <sheetName val="HH"/>
      <sheetName val="XREF"/>
      <sheetName val="Financimentos CP"/>
      <sheetName val="UFIR"/>
      <sheetName val="Links"/>
      <sheetName val="Lead2"/>
      <sheetName val="Teste Drpc"/>
      <sheetName val="MELHORIAS E OPÇÕES"/>
      <sheetName val="Inventário PA"/>
      <sheetName val="Premissas"/>
      <sheetName val="Tabela de parâmetro"/>
      <sheetName val="Plan1"/>
      <sheetName val="EntradaDados"/>
      <sheetName val="INDIECO1"/>
      <sheetName val="N"/>
      <sheetName val="Macro1"/>
      <sheetName val="INDICADORES"/>
      <sheetName val="TBM"/>
      <sheetName val="1) Lead"/>
      <sheetName val="Baixas"/>
      <sheetName val="Movimentação "/>
      <sheetName val="Variáveis de Suporte"/>
      <sheetName val="BP"/>
      <sheetName val="ÍNDICE"/>
      <sheetName val="INFO"/>
      <sheetName val="RDB"/>
      <sheetName val="ATIVO"/>
      <sheetName val="RIS_TECNICHE"/>
      <sheetName val="Recebimentos"/>
      <sheetName val="Saldo devedor"/>
      <sheetName val="CONS1"/>
      <sheetName val="Plan1 (2)"/>
      <sheetName val="Encargos"/>
      <sheetName val="Resumo"/>
      <sheetName val="Intertemporais PIS e COFINS"/>
      <sheetName val="INDICE"/>
      <sheetName val="59"/>
      <sheetName val="Medições_a_fatu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Ativos"/>
      <sheetName val="Passivos"/>
      <sheetName val="cálculos"/>
    </sheetNames>
    <sheetDataSet>
      <sheetData sheetId="0"/>
      <sheetData sheetId="1" refreshError="1"/>
      <sheetData sheetId="2" refreshError="1"/>
      <sheetData sheetId="3">
        <row r="11">
          <cell r="B11" t="str">
            <v>DINHEIRO</v>
          </cell>
        </row>
        <row r="15">
          <cell r="C15">
            <v>380800</v>
          </cell>
        </row>
        <row r="20">
          <cell r="C20">
            <v>221200</v>
          </cell>
        </row>
        <row r="23">
          <cell r="C23">
            <v>159600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  <sheetName val="Canbras TVA"/>
      <sheetName val="Lead"/>
      <sheetName val="Detailed Adjustments"/>
      <sheetName val="Mapa de Custo Jun.2003"/>
      <sheetName val="Master FIF Flutuação"/>
      <sheetName val="Schroder Small Caps"/>
      <sheetName val="Ativo"/>
      <sheetName val="Taxas"/>
      <sheetName val="Premissas"/>
      <sheetName val="10_Year_Pro_Forma"/>
      <sheetName val="Summary_Information"/>
      <sheetName val="Consolidated_Profit_&amp;_Loss-US$"/>
      <sheetName val="Statement_of_Cash_Flows-US$"/>
      <sheetName val="Capitalization_Summary-US$"/>
      <sheetName val="Series_B_Preferred_Returns"/>
      <sheetName val="Subscriber_Payback_Analysis-US$"/>
      <sheetName val="Concession_Assumptions"/>
      <sheetName val="Home_Plant_&amp;_Sub_Assumptions"/>
      <sheetName val="Cap_Ex_Assumptions-US$"/>
      <sheetName val="Depreciation_&amp;_Amortization"/>
      <sheetName val="Video_Services_P&amp;L-US$"/>
      <sheetName val="Data_Services_P&amp;L-US$"/>
      <sheetName val="Voice_Services_P&amp;L-US$"/>
      <sheetName val="Consolidated_Profit_&amp;_Loss-R$"/>
      <sheetName val="Video_Services_Revenue-R$"/>
      <sheetName val="Video_Services_Expense-R$"/>
      <sheetName val="Data_Services_Revenue-R$"/>
      <sheetName val="Data_Services_Expense-R$"/>
      <sheetName val="Voice_Services_Revenue-R$"/>
      <sheetName val="Voice_Services_Expense-R$"/>
      <sheetName val="Staffing_Metrics"/>
      <sheetName val="Canbras_TVA"/>
      <sheetName val="Detailed_Adjustments"/>
      <sheetName val="10_Year_Pro_Forma1"/>
      <sheetName val="Summary_Information1"/>
      <sheetName val="Consolidated_Profit_&amp;_Loss-US$1"/>
      <sheetName val="Statement_of_Cash_Flows-US$1"/>
      <sheetName val="Capitalization_Summary-US$1"/>
      <sheetName val="Series_B_Preferred_Returns1"/>
      <sheetName val="Subscriber_Payback_Analysis-US1"/>
      <sheetName val="Concession_Assumptions1"/>
      <sheetName val="Home_Plant_&amp;_Sub_Assumptions1"/>
      <sheetName val="Cap_Ex_Assumptions-US$1"/>
      <sheetName val="Depreciation_&amp;_Amortization1"/>
      <sheetName val="Video_Services_P&amp;L-US$1"/>
      <sheetName val="Data_Services_P&amp;L-US$1"/>
      <sheetName val="Voice_Services_P&amp;L-US$1"/>
      <sheetName val="Consolidated_Profit_&amp;_Loss-R$1"/>
      <sheetName val="Video_Services_Revenue-R$1"/>
      <sheetName val="Video_Services_Expense-R$1"/>
      <sheetName val="Data_Services_Revenue-R$1"/>
      <sheetName val="Data_Services_Expense-R$1"/>
      <sheetName val="Voice_Services_Revenue-R$1"/>
      <sheetName val="Voice_Services_Expense-R$1"/>
      <sheetName val="Staffing_Metrics1"/>
      <sheetName val="Canbras_TVA1"/>
      <sheetName val="Detailed_Adjustments1"/>
      <sheetName val="Schroder_Small_Caps"/>
      <sheetName val="Brazyc"/>
      <sheetName val="Extraor"/>
      <sheetName val="SCR O&amp;M"/>
      <sheetName val="GRAFICO COMPARATIVA PARQUE"/>
      <sheetName val="Plano de Contas"/>
      <sheetName val="Bal032002"/>
      <sheetName val="04-06-01"/>
      <sheetName val="Contratos_Exercicio"/>
      <sheetName val="inc. claim 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 2011"/>
      <sheetName val="Resultado Ferbasa Jan2011"/>
      <sheetName val="Fev 2011"/>
      <sheetName val="Jan 2012"/>
      <sheetName val="Fev 2012"/>
      <sheetName val="XREF"/>
      <sheetName val="Lead"/>
      <sheetName val="Medições a faturar"/>
      <sheetName val="Financimentos CP"/>
      <sheetName val="Inventário 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PPC}Mapa Mov."/>
      <sheetName val="Adições no imob."/>
      <sheetName val="Log Sel. 1o trim."/>
      <sheetName val="Log Sel. 2o trim."/>
      <sheetName val="Teste Drpc"/>
      <sheetName val="Tabela"/>
      <sheetName val="Juros Cap."/>
      <sheetName val="XREF"/>
      <sheetName val="Tickmarks"/>
      <sheetName val="TesteDrpc"/>
      <sheetName val="Tipos"/>
      <sheetName val="Write Off"/>
      <sheetName val="Venda Pt. Canoas"/>
      <sheetName val="Investimento"/>
      <sheetName val="Reflorestamento (PPC)"/>
      <sheetName val="Reflorestamento"/>
      <sheetName val="ObraAnd."/>
      <sheetName val="PAS-Deprec."/>
      <sheetName val="Log Sel. 3o trim."/>
      <sheetName val="C1398T96"/>
      <sheetName val="Inventário PA"/>
      <sheetName val="Intertemporais PIS e COFINS"/>
      <sheetName val="UFIR"/>
      <sheetName val="ATIVO"/>
      <sheetName val="Lead2"/>
      <sheetName val="Medições a faturar"/>
      <sheetName val="Plano de Contas"/>
      <sheetName val="Aging"/>
      <sheetName val="PDD-Movimentação"/>
      <sheetName val="#REF"/>
      <sheetName val="Teste das baixas"/>
      <sheetName val="6.FOPAG"/>
      <sheetName val="1.Movimentação"/>
      <sheetName val="mov. imob."/>
      <sheetName val="PAS dep. 30.09.03"/>
      <sheetName val="Adição"/>
      <sheetName val="Baixa"/>
      <sheetName val="FLC.COMPL"/>
      <sheetName val="Índices"/>
      <sheetName val="2000"/>
      <sheetName val="Kontensalden"/>
      <sheetName val="Matriz de covariância"/>
      <sheetName val="tabela tpo x ctas."/>
      <sheetName val="Tabela de parâmetro"/>
      <sheetName val="Impostos"/>
    </sheetNames>
    <sheetDataSet>
      <sheetData sheetId="0">
        <row r="1">
          <cell r="F1" t="str">
            <v>Preliminary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ário PA"/>
      <sheetName val="Lead2"/>
      <sheetName val="MELHORIAS E OPÇÕES"/>
      <sheetName val="Plano de Contas"/>
      <sheetName val="XREF"/>
      <sheetName val="Medições a faturar"/>
      <sheetName val="Lead"/>
      <sheetName val="Links"/>
      <sheetName val="Teste Drpc"/>
      <sheetName val="AA-10(Op.63)"/>
      <sheetName val="Depreciação"/>
      <sheetName val="{PPC}Mapa de mo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10.03 (2)"/>
      <sheetName val="#REF"/>
      <sheetName val="Provisão de Juros"/>
      <sheetName val="Mapa"/>
      <sheetName val="Adições"/>
      <sheetName val="Aging"/>
      <sheetName val="XREF"/>
      <sheetName val="PDD-Movimentação"/>
      <sheetName val="Links"/>
      <sheetName val="Lead2"/>
      <sheetName val="Inventário PA"/>
      <sheetName val="Quantidade vendida"/>
      <sheetName val="Teste Drpc"/>
      <sheetName val="C1398T96"/>
      <sheetName val="Mapa de movimentação "/>
      <sheetName val="Mapa de Moviment."/>
      <sheetName val="Encargos"/>
      <sheetName val="Resumo"/>
      <sheetName val="circularização"/>
      <sheetName val="Lead"/>
      <sheetName val="Mapa 31.01.04"/>
      <sheetName val="5.Mútuos"/>
      <sheetName val="Medições a faturar"/>
      <sheetName val="MA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UFIR"/>
      <sheetName val="Teste Drpc"/>
      <sheetName val="Ativo"/>
      <sheetName val="Inventário PA"/>
      <sheetName val="Aging"/>
      <sheetName val="XREF"/>
      <sheetName val="PDD-Movimentação"/>
      <sheetName val="PDD"/>
      <sheetName val="Depreciação"/>
      <sheetName val="Mensagem"/>
      <sheetName val="Parâmetro de receita"/>
      <sheetName val="Determinação dos Parâmetros"/>
      <sheetName val="estoque total dez_98"/>
      <sheetName val="Movimentação"/>
      <sheetName val="Flo1297"/>
      <sheetName val="VENDAS_P_SUBSIDIÁRIA"/>
      <sheetName val="C1398T96"/>
      <sheetName val="Volume"/>
      <sheetName val="Tickmarks"/>
      <sheetName val="A11"/>
      <sheetName val="Macro2"/>
      <sheetName val="Tickmarks "/>
      <sheetName val="Links"/>
      <sheetName val="Teste das baixas"/>
      <sheetName val="VAREX0698"/>
      <sheetName val="Setcomer"/>
      <sheetName val="Pessoal"/>
      <sheetName val="COMPARATIVO"/>
      <sheetName val="0000000"/>
      <sheetName val="Cover"/>
      <sheetName val="VALE  REFEIÇÃO"/>
      <sheetName val="VALE TRANSPORTE  REFEIÇÃO"/>
      <sheetName val="INPC"/>
      <sheetName val="Determinação_dos_Parâmetros"/>
      <sheetName val="Parâmetro_de_receita"/>
      <sheetName val="estoque_total_dez_98"/>
      <sheetName val="BWM"/>
      <sheetName val="Lead"/>
      <sheetName val="BS ME (Old)"/>
      <sheetName val="AcctMapping"/>
      <sheetName val="T&amp;M"/>
      <sheetName val="H.MUNDIAL - 27.01.06 - Ajustado"/>
      <sheetName val="HH"/>
      <sheetName val="RANK1"/>
      <sheetName val="VP_BASE"/>
      <sheetName val="EVOLUÇÃO"/>
      <sheetName val="SUMMARY (1)"/>
      <sheetName val="DADOS"/>
      <sheetName val="PROTEUS"/>
      <sheetName val="BT1"/>
      <sheetName val="N2 1"/>
      <sheetName val="N"/>
      <sheetName val="ce99"/>
      <sheetName val="RIS_TECNICHE"/>
      <sheetName val="TMX-VTAS.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ging"/>
      <sheetName val="aging"/>
      <sheetName val="ACE"/>
      <sheetName val="PDD"/>
      <sheetName val="Receb. Subs."/>
      <sheetName val="Tít.Venc."/>
      <sheetName val="1 a 30"/>
      <sheetName val="31 a 60"/>
      <sheetName val="61 a 90"/>
      <sheetName val="91 a 120"/>
      <sheetName val="&gt; 120"/>
      <sheetName val="a vencer"/>
      <sheetName val="População"/>
      <sheetName val="Seleção"/>
      <sheetName val="XREF"/>
      <sheetName val="Tickmarks"/>
      <sheetName val="PDD-Movimentação"/>
      <sheetName val="Lead"/>
      <sheetName val="Custo x mercado"/>
      <sheetName val="Mapa 31.01.04"/>
      <sheetName val="DRE"/>
      <sheetName val="BP"/>
      <sheetName val="Movimentação"/>
      <sheetName val="Depreciação"/>
      <sheetName val="#REF"/>
      <sheetName val="Teste Drpc"/>
      <sheetName val="Inventário PA"/>
      <sheetName val="Lead2"/>
      <sheetName val="pl atual"/>
      <sheetName val="A11"/>
      <sheetName val="C1398T96"/>
      <sheetName val="Balancete Dez19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PDD"/>
      <sheetName val="Consolidado_1999"/>
      <sheetName val="Depreciação"/>
      <sheetName val="BP"/>
      <sheetName val="Mapa de movimentação "/>
      <sheetName val="Empréstimos"/>
      <sheetName val="aging"/>
      <sheetName val="PDD-Movimentação"/>
      <sheetName val="pl atual"/>
      <sheetName val="Partes Relacionadas"/>
      <sheetName val="IR. CS"/>
      <sheetName val="Tít.Venc."/>
      <sheetName val="Mapa"/>
      <sheetName val="Adiçõ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movimentação "/>
      <sheetName val="mapa de movimentação final"/>
      <sheetName val="Adições e Juros [Out-00] (2)"/>
      <sheetName val="mapa de movimentação"/>
      <sheetName val="Sheet1"/>
      <sheetName val="Tickmarks"/>
      <sheetName val="#REF"/>
      <sheetName val="Mapa de Moviment."/>
      <sheetName val="XREF"/>
      <sheetName val="Circularização"/>
      <sheetName val="Depreciação"/>
      <sheetName val="Mapa"/>
      <sheetName val="Adições"/>
      <sheetName val="PDD"/>
      <sheetName val="Empréstimos"/>
      <sheetName val="Aging"/>
      <sheetName val="PDD-Movimentação"/>
      <sheetName val="Lead"/>
      <sheetName val="Mapa 31.01.04"/>
      <sheetName val="Partes Relacionadas"/>
      <sheetName val="{PPC}Mapa de movimentação"/>
      <sheetName val="Conc. Bancária 31.10.00"/>
      <sheetName val="BP"/>
      <sheetName val="DRE"/>
      <sheetName val="1.CS Gás"/>
      <sheetName val="2.1 Mapa - Termogás"/>
      <sheetName val="2.3 Deságio - Termogás"/>
      <sheetName val="Mov. Juros Capitalizados"/>
      <sheetName val="Mutação"/>
      <sheetName val="Provisão de Juros"/>
      <sheetName val="BB-200 "/>
      <sheetName val="Medições a faturar"/>
      <sheetName val="B"/>
      <sheetName val="低值品"/>
      <sheetName val="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Mapa Empréstimo"/>
      <sheetName val="Adição e Juros"/>
      <sheetName val="Segregação"/>
      <sheetName val="XREF"/>
      <sheetName val="Tickmarks"/>
      <sheetName val="PDD"/>
      <sheetName val="Depreciação"/>
      <sheetName val="Assfin"/>
      <sheetName val="Inventário PA"/>
      <sheetName val="Baixas"/>
      <sheetName val="Movimentação "/>
      <sheetName val="Pas Juros e V.M.C."/>
      <sheetName val="Custo x mercado"/>
      <sheetName val="Mapa de Moviment."/>
      <sheetName val="Aging"/>
      <sheetName val="PDD-Movimentação"/>
      <sheetName val="BP"/>
      <sheetName val="#REF"/>
      <sheetName val="Mapa de movimentação "/>
      <sheetName val="Empréstimos"/>
      <sheetName val="{PPC}Mapa de movimentação"/>
      <sheetName val="DRE"/>
      <sheetName val="Mapa 31.08.02"/>
      <sheetName val="Mapa 31.01.04"/>
      <sheetName val="Mapa"/>
      <sheetName val="Exaustão florestas"/>
      <sheetName val="1.Movimentação"/>
      <sheetName val="Teste Drpc"/>
      <sheetName val="Teste Adições"/>
      <sheetName val="1) Lead"/>
      <sheetName val="Adições"/>
      <sheetName val="Provisão 13 Salário"/>
      <sheetName val="Conc. Bancária 31.10.00"/>
      <sheetName val="Mvt Imobilizado"/>
      <sheetName val="Mapa de Resultado"/>
      <sheetName val="6310-Lead"/>
      <sheetName val="1)Movimentacao"/>
      <sheetName val="FGTS"/>
      <sheetName val="pl atual"/>
      <sheetName val="CAERN"/>
      <sheetName val="ce"/>
      <sheetName val="TABELA FERIAD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Mapa de movimentação "/>
      <sheetName val="PDD"/>
      <sheetName val="Depreciação"/>
      <sheetName val="Empréstimos"/>
      <sheetName val="BP"/>
      <sheetName val="Partes Relacionadas"/>
      <sheetName val="Mapa 31.01.04"/>
      <sheetName val="{PPC}Mapa de movimentação"/>
      <sheetName val="Mapa 31.08.02"/>
      <sheetName val="DRE"/>
      <sheetName val="Custo x merca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UFIR"/>
      <sheetName val="XREF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heet3"/>
      <sheetName val="ICMS"/>
      <sheetName val="Instituicoes2001_LP"/>
      <sheetName val="FLC.COMPL"/>
      <sheetName val="DRE"/>
      <sheetName val="CAERN"/>
      <sheetName val="Summary Information"/>
      <sheetName val="INPUT"/>
      <sheetName val="Resumo"/>
      <sheetName val="Link"/>
      <sheetName val="COTAÇÕES"/>
      <sheetName val="MENSAL"/>
      <sheetName val="VENDAS "/>
      <sheetName val="STATUS"/>
      <sheetName val="Banco de Dados"/>
      <sheetName val="Tabela"/>
      <sheetName val="COMPPROD"/>
      <sheetName val="Tapa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>
        <row r="1">
          <cell r="E1" t="str">
            <v>Name</v>
          </cell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 Balanço"/>
      <sheetName val="Valor Adicionado"/>
      <sheetName val="simulação resultado"/>
      <sheetName val="Grade DRE"/>
      <sheetName val="Grade DOAR"/>
      <sheetName val="LNR Equty"/>
      <sheetName val="Equivalência"/>
      <sheetName val="Partes Relacionadas"/>
      <sheetName val="Balancete Suspensão"/>
      <sheetName val="Dividendos"/>
      <sheetName val="LNR"/>
      <sheetName val="NOTAS EXPLICATIVAS"/>
      <sheetName val="Empréstimos"/>
      <sheetName val="Aging"/>
      <sheetName val="XREF"/>
      <sheetName val="PDD-Movimentação"/>
      <sheetName val="Mapa"/>
      <sheetName val="Adições"/>
      <sheetName val="Mapa de movimentação "/>
      <sheetName val="Mapa de Moviment."/>
      <sheetName val="Lead"/>
      <sheetName val="Quantidade vendida"/>
      <sheetName val="IR. CS"/>
      <sheetName val="Tít.Venc."/>
      <sheetName val="RLP"/>
      <sheetName val="Circularização"/>
      <sheetName val="BP"/>
      <sheetName val="PDD"/>
      <sheetName val="Depreciação"/>
      <sheetName val="A11"/>
      <sheetName val="#REF"/>
      <sheetName val="Pas Juros e V.M.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"/>
      <sheetName val="Adições"/>
      <sheetName val="Baixas"/>
      <sheetName val="Provisão de Juros"/>
      <sheetName val="PAS-Juros-R$"/>
      <sheetName val="PAS-Juros-US"/>
      <sheetName val="Escalonamento"/>
      <sheetName val="XREF"/>
      <sheetName val="Tickmarks"/>
      <sheetName val="Empréstimos"/>
      <sheetName val="Partes Relacionadas"/>
      <sheetName val="Mapa de movimentação "/>
      <sheetName val="Mapa de Moviment."/>
      <sheetName val="DRE"/>
      <sheetName val="DMPL"/>
      <sheetName val="IR. CS"/>
      <sheetName val="Conc. Bancária 31.10.00"/>
      <sheetName val="circularização"/>
      <sheetName val="BP"/>
      <sheetName val="Pas Juros e V.M.C."/>
      <sheetName val="MAE"/>
      <sheetName val="2.DRE"/>
      <sheetName val="5.Mútuos"/>
      <sheetName val="Atual. cambial"/>
      <sheetName val="Exaustão florestas"/>
      <sheetName val="Depreciação"/>
      <sheetName val="2.AVP"/>
      <sheetName val="ATIVO"/>
      <sheetName val="Acomp"/>
      <sheetName val="Mapa de Resultado"/>
      <sheetName val="Composição"/>
      <sheetName val="Mapa de movimentação 31.12"/>
      <sheetName val="1.CS Gás"/>
      <sheetName val="2.1 Mapa - Termogás"/>
      <sheetName val="2.3 Deságio - Termogás"/>
      <sheetName val="{PPC}Mapa de movimentação"/>
      <sheetName val="PDD"/>
      <sheetName val="aging"/>
      <sheetName val="PDD-Movimentação"/>
      <sheetName val="Tít.Venc.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obilizado"/>
      <sheetName val="Diferido"/>
      <sheetName val="Empréstimos"/>
      <sheetName val="Mutuos"/>
      <sheetName val="Mapa"/>
      <sheetName val="Adições"/>
      <sheetName val="BP"/>
      <sheetName val="DRE"/>
      <sheetName val="Atual. cambial"/>
      <sheetName val="Mapa de movimentação "/>
      <sheetName val="Consolidado"/>
      <sheetName val="Mapa de Moviment."/>
      <sheetName val="XREF"/>
      <sheetName val="DMPL"/>
      <sheetName val="Partes Relacionadas"/>
      <sheetName val="IR. CS"/>
      <sheetName val="Tít.Venc."/>
      <sheetName val="A11"/>
      <sheetName val="Depreci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. CS"/>
      <sheetName val="IRPJ-DEZ"/>
      <sheetName val="JUROS SELIC 98"/>
      <sheetName val="JUROS SELIC 97"/>
      <sheetName val="XREF"/>
      <sheetName val="Tickmarks"/>
      <sheetName val="Depreciação"/>
      <sheetName val="Empréstimos"/>
      <sheetName val="Partes Relacionadas"/>
      <sheetName val="A11"/>
      <sheetName val="Tít.Venc."/>
      <sheetName val="Mapa"/>
      <sheetName val="BP"/>
      <sheetName val="ELP"/>
      <sheetName val="Adições"/>
      <sheetName val="Consolidado até out_99"/>
      <sheetName val="Lead"/>
      <sheetName val="Estoque Mov."/>
      <sheetName val="Conciliação Bancária"/>
      <sheetName val="DRE"/>
      <sheetName val="P2.1"/>
      <sheetName val="Provisão de Juros"/>
      <sheetName val="circularização"/>
      <sheetName val="Links"/>
      <sheetName val="Teste Drpc"/>
      <sheetName val="Tipos"/>
      <sheetName val="Resultado"/>
      <sheetName val="40 Despesa ADM"/>
      <sheetName val="MENSAL"/>
      <sheetName val="HIST_FOL"/>
      <sheetName val="BALANCETE PATRIMONIAL"/>
      <sheetName val="BALANCETE PATRIMONIAL Usina+En"/>
      <sheetName val="RESULTADO  ACUMULADO  "/>
      <sheetName val="RESULTADO  ACUMULADO_Us+En"/>
      <sheetName val="RESULTADO  COMPARATIVO"/>
      <sheetName val="RESULTADO  COMPARATIVO_Us+En"/>
      <sheetName val="Capex 03 2020 Consolidado"/>
      <sheetName val="Capex 03 2020_USINA"/>
      <sheetName val="Capex 03 2020_ENERGETICA"/>
      <sheetName val="Resumo capex consolidado"/>
      <sheetName val="Resumo capex_USINA"/>
      <sheetName val="Resumo capex_ENERGETICA"/>
      <sheetName val="Plan1"/>
      <sheetName val="CVA_Projetada12meses"/>
      <sheetName val="Mov. por conta"/>
      <sheetName val="Teste das baixas"/>
      <sheetName val="VENDAS_P_SUBSIDIÁRI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resumo aging"/>
      <sheetName val="aging"/>
      <sheetName val="Conciliação Itabira"/>
      <sheetName val="Revisão Analítica"/>
      <sheetName val="Teste aging 12.01"/>
      <sheetName val="Clientes Argentinos"/>
      <sheetName val="Saldos significativos 12.01"/>
      <sheetName val="ACE"/>
      <sheetName val="Receb. subs."/>
      <sheetName val="Tít.Venc."/>
      <sheetName val="PDD"/>
      <sheetName val="Var. Cambial"/>
      <sheetName val="Rec. Sub. Circ."/>
      <sheetName val="01 a 30"/>
      <sheetName val="31 a 60"/>
      <sheetName val="91 a 120"/>
      <sheetName val="+ 120"/>
      <sheetName val="a vencer"/>
      <sheetName val="a vencer (2)"/>
      <sheetName val="População"/>
      <sheetName val="XREF"/>
      <sheetName val="Tickmarks"/>
      <sheetName val="IR. CS"/>
      <sheetName val="Partes Relacionadas"/>
      <sheetName val="A11"/>
      <sheetName val="Consolidado_1999"/>
      <sheetName val="Variação Cambial"/>
      <sheetName val="Mapa"/>
      <sheetName val="Adições"/>
      <sheetName val="Lanç. Manua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MEU 1"/>
      <sheetName val="MEU 2"/>
      <sheetName val="A14"/>
      <sheetName val="A15"/>
      <sheetName val="A 16"/>
      <sheetName val="A17"/>
      <sheetName val="A18"/>
      <sheetName val="A19"/>
      <sheetName val="A20"/>
      <sheetName val="A21"/>
      <sheetName val="A22"/>
      <sheetName val="A23"/>
      <sheetName val="Tít.Venc."/>
      <sheetName val="XREF"/>
      <sheetName val="IR. CS"/>
      <sheetName val="Partes Relacionadas"/>
      <sheetName val="Emprésti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JUROS SELIC IR AplicFinan. 98"/>
      <sheetName val="JUROS SELIC IRserviços 99"/>
      <sheetName val="JUROS SELIC IR a compensar 99"/>
      <sheetName val="JUROS SELIC CSL "/>
      <sheetName val="XREF"/>
      <sheetName val="Tickmarks"/>
      <sheetName val="Tít.Venc."/>
      <sheetName val="A11"/>
      <sheetName val="Custo x mercado"/>
      <sheetName val="IR. CS"/>
      <sheetName val="Mapa de Moviment."/>
      <sheetName val="Partes Relacionadas"/>
      <sheetName val="Empréstimos"/>
      <sheetName val="BP"/>
      <sheetName val="DRE"/>
      <sheetName val="Mapa"/>
      <sheetName val="Adições"/>
      <sheetName val="DMPL"/>
      <sheetName val="Provisão de Juros"/>
      <sheetName val="Medições a faturar"/>
      <sheetName val="Mapa de movimentação "/>
      <sheetName val="Tipos"/>
      <sheetName val="Teste Drpc"/>
      <sheetName val="pl atual"/>
      <sheetName val="Resultado"/>
      <sheetName val="dez99_dez0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.1ºtrim.99 "/>
      <sheetName val="Mov.2ºtrim.99 "/>
      <sheetName val="Mov.3ºtrim.+Outubro_99"/>
      <sheetName val="Consolidado até 30.10.99"/>
      <sheetName val="Movim. Nov e Dez_99"/>
      <sheetName val="Consolidado_1999"/>
      <sheetName val="Teste Adições 31.12.99"/>
      <sheetName val="Teste baixas para 31.10.99"/>
      <sheetName val="Teste das baixas Nov e Dez_99"/>
      <sheetName val="Teste Global da VM-US$"/>
      <sheetName val="Links"/>
      <sheetName val="Teste VM IGPM"/>
      <sheetName val="XREF"/>
      <sheetName val="Tickmarks"/>
      <sheetName val="Mapa de Movimentação"/>
      <sheetName val="Conc. Bancária 31.10.00"/>
      <sheetName val="Atualização cambial"/>
      <sheetName val="Teste de contagem"/>
      <sheetName val="PDD"/>
      <sheetName val="A11"/>
      <sheetName val="Tít.Venc."/>
      <sheetName val="IR. CS"/>
      <sheetName val="Partes 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 da Variação cambial"/>
      <sheetName val="Tickmarks"/>
      <sheetName val="#REF"/>
      <sheetName val="BP"/>
      <sheetName val="DRE"/>
      <sheetName val="Circularização"/>
      <sheetName val="Lead"/>
      <sheetName val="Pas Juros e V.M.C."/>
      <sheetName val="Depreciação"/>
      <sheetName val="PDD"/>
      <sheetName val="Aging"/>
      <sheetName val="XREF"/>
      <sheetName val="PDD-Movimentação"/>
      <sheetName val="Teste Drpc"/>
      <sheetName val="A11"/>
      <sheetName val="C1398T96"/>
      <sheetName val="Inventário PA"/>
      <sheetName val="Merc. Futuro"/>
      <sheetName val="Mapa"/>
      <sheetName val="Exaustão florestas"/>
      <sheetName val="Provisão de Juros"/>
      <sheetName val="Adto Fornecedor"/>
      <sheetName val="Mapa - Copener"/>
      <sheetName val="Adições"/>
      <sheetName val="{PPC}Mapa de movimentação"/>
      <sheetName val="AA-10(Op.63)"/>
      <sheetName val="pl atual"/>
      <sheetName val="Composição"/>
      <sheetName val="Links"/>
      <sheetName val="Ociosidad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ção cambial não calculada"/>
      <sheetName val="Sheet1"/>
      <sheetName val="Sheet2"/>
      <sheetName val="Sheet3"/>
      <sheetName val="#REF"/>
      <sheetName val="circularização"/>
      <sheetName val="Variação Cambial"/>
      <sheetName val="Assfin"/>
      <sheetName val="A11"/>
      <sheetName val="XREF"/>
      <sheetName val="Tít.Venc."/>
      <sheetName val="Consolidado_1999"/>
      <sheetName val="IR. CS"/>
      <sheetName val="{PPC}Mapa de movimentação"/>
      <sheetName val="Partes Relacio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Detailed Adjustments"/>
      <sheetName val="Versao 1b ($=R$2,13)"/>
      <sheetName val="Mapa de Custo Jun.2003"/>
      <sheetName val="BALANCETE"/>
      <sheetName val="Ativo"/>
      <sheetName val="Taxas"/>
      <sheetName val="ACUMULADO"/>
      <sheetName val="Profit_&amp;_Loss"/>
      <sheetName val="Balance_01"/>
      <sheetName val="ALMOX_ÓPTICO"/>
      <sheetName val="Canbras_TVA"/>
      <sheetName val="Movimentação Imobilizado"/>
      <sheetName val="Links"/>
      <sheetName val="Lead"/>
      <sheetName val="PREV"/>
      <sheetName val="REAL"/>
      <sheetName val="Consolidate"/>
      <sheetName val="Abertura Nov'03"/>
      <sheetName val="Sheet1"/>
      <sheetName val="Sheet2"/>
      <sheetName val="Sheet3"/>
      <sheetName val="European Margins"/>
      <sheetName val="Summary Information"/>
      <sheetName val="Detailed_Adjustments"/>
      <sheetName val="Versao_1b_($=R$2,13)"/>
      <sheetName val="Mapa_de_Custo_Jun_2003"/>
      <sheetName val="Profit_&amp;_Loss1"/>
      <sheetName val="Balance_011"/>
      <sheetName val="ALMOX_ÓPTICO1"/>
      <sheetName val="Canbras_TVA1"/>
      <sheetName val="Detailed_Adjustments1"/>
      <sheetName val="Versao_1b_($=R$2,13)1"/>
      <sheetName val="Mapa_de_Custo_Jun_20031"/>
      <sheetName val="European_Margins"/>
      <sheetName val="Lista"/>
      <sheetName val="Input Data"/>
      <sheetName val="Exchange Rate"/>
      <sheetName val="Despesas"/>
      <sheetName val="2007 Manaus"/>
      <sheetName val=""/>
      <sheetName val="demanda-DDR-0800-A"/>
      <sheetName val="ICAT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08.02"/>
      <sheetName val="Teste"/>
      <sheetName val="Debêntures"/>
      <sheetName val="PAS Variação"/>
      <sheetName val="Juros"/>
      <sheetName val="PAS Juros"/>
      <sheetName val="SWAP"/>
      <sheetName val="Taxas"/>
      <sheetName val="Mapa de Resultado"/>
      <sheetName val="Financimentos CP"/>
      <sheetName val="circularização"/>
      <sheetName val="Variação Cambial"/>
      <sheetName val="XREF"/>
      <sheetName val="Consolidado_1999"/>
      <sheetName val="{PPC}Mapa de movimentação"/>
      <sheetName val="Assfin"/>
      <sheetName val="A11"/>
      <sheetName val="Lead"/>
      <sheetName val="Premissas"/>
      <sheetName val="pl at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Resultado"/>
      <sheetName val="Consolidado_1999"/>
      <sheetName val="Mapa 31.08.02"/>
      <sheetName val="A11"/>
      <sheetName val="circularização"/>
      <sheetName val="Variação Cambial"/>
      <sheetName val="Assfi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{PPC}Mapa de movimentação"/>
      <sheetName val="Adições e Juros"/>
      <sheetName val="Baixas"/>
      <sheetName val="Atualização Chesf"/>
      <sheetName val="Tickmarks"/>
      <sheetName val="_PPC_Mapa de movimentação"/>
      <sheetName val="XREF"/>
      <sheetName val="Consolidado_1999"/>
      <sheetName val="aging"/>
      <sheetName val="Lead"/>
      <sheetName val="Mov. Outros Créditos"/>
      <sheetName val="Teste Equity 30.09.03"/>
      <sheetName val="Mapa de Resultado"/>
      <sheetName val="A11"/>
      <sheetName val="Tít.Venc."/>
      <sheetName val="IR. CS"/>
      <sheetName val="Map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{PPC}Mapa de movimentação"/>
      <sheetName val="Mapa de Resultado"/>
      <sheetName val="Consolidado_1999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Moviment."/>
      <sheetName val="Mapa de movimentação "/>
      <sheetName val="Circularização"/>
      <sheetName val="Assfin"/>
      <sheetName val="Variação Cambial"/>
      <sheetName val="Mapa de Resultado"/>
      <sheetName val="Empréstimos"/>
      <sheetName val="Depreciação"/>
      <sheetName val="PDD"/>
      <sheetName val="DRE"/>
      <sheetName val="BP"/>
      <sheetName val="Aging"/>
      <sheetName val="PDD-Movimentação"/>
      <sheetName val="Mapa"/>
      <sheetName val="Partes Relacionadas"/>
      <sheetName val="#REF"/>
      <sheetName val="Pas Juros e V.M.C."/>
      <sheetName val="Teste Drpc"/>
      <sheetName val="Conc. Bancária 31.10.0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Assfin"/>
      <sheetName val="circularização"/>
      <sheetName val="Variação Cambial"/>
      <sheetName val="Mapa de Resultado"/>
      <sheetName val="{PPC}Mapa de movimentação"/>
      <sheetName val="BP"/>
      <sheetName val="Adições"/>
      <sheetName val="DRE"/>
      <sheetName val="CAERN"/>
      <sheetName val="Consolidado_1999"/>
      <sheetName val="Mapa de movimentaçã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Partes Relacionadas"/>
      <sheetName val="Variação Cambial"/>
      <sheetName val="Itens antigos_31.12.02"/>
      <sheetName val="Itens Antigos Cias Grupo"/>
      <sheetName val="Itens Antigos MI"/>
      <sheetName val="XREF"/>
      <sheetName val="Tickmarks"/>
      <sheetName val="Assfin"/>
      <sheetName val="Mapa de Resultado"/>
      <sheetName val="{PPC}Mapa de movimentação"/>
      <sheetName val="Lead"/>
      <sheetName val="Mapa 31.08.02"/>
      <sheetName val="Consolidado_1999"/>
      <sheetName val="A11"/>
      <sheetName val="Empréstimos"/>
      <sheetName val="FG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Mapa Mov Set."/>
      <sheetName val="Mapa Movim Dez.01"/>
      <sheetName val="Patrim. x Contab."/>
      <sheetName val="Teste de adição"/>
      <sheetName val="Subseleção adição"/>
      <sheetName val="Subseleção deprec."/>
      <sheetName val="Teste de saldo inicial"/>
      <sheetName val="Depreciação 09.01"/>
      <sheetName val="Depreciação 12.01"/>
      <sheetName val="Imobilização em curso"/>
      <sheetName val="Adto Fornec."/>
      <sheetName val="Teste de baixas"/>
      <sheetName val="Taxa Média"/>
      <sheetName val="População teste adição"/>
      <sheetName val="XREF"/>
      <sheetName val="Tickmarks"/>
      <sheetName val="Mapa 31.08.02"/>
      <sheetName val="BP"/>
      <sheetName val="Mapa de Resultado"/>
      <sheetName val="circularização"/>
      <sheetName val="Variação Cambial"/>
      <sheetName val="Assfin"/>
      <sheetName val="Conc. Bancária 31.10.00"/>
      <sheetName val="Lead"/>
      <sheetName val="Pas Juros e V.M.C."/>
      <sheetName val="A-18"/>
      <sheetName val="ELP"/>
      <sheetName val="Mapa mov"/>
      <sheetName val="Teste Adiçõ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_Financeiro"/>
      <sheetName val="Desempenho "/>
      <sheetName val="Faturamento"/>
      <sheetName val="FeCrAC"/>
      <sheetName val="FeCrBC"/>
      <sheetName val="FeSi75"/>
      <sheetName val="Indicadores"/>
      <sheetName val="Bal Ativo"/>
      <sheetName val="Bal Passivo"/>
      <sheetName val="DRE R$"/>
      <sheetName val="DRE %"/>
      <sheetName val="DRE Produtos"/>
      <sheetName val="Ebtida"/>
      <sheetName val="FluxoCaixa"/>
      <sheetName val="Preço médio"/>
      <sheetName val="Mercado Capitais"/>
      <sheetName val="Investimentos"/>
      <sheetName val="Comp. do Ativo_Neg_Sintétic"/>
      <sheetName val="Controle estoques"/>
      <sheetName val="Custo-Produção"/>
      <sheetName val="Producao e vendas"/>
      <sheetName val="DRE (3)"/>
      <sheetName val="FluxoCaixa (2)"/>
      <sheetName val="Plan4"/>
      <sheetName val="Bal Patr"/>
      <sheetName val="XREF"/>
      <sheetName val="Mapa 31.08.02"/>
      <sheetName val="Mapa de Resultado"/>
      <sheetName val="Conc. Bancária 31.10.00"/>
      <sheetName val="Lead"/>
      <sheetName val="Pas Juros e V.M.C.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Atual. cambial"/>
      <sheetName val="Conc. Bancária 31.10.00"/>
      <sheetName val="XREF"/>
      <sheetName val="Mapa 31.08.02"/>
      <sheetName val="ELP"/>
      <sheetName val="Mapa 31.01.0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FC"/>
      <sheetName val="DOAR"/>
      <sheetName val="Mapa Fluxo"/>
      <sheetName val="Mapa Doar "/>
      <sheetName val="RLP"/>
      <sheetName val="Imobilizado"/>
      <sheetName val="Diferido"/>
      <sheetName val="ELP"/>
      <sheetName val="Empréstimos"/>
      <sheetName val="Resultado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Conc. Bancária 31.10.00"/>
      <sheetName val="Mapa 31.08.02"/>
      <sheetName val="ELP"/>
      <sheetName val="Mapa 31.01.04"/>
      <sheetName val="XREF"/>
      <sheetName val="Assfin"/>
      <sheetName val="Atual. cambial"/>
      <sheetName val="A-1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-1"/>
      <sheetName val="A-2"/>
      <sheetName val="A-3"/>
      <sheetName val="A-5"/>
      <sheetName val="A-6"/>
      <sheetName val="A-7"/>
      <sheetName val="A-8"/>
      <sheetName val="A-9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Escalonamento 31.12"/>
      <sheetName val="BP"/>
      <sheetName val="Mapa 31.01.04"/>
      <sheetName val="XREF"/>
      <sheetName val="ELP"/>
      <sheetName val="Lead"/>
      <sheetName val="Pas Juros e V.M.C."/>
      <sheetName val="Conc. Bancária 31.10.00"/>
      <sheetName val="Mapa 31.08.02"/>
      <sheetName val="Mapa de Resultado"/>
      <sheetName val="circularização"/>
      <sheetName val="Variação Cambial"/>
      <sheetName val="Custo x Mercado"/>
      <sheetName val="Depreciação"/>
      <sheetName val="EB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Lead"/>
      <sheetName val="Pas Juros e V.M.C."/>
      <sheetName val="A-18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Mapa 31.01.04"/>
      <sheetName val="A-18"/>
      <sheetName val="XREF"/>
      <sheetName val="BP"/>
      <sheetName val="Mapa 31.08.02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A-18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"/>
      <sheetName val="B"/>
      <sheetName val="1"/>
      <sheetName val="2"/>
      <sheetName val="3"/>
      <sheetName val="4"/>
      <sheetName val="5"/>
      <sheetName val="G&amp;A"/>
      <sheetName val="BusOper"/>
      <sheetName val="MKT"/>
      <sheetName val="Tech"/>
      <sheetName val="LocalProg"/>
      <sheetName val="Painel de Controle"/>
      <sheetName val="Módulo4"/>
      <sheetName val="Detailed Adjustmen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"/>
      <sheetName val="Plan3"/>
      <sheetName val="PERC UTILIZAÇÃO"/>
      <sheetName val="Calculo IRPJ 75%"/>
      <sheetName val="Calculo IRPJ"/>
      <sheetName val="balancete suspensão"/>
      <sheetName val="Reinvestimento"/>
      <sheetName val="Rec Bruta x Sus_Red"/>
      <sheetName val="Resumo (2)"/>
      <sheetName val="Diferido"/>
      <sheetName val="Diferido 2004"/>
      <sheetName val="Diferido (3)"/>
      <sheetName val="Diferido (2)"/>
      <sheetName val="Diferido junho"/>
      <sheetName val="Cálculo Csll Judicial"/>
      <sheetName val="JCP e dividendos até 1208"/>
      <sheetName val="projeção lucro dez.2009 (2)"/>
      <sheetName val="dividendos 2010"/>
      <sheetName val="JCP e dividendos atual 2008"/>
      <sheetName val="JCP e dividendos 08"/>
      <sheetName val="JCP e dividendos 2010"/>
      <sheetName val="Plan2"/>
      <sheetName val="JCP 2010"/>
      <sheetName val="Resumo"/>
      <sheetName val="Diferido 2010"/>
      <sheetName val="Provisões"/>
      <sheetName val="Quantidade vendida"/>
      <sheetName val="Ajuste IR CS ano 2009"/>
      <sheetName val="IMPOSTO DIPJ"/>
      <sheetName val="IMPOSTO CONTÁBIL"/>
      <sheetName val="IMPOSTO PRICE"/>
      <sheetName val="Memória de cálculo"/>
      <sheetName val="Momória Audiplan ano 2010"/>
      <sheetName val="IRPJ_CSLL base DIPJ"/>
      <sheetName val="IRPJ_CSLL base DIPJ (2)"/>
      <sheetName val="IRPJ_CSLL base contábil"/>
      <sheetName val="IRPJ (2)"/>
      <sheetName val="Cálculo Previdência"/>
      <sheetName val="Cálculo Audiplan"/>
      <sheetName val="JCP"/>
      <sheetName val="Composições de Ações"/>
      <sheetName val="Composições de Ações (2)"/>
      <sheetName val="Previdência"/>
      <sheetName val="Capital"/>
      <sheetName val="Provisão"/>
      <sheetName val="dividendos até 0608"/>
      <sheetName val="dividendos (2)"/>
      <sheetName val="JCP e dividendos atual"/>
      <sheetName val="JCP e dividendos até 0608"/>
      <sheetName val="dividendos até 0910"/>
      <sheetName val="JCP e dividendos até 1008"/>
      <sheetName val="Plan1"/>
      <sheetName val="Resultado"/>
      <sheetName val="Retificação IRPJ Fatur"/>
      <sheetName val="IRPJ BASE FATUR"/>
      <sheetName val="IRPJ a resituir"/>
      <sheetName val="csll 19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Summary"/>
      <sheetName val="Consolidated Canbras"/>
      <sheetName val="Consolidated SP"/>
      <sheetName val="CanbrasTVA"/>
      <sheetName val="Paraná"/>
      <sheetName val="Mogno"/>
      <sheetName val="Vale"/>
      <sheetName val="Eucalipto"/>
      <sheetName val="Walberg"/>
      <sheetName val="Canbras Net"/>
      <sheetName val="CTVA Assumption"/>
      <sheetName val="Parana Assumption"/>
      <sheetName val="EBITDA-Q"/>
      <sheetName val="Budget x Re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G12"/>
  <sheetViews>
    <sheetView showRowColHeaders="0" tabSelected="1" zoomScaleNormal="100" workbookViewId="0">
      <selection activeCell="F2" sqref="F2"/>
    </sheetView>
  </sheetViews>
  <sheetFormatPr defaultColWidth="8.85546875" defaultRowHeight="12"/>
  <cols>
    <col min="1" max="1" width="2.42578125" style="32" customWidth="1"/>
    <col min="2" max="2" width="19.5703125" style="32" customWidth="1"/>
    <col min="3" max="3" width="20.28515625" style="32" customWidth="1"/>
    <col min="4" max="4" width="17.7109375" style="32" customWidth="1"/>
    <col min="5" max="5" width="23.28515625" style="32" customWidth="1"/>
    <col min="6" max="6" width="38.28515625" style="32" customWidth="1"/>
    <col min="7" max="7" width="2.42578125" style="32" customWidth="1"/>
    <col min="8" max="16384" width="8.85546875" style="32"/>
  </cols>
  <sheetData>
    <row r="1" spans="2:7" ht="18.75" customHeight="1">
      <c r="B1" s="33"/>
      <c r="C1" s="47"/>
      <c r="F1" s="110" t="s">
        <v>141</v>
      </c>
    </row>
    <row r="2" spans="2:7" ht="48" customHeight="1" thickBot="1">
      <c r="B2" s="46"/>
      <c r="C2" s="48"/>
      <c r="D2" s="35"/>
      <c r="E2" s="35"/>
      <c r="F2" s="111" t="s">
        <v>239</v>
      </c>
      <c r="G2" s="32" t="s">
        <v>120</v>
      </c>
    </row>
    <row r="3" spans="2:7" ht="6" customHeight="1" thickTop="1">
      <c r="B3" s="36"/>
      <c r="C3" s="37"/>
      <c r="D3" s="37"/>
      <c r="E3" s="38"/>
      <c r="F3" s="38"/>
    </row>
    <row r="4" spans="2:7" ht="18.75">
      <c r="B4" s="117"/>
      <c r="C4" s="117"/>
      <c r="D4" s="117"/>
      <c r="E4" s="117"/>
      <c r="F4" s="117"/>
    </row>
    <row r="5" spans="2:7" ht="18.75">
      <c r="B5" s="51"/>
      <c r="C5" s="51"/>
      <c r="D5" s="51"/>
      <c r="E5" s="51"/>
      <c r="F5" s="52"/>
    </row>
    <row r="6" spans="2:7" ht="33.75" customHeight="1">
      <c r="B6" s="44" t="s">
        <v>121</v>
      </c>
      <c r="C6" s="39"/>
      <c r="D6" s="44" t="s">
        <v>124</v>
      </c>
      <c r="E6" s="41"/>
      <c r="F6" s="44" t="s">
        <v>125</v>
      </c>
    </row>
    <row r="7" spans="2:7" ht="20.100000000000001" customHeight="1">
      <c r="B7" s="56" t="s">
        <v>122</v>
      </c>
      <c r="D7" s="56" t="s">
        <v>126</v>
      </c>
      <c r="E7" s="40"/>
      <c r="F7" s="56" t="s">
        <v>123</v>
      </c>
    </row>
    <row r="8" spans="2:7" ht="20.100000000000001" customHeight="1">
      <c r="B8" s="56" t="s">
        <v>130</v>
      </c>
      <c r="D8" s="56" t="s">
        <v>127</v>
      </c>
      <c r="E8" s="40"/>
      <c r="F8" s="56" t="s">
        <v>129</v>
      </c>
    </row>
    <row r="9" spans="2:7" ht="20.100000000000001" customHeight="1">
      <c r="B9" s="42"/>
      <c r="D9" s="56" t="s">
        <v>128</v>
      </c>
      <c r="E9" s="40"/>
      <c r="F9" s="56" t="s">
        <v>135</v>
      </c>
    </row>
    <row r="10" spans="2:7" ht="20.100000000000001" customHeight="1">
      <c r="E10" s="40"/>
      <c r="F10" s="56" t="s">
        <v>138</v>
      </c>
    </row>
    <row r="11" spans="2:7" ht="19.5" customHeight="1">
      <c r="E11" s="34"/>
      <c r="F11" s="56" t="s">
        <v>139</v>
      </c>
    </row>
    <row r="12" spans="2:7" ht="18.75" customHeight="1">
      <c r="F12" s="56" t="s">
        <v>142</v>
      </c>
    </row>
  </sheetData>
  <mergeCells count="1">
    <mergeCell ref="B4:F4"/>
  </mergeCells>
  <hyperlinks>
    <hyperlink ref="B7" location="'Indicadores financeiros'!A1" display="INDICADORES FINANCEIROS" xr:uid="{00000000-0004-0000-0000-000000000000}"/>
    <hyperlink ref="B8" location="'Ebitda ajustado'!A1" display="EBITDA AJUSTADO" xr:uid="{00000000-0004-0000-0000-000001000000}"/>
    <hyperlink ref="D7" location="'Balanço patrimonial'!A1" display="BALANÇO PATRIMONIAL" xr:uid="{00000000-0004-0000-0000-000002000000}"/>
    <hyperlink ref="D8" location="DRE!A1" display="DEMONSTRAÇÃO DO RESULTADO" xr:uid="{00000000-0004-0000-0000-000003000000}"/>
    <hyperlink ref="D9" location="'Fluxo de caixa'!A1" display="FLUXO DE CAIXA" xr:uid="{00000000-0004-0000-0000-000004000000}"/>
    <hyperlink ref="F7" location="'Receita líquida'!A1" display="RECEITA LÍQUIDA" xr:uid="{00000000-0004-0000-0000-000005000000}"/>
    <hyperlink ref="F8" location="'Receita líquida por produto'!A1" display="RECEITA LÍQUIDA POR PRODUTO" xr:uid="{00000000-0004-0000-0000-000006000000}"/>
    <hyperlink ref="F9" location="'IRPJ e CSLL'!A1" display="IRPJ e CSLL" xr:uid="{00000000-0004-0000-0000-000007000000}"/>
    <hyperlink ref="F10" location="'Vendas (ton)'!A1" display="VENDAS (TON)" xr:uid="{00000000-0004-0000-0000-000008000000}"/>
    <hyperlink ref="F11" location="'Produção (ton)'!A1" display="PRODUÇÃO (TON)" xr:uid="{00000000-0004-0000-0000-000009000000}"/>
    <hyperlink ref="F12" location="Informações!A1" display="INFORMAÇÕES IMPORTANTES" xr:uid="{00000000-0004-0000-0000-00000A000000}"/>
  </hyperlinks>
  <printOptions horizontalCentered="1"/>
  <pageMargins left="0.5" right="0.5" top="0.5" bottom="0.5" header="0" footer="0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"/>
  <dimension ref="B2:CM14"/>
  <sheetViews>
    <sheetView showGridLines="0" zoomScale="80" zoomScaleNormal="80" workbookViewId="0">
      <pane xSplit="2" ySplit="5" topLeftCell="BF6" activePane="bottomRight" state="frozen"/>
      <selection activeCell="BV30" sqref="BV30"/>
      <selection pane="topRight" activeCell="BV30" sqref="BV30"/>
      <selection pane="bottomLeft" activeCell="BV30" sqref="BV30"/>
      <selection pane="bottomRight" activeCell="BV30" sqref="BV30"/>
    </sheetView>
  </sheetViews>
  <sheetFormatPr defaultColWidth="9.140625" defaultRowHeight="15"/>
  <cols>
    <col min="1" max="1" width="2" customWidth="1"/>
    <col min="2" max="2" width="36.71093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43" width="10.85546875" customWidth="1"/>
    <col min="44" max="49" width="11.5703125" bestFit="1" customWidth="1"/>
    <col min="50" max="73" width="11.5703125" customWidth="1"/>
    <col min="74" max="74" width="11.28515625" bestFit="1" customWidth="1"/>
    <col min="75" max="78" width="11.5703125" hidden="1" customWidth="1"/>
    <col min="79" max="79" width="10.5703125" hidden="1" customWidth="1"/>
    <col min="80" max="80" width="11.28515625" hidden="1" customWidth="1"/>
    <col min="81" max="82" width="10.85546875" hidden="1" customWidth="1"/>
    <col min="83" max="83" width="11.140625" hidden="1" customWidth="1"/>
    <col min="84" max="84" width="9" hidden="1" customWidth="1"/>
    <col min="85" max="89" width="0" hidden="1" customWidth="1"/>
    <col min="90" max="91" width="9.5703125" bestFit="1" customWidth="1"/>
  </cols>
  <sheetData>
    <row r="2" spans="2:91" ht="21">
      <c r="B2" s="31" t="s">
        <v>119</v>
      </c>
    </row>
    <row r="3" spans="2:91" ht="15.75">
      <c r="B3" s="63" t="s">
        <v>169</v>
      </c>
      <c r="BV3" s="63" t="s">
        <v>167</v>
      </c>
    </row>
    <row r="4" spans="2:91" ht="7.5" customHeight="1" thickBot="1"/>
    <row r="5" spans="2:91" ht="15.75" thickBot="1">
      <c r="B5" s="11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W5" s="8">
        <v>2008</v>
      </c>
      <c r="BX5" s="8">
        <v>2009</v>
      </c>
      <c r="BY5" s="8">
        <v>2010</v>
      </c>
      <c r="BZ5" s="8">
        <v>2011</v>
      </c>
      <c r="CA5" s="8">
        <v>2012</v>
      </c>
      <c r="CB5" s="8">
        <v>2013</v>
      </c>
      <c r="CC5" s="8">
        <v>2014</v>
      </c>
      <c r="CD5" s="8">
        <v>2015</v>
      </c>
      <c r="CE5" s="8">
        <v>2016</v>
      </c>
      <c r="CF5" s="8">
        <v>2017</v>
      </c>
      <c r="CG5" s="8">
        <v>2018</v>
      </c>
      <c r="CH5" s="8">
        <v>2019</v>
      </c>
      <c r="CI5" s="8">
        <v>2020</v>
      </c>
      <c r="CJ5" s="8">
        <v>2021</v>
      </c>
      <c r="CK5" s="8">
        <v>2022</v>
      </c>
      <c r="CL5" s="8">
        <v>2024</v>
      </c>
      <c r="CM5" s="8">
        <v>2025</v>
      </c>
    </row>
    <row r="6" spans="2:91" ht="15.75" thickBot="1">
      <c r="B6" s="9" t="s">
        <v>63</v>
      </c>
      <c r="C6" s="9">
        <f t="shared" ref="C6:AL6" si="0">SUM(C7:C8)</f>
        <v>46144.759999999995</v>
      </c>
      <c r="D6" s="9">
        <f t="shared" si="0"/>
        <v>51094.36</v>
      </c>
      <c r="E6" s="9">
        <f t="shared" si="0"/>
        <v>40659.72</v>
      </c>
      <c r="F6" s="9">
        <f t="shared" si="0"/>
        <v>24911.46</v>
      </c>
      <c r="G6" s="9">
        <f t="shared" si="0"/>
        <v>16266</v>
      </c>
      <c r="H6" s="9">
        <f t="shared" si="0"/>
        <v>33182</v>
      </c>
      <c r="I6" s="9">
        <f t="shared" si="0"/>
        <v>39065</v>
      </c>
      <c r="J6" s="9">
        <f t="shared" si="0"/>
        <v>32360</v>
      </c>
      <c r="K6" s="9">
        <f t="shared" si="0"/>
        <v>42798</v>
      </c>
      <c r="L6" s="9">
        <f t="shared" si="0"/>
        <v>45133</v>
      </c>
      <c r="M6" s="9">
        <f t="shared" si="0"/>
        <v>44787</v>
      </c>
      <c r="N6" s="9">
        <f t="shared" si="0"/>
        <v>35442</v>
      </c>
      <c r="O6" s="9">
        <f t="shared" si="0"/>
        <v>48295.887000000002</v>
      </c>
      <c r="P6" s="9">
        <f t="shared" si="0"/>
        <v>42713.83</v>
      </c>
      <c r="Q6" s="9">
        <f t="shared" si="0"/>
        <v>39113.490000000005</v>
      </c>
      <c r="R6" s="9">
        <f t="shared" si="0"/>
        <v>28504.68</v>
      </c>
      <c r="S6" s="9">
        <f t="shared" si="0"/>
        <v>49016</v>
      </c>
      <c r="T6" s="9">
        <f t="shared" si="0"/>
        <v>43085</v>
      </c>
      <c r="U6" s="9">
        <f t="shared" si="0"/>
        <v>40342</v>
      </c>
      <c r="V6" s="9">
        <f t="shared" si="0"/>
        <v>37327</v>
      </c>
      <c r="W6" s="9">
        <f t="shared" si="0"/>
        <v>50812</v>
      </c>
      <c r="X6" s="9">
        <f t="shared" si="0"/>
        <v>46423</v>
      </c>
      <c r="Y6" s="9">
        <f t="shared" si="0"/>
        <v>47299</v>
      </c>
      <c r="Z6" s="9">
        <f t="shared" si="0"/>
        <v>50642</v>
      </c>
      <c r="AA6" s="9">
        <f t="shared" si="0"/>
        <v>50684.5</v>
      </c>
      <c r="AB6" s="9">
        <f t="shared" si="0"/>
        <v>49288</v>
      </c>
      <c r="AC6" s="9">
        <f t="shared" si="0"/>
        <v>48446</v>
      </c>
      <c r="AD6" s="9">
        <f t="shared" si="0"/>
        <v>40816</v>
      </c>
      <c r="AE6" s="9">
        <f t="shared" si="0"/>
        <v>45990</v>
      </c>
      <c r="AF6" s="9">
        <f t="shared" si="0"/>
        <v>42945</v>
      </c>
      <c r="AG6" s="9">
        <f t="shared" si="0"/>
        <v>35466</v>
      </c>
      <c r="AH6" s="9">
        <f t="shared" si="0"/>
        <v>36566</v>
      </c>
      <c r="AI6" s="9">
        <f t="shared" si="0"/>
        <v>38820</v>
      </c>
      <c r="AJ6" s="9">
        <f t="shared" si="0"/>
        <v>41728</v>
      </c>
      <c r="AK6" s="9">
        <f t="shared" si="0"/>
        <v>47279</v>
      </c>
      <c r="AL6" s="9">
        <f t="shared" si="0"/>
        <v>42154</v>
      </c>
      <c r="AM6" s="9">
        <f t="shared" ref="AM6:AP6" si="1">SUM(AM7:AM8)</f>
        <v>38303</v>
      </c>
      <c r="AN6" s="9">
        <f t="shared" si="1"/>
        <v>36387</v>
      </c>
      <c r="AO6" s="9">
        <f t="shared" si="1"/>
        <v>42576</v>
      </c>
      <c r="AP6" s="9">
        <f t="shared" si="1"/>
        <v>29590</v>
      </c>
      <c r="AQ6" s="9">
        <f t="shared" ref="AQ6:AR6" si="2">SUM(AQ7:AQ8)</f>
        <v>44870</v>
      </c>
      <c r="AR6" s="12">
        <f t="shared" si="2"/>
        <v>35996</v>
      </c>
      <c r="AS6" s="12">
        <f t="shared" ref="AS6:AU6" si="3">SUM(AS7:AS8)</f>
        <v>36904</v>
      </c>
      <c r="AT6" s="12">
        <f t="shared" si="3"/>
        <v>32443</v>
      </c>
      <c r="AU6" s="12">
        <f t="shared" si="3"/>
        <v>40723</v>
      </c>
      <c r="AV6" s="12">
        <f t="shared" ref="AV6:AW6" si="4">SUM(AV7:AV8)</f>
        <v>27872</v>
      </c>
      <c r="AW6" s="12">
        <f t="shared" si="4"/>
        <v>31518</v>
      </c>
      <c r="AX6" s="12">
        <f t="shared" ref="AX6:AY6" si="5">SUM(AX7:AX8)</f>
        <v>25116</v>
      </c>
      <c r="AY6" s="12">
        <f t="shared" si="5"/>
        <v>33436</v>
      </c>
      <c r="AZ6" s="12">
        <f t="shared" ref="AZ6:BA6" si="6">SUM(AZ7:AZ8)</f>
        <v>19303</v>
      </c>
      <c r="BA6" s="12">
        <f t="shared" si="6"/>
        <v>26027</v>
      </c>
      <c r="BB6" s="12">
        <f t="shared" ref="BB6:BC6" si="7">SUM(BB7:BB8)</f>
        <v>34112</v>
      </c>
      <c r="BC6" s="12">
        <f t="shared" si="7"/>
        <v>41063</v>
      </c>
      <c r="BD6" s="12">
        <f t="shared" ref="BD6" si="8">SUM(BD7:BD8)</f>
        <v>35818</v>
      </c>
      <c r="BE6" s="12">
        <f>SUM(BE7:BE8)</f>
        <v>44630</v>
      </c>
      <c r="BF6" s="12">
        <f t="shared" ref="BF6" si="9">SUM(BF7:BF8)</f>
        <v>39064</v>
      </c>
      <c r="BG6" s="12">
        <f t="shared" ref="BG6:BM6" si="10">SUM(BG7:BG8)</f>
        <v>30455</v>
      </c>
      <c r="BH6" s="12">
        <f t="shared" si="10"/>
        <v>33777</v>
      </c>
      <c r="BI6" s="12">
        <f t="shared" si="10"/>
        <v>38667</v>
      </c>
      <c r="BJ6" s="12">
        <f t="shared" si="10"/>
        <v>38316</v>
      </c>
      <c r="BK6" s="12">
        <f t="shared" si="10"/>
        <v>32221</v>
      </c>
      <c r="BL6" s="12">
        <f t="shared" ref="BL6" si="11">SUM(BL7:BL8)</f>
        <v>36205</v>
      </c>
      <c r="BM6" s="12">
        <f t="shared" si="10"/>
        <v>40856</v>
      </c>
      <c r="BN6" s="12">
        <f t="shared" ref="BN6:BU6" si="12">SUM(BN7:BN8)</f>
        <v>34370</v>
      </c>
      <c r="BO6" s="12">
        <f t="shared" si="12"/>
        <v>29801</v>
      </c>
      <c r="BP6" s="12">
        <f t="shared" si="12"/>
        <v>29558</v>
      </c>
      <c r="BQ6" s="12">
        <f t="shared" si="12"/>
        <v>37378</v>
      </c>
      <c r="BR6" s="12">
        <f t="shared" si="12"/>
        <v>34991</v>
      </c>
      <c r="BS6" s="12">
        <f t="shared" si="12"/>
        <v>38682</v>
      </c>
      <c r="BT6" s="12">
        <f t="shared" si="12"/>
        <v>39111</v>
      </c>
      <c r="BU6" s="12">
        <f t="shared" si="12"/>
        <v>38166</v>
      </c>
      <c r="BW6" s="9">
        <f t="shared" ref="BW6:BW11" si="13">SUM(C6:F6)</f>
        <v>162810.29999999999</v>
      </c>
      <c r="BX6" s="9">
        <f t="shared" ref="BX6:BX11" si="14">SUM(G6:J6)</f>
        <v>120873</v>
      </c>
      <c r="BY6" s="9">
        <f t="shared" ref="BY6:BY11" si="15">SUM(K6:N6)</f>
        <v>168160</v>
      </c>
      <c r="BZ6" s="9">
        <f t="shared" ref="BZ6:BZ11" si="16">SUM(O6:R6)</f>
        <v>158627.88700000002</v>
      </c>
      <c r="CA6" s="9">
        <f t="shared" ref="CA6:CA11" si="17">SUM(S6:V6)</f>
        <v>169770</v>
      </c>
      <c r="CB6" s="9">
        <f t="shared" ref="CB6:CB11" si="18">SUM(W6:Z6)</f>
        <v>195176</v>
      </c>
      <c r="CC6" s="9">
        <f t="shared" ref="CC6:CC11" si="19">SUM(AA6:AD6)</f>
        <v>189234.5</v>
      </c>
      <c r="CD6" s="9">
        <f t="shared" ref="CD6:CD11" si="20">SUM(AE6:AH6)</f>
        <v>160967</v>
      </c>
      <c r="CE6" s="12">
        <f t="shared" ref="CE6:CE12" si="21">SUM(AI6:AL6)</f>
        <v>169981</v>
      </c>
      <c r="CF6" s="12">
        <f t="shared" ref="CF6:CF12" si="22">SUM(AM6:AP6)</f>
        <v>146856</v>
      </c>
      <c r="CG6" s="12">
        <f t="shared" ref="CG6:CG12" si="23">SUM(AQ6:AT6)</f>
        <v>150213</v>
      </c>
      <c r="CH6" s="12">
        <f>SUM(AU6:AX6)+1</f>
        <v>125230</v>
      </c>
      <c r="CI6" s="12">
        <f t="shared" ref="CI6:CI12" si="24">SUM(AY6:BB6)</f>
        <v>112878</v>
      </c>
      <c r="CJ6" s="12">
        <f t="shared" ref="CJ6:CJ12" si="25">SUM(BC6:BF6)</f>
        <v>160575</v>
      </c>
      <c r="CK6" s="12">
        <f t="shared" ref="CK6:CK12" si="26">SUM(BG6:BJ6)</f>
        <v>141215</v>
      </c>
      <c r="CL6" s="12">
        <f>SUM(BO6:BR6)</f>
        <v>131728</v>
      </c>
      <c r="CM6" s="12">
        <f t="shared" ref="CM6:CM12" si="27">SUM(BS6:BU6)</f>
        <v>115959</v>
      </c>
    </row>
    <row r="7" spans="2:91">
      <c r="B7" s="3" t="s">
        <v>164</v>
      </c>
      <c r="C7" s="2">
        <v>38474.759999999995</v>
      </c>
      <c r="D7" s="2">
        <v>42033.36</v>
      </c>
      <c r="E7" s="2">
        <v>31289.72</v>
      </c>
      <c r="F7" s="2">
        <v>18967.46</v>
      </c>
      <c r="G7" s="2">
        <v>12851</v>
      </c>
      <c r="H7" s="2">
        <v>28358</v>
      </c>
      <c r="I7" s="2">
        <v>32688</v>
      </c>
      <c r="J7" s="2">
        <v>25764</v>
      </c>
      <c r="K7" s="2">
        <v>34898</v>
      </c>
      <c r="L7" s="2">
        <v>34940</v>
      </c>
      <c r="M7" s="2">
        <v>34492</v>
      </c>
      <c r="N7" s="2">
        <v>26159</v>
      </c>
      <c r="O7" s="2">
        <v>38598.887000000002</v>
      </c>
      <c r="P7" s="2">
        <v>32215.83</v>
      </c>
      <c r="Q7" s="2">
        <v>28740.49</v>
      </c>
      <c r="R7" s="2">
        <v>20719.68</v>
      </c>
      <c r="S7" s="2">
        <v>40746</v>
      </c>
      <c r="T7" s="2">
        <v>34000</v>
      </c>
      <c r="U7" s="2">
        <v>31360</v>
      </c>
      <c r="V7" s="2">
        <v>29933</v>
      </c>
      <c r="W7" s="2">
        <v>41902</v>
      </c>
      <c r="X7" s="2">
        <v>35530</v>
      </c>
      <c r="Y7" s="2">
        <v>35298</v>
      </c>
      <c r="Z7" s="2">
        <v>41124</v>
      </c>
      <c r="AA7" s="2">
        <v>38206.5</v>
      </c>
      <c r="AB7" s="2">
        <v>34114</v>
      </c>
      <c r="AC7" s="2">
        <v>35533</v>
      </c>
      <c r="AD7" s="2">
        <v>29051</v>
      </c>
      <c r="AE7" s="2">
        <v>34085</v>
      </c>
      <c r="AF7" s="2">
        <v>32525</v>
      </c>
      <c r="AG7" s="2">
        <v>28928</v>
      </c>
      <c r="AH7" s="2">
        <v>31424</v>
      </c>
      <c r="AI7" s="2">
        <v>32457</v>
      </c>
      <c r="AJ7" s="2">
        <v>33520</v>
      </c>
      <c r="AK7" s="2">
        <v>38320</v>
      </c>
      <c r="AL7" s="2">
        <v>34376</v>
      </c>
      <c r="AM7" s="2">
        <v>31090</v>
      </c>
      <c r="AN7" s="2">
        <v>28989</v>
      </c>
      <c r="AO7" s="2">
        <v>36503</v>
      </c>
      <c r="AP7" s="2">
        <v>25576</v>
      </c>
      <c r="AQ7" s="2">
        <v>39301</v>
      </c>
      <c r="AR7" s="2">
        <v>30735</v>
      </c>
      <c r="AS7" s="2">
        <v>30899</v>
      </c>
      <c r="AT7" s="2">
        <v>27415</v>
      </c>
      <c r="AU7" s="2">
        <v>35806</v>
      </c>
      <c r="AV7" s="2">
        <v>24183</v>
      </c>
      <c r="AW7" s="2">
        <v>27822</v>
      </c>
      <c r="AX7" s="2">
        <v>21087</v>
      </c>
      <c r="AY7" s="2">
        <v>30733</v>
      </c>
      <c r="AZ7" s="2">
        <v>18177</v>
      </c>
      <c r="BA7" s="2">
        <v>24929</v>
      </c>
      <c r="BB7" s="2">
        <v>32227</v>
      </c>
      <c r="BC7" s="2">
        <v>36507</v>
      </c>
      <c r="BD7" s="2">
        <v>30577</v>
      </c>
      <c r="BE7" s="2">
        <v>38607</v>
      </c>
      <c r="BF7" s="2">
        <v>32394</v>
      </c>
      <c r="BG7" s="2">
        <v>25642</v>
      </c>
      <c r="BH7" s="2">
        <v>28364</v>
      </c>
      <c r="BI7" s="2">
        <v>33235</v>
      </c>
      <c r="BJ7" s="2">
        <v>32942</v>
      </c>
      <c r="BK7" s="2">
        <v>29003</v>
      </c>
      <c r="BL7" s="2">
        <v>31263</v>
      </c>
      <c r="BM7" s="2">
        <v>35461</v>
      </c>
      <c r="BN7" s="2">
        <v>29428</v>
      </c>
      <c r="BO7" s="2">
        <v>25124</v>
      </c>
      <c r="BP7" s="2">
        <v>24770</v>
      </c>
      <c r="BQ7" s="2">
        <v>31119</v>
      </c>
      <c r="BR7" s="2">
        <v>28303</v>
      </c>
      <c r="BS7" s="2">
        <v>33138</v>
      </c>
      <c r="BT7" s="2">
        <v>34503</v>
      </c>
      <c r="BU7" s="2">
        <v>33125</v>
      </c>
      <c r="BV7" s="15"/>
      <c r="BW7" s="2">
        <f t="shared" si="13"/>
        <v>130765.29999999999</v>
      </c>
      <c r="BX7" s="2">
        <f t="shared" si="14"/>
        <v>99661</v>
      </c>
      <c r="BY7" s="2">
        <f t="shared" si="15"/>
        <v>130489</v>
      </c>
      <c r="BZ7" s="2">
        <f t="shared" si="16"/>
        <v>120274.88700000002</v>
      </c>
      <c r="CA7" s="2">
        <f t="shared" si="17"/>
        <v>136039</v>
      </c>
      <c r="CB7" s="2">
        <f t="shared" si="18"/>
        <v>153854</v>
      </c>
      <c r="CC7" s="2">
        <f t="shared" si="19"/>
        <v>136904.5</v>
      </c>
      <c r="CD7" s="2">
        <f t="shared" si="20"/>
        <v>126962</v>
      </c>
      <c r="CE7" s="2">
        <f t="shared" si="21"/>
        <v>138673</v>
      </c>
      <c r="CF7" s="2">
        <f t="shared" si="22"/>
        <v>122158</v>
      </c>
      <c r="CG7" s="2">
        <f t="shared" si="23"/>
        <v>128350</v>
      </c>
      <c r="CH7" s="2">
        <f>SUM(AU7:AX7)</f>
        <v>108898</v>
      </c>
      <c r="CI7" s="2">
        <f t="shared" si="24"/>
        <v>106066</v>
      </c>
      <c r="CJ7" s="2">
        <f t="shared" si="25"/>
        <v>138085</v>
      </c>
      <c r="CK7" s="2">
        <f t="shared" si="26"/>
        <v>120183</v>
      </c>
      <c r="CL7" s="2">
        <f t="shared" ref="CL7:CL12" si="28">SUM(BO7:BR7)</f>
        <v>109316</v>
      </c>
      <c r="CM7" s="2">
        <f t="shared" si="27"/>
        <v>100766</v>
      </c>
    </row>
    <row r="8" spans="2:91" ht="15.75" thickBot="1">
      <c r="B8" s="3" t="s">
        <v>165</v>
      </c>
      <c r="C8" s="2">
        <v>7670</v>
      </c>
      <c r="D8" s="2">
        <v>9061</v>
      </c>
      <c r="E8" s="2">
        <v>9370</v>
      </c>
      <c r="F8" s="2">
        <v>5944</v>
      </c>
      <c r="G8" s="2">
        <v>3415</v>
      </c>
      <c r="H8" s="2">
        <v>4824</v>
      </c>
      <c r="I8" s="2">
        <v>6377</v>
      </c>
      <c r="J8" s="2">
        <v>6596</v>
      </c>
      <c r="K8" s="2">
        <v>7900</v>
      </c>
      <c r="L8" s="2">
        <v>10193</v>
      </c>
      <c r="M8" s="2">
        <v>10295</v>
      </c>
      <c r="N8" s="2">
        <v>9283</v>
      </c>
      <c r="O8" s="2">
        <v>9697</v>
      </c>
      <c r="P8" s="2">
        <v>10498</v>
      </c>
      <c r="Q8" s="2">
        <v>10373</v>
      </c>
      <c r="R8" s="2">
        <v>7785</v>
      </c>
      <c r="S8" s="2">
        <v>8270</v>
      </c>
      <c r="T8" s="2">
        <v>9085</v>
      </c>
      <c r="U8" s="2">
        <v>8982</v>
      </c>
      <c r="V8" s="2">
        <v>7394</v>
      </c>
      <c r="W8" s="2">
        <v>8910</v>
      </c>
      <c r="X8" s="2">
        <v>10893</v>
      </c>
      <c r="Y8" s="2">
        <v>12001</v>
      </c>
      <c r="Z8" s="2">
        <v>9518</v>
      </c>
      <c r="AA8" s="2">
        <v>12478</v>
      </c>
      <c r="AB8" s="2">
        <v>15174</v>
      </c>
      <c r="AC8" s="2">
        <v>12913</v>
      </c>
      <c r="AD8" s="2">
        <v>11765</v>
      </c>
      <c r="AE8" s="2">
        <v>11905</v>
      </c>
      <c r="AF8" s="2">
        <v>10420</v>
      </c>
      <c r="AG8" s="2">
        <v>6538</v>
      </c>
      <c r="AH8" s="2">
        <v>5142</v>
      </c>
      <c r="AI8" s="2">
        <v>6363</v>
      </c>
      <c r="AJ8" s="2">
        <v>8208</v>
      </c>
      <c r="AK8" s="2">
        <v>8959</v>
      </c>
      <c r="AL8" s="2">
        <v>7778</v>
      </c>
      <c r="AM8" s="2">
        <v>7213</v>
      </c>
      <c r="AN8" s="2">
        <v>7398</v>
      </c>
      <c r="AO8" s="2">
        <v>6073</v>
      </c>
      <c r="AP8" s="2">
        <v>4014</v>
      </c>
      <c r="AQ8" s="2">
        <v>5569</v>
      </c>
      <c r="AR8" s="2">
        <v>5261</v>
      </c>
      <c r="AS8" s="2">
        <v>6005</v>
      </c>
      <c r="AT8" s="2">
        <v>5028</v>
      </c>
      <c r="AU8" s="2">
        <v>4917</v>
      </c>
      <c r="AV8" s="2">
        <v>3689</v>
      </c>
      <c r="AW8" s="2">
        <v>3696</v>
      </c>
      <c r="AX8" s="2">
        <v>4029</v>
      </c>
      <c r="AY8" s="2">
        <v>2703</v>
      </c>
      <c r="AZ8" s="2">
        <v>1126</v>
      </c>
      <c r="BA8" s="2">
        <v>1098</v>
      </c>
      <c r="BB8" s="2">
        <v>1885</v>
      </c>
      <c r="BC8" s="2">
        <v>4556</v>
      </c>
      <c r="BD8" s="2">
        <v>5241</v>
      </c>
      <c r="BE8" s="2">
        <v>6023</v>
      </c>
      <c r="BF8" s="2">
        <v>6670</v>
      </c>
      <c r="BG8" s="2">
        <v>4813</v>
      </c>
      <c r="BH8" s="2">
        <v>5413</v>
      </c>
      <c r="BI8" s="2">
        <v>5432</v>
      </c>
      <c r="BJ8" s="2">
        <v>5374</v>
      </c>
      <c r="BK8" s="2">
        <v>3218</v>
      </c>
      <c r="BL8" s="2">
        <v>4942</v>
      </c>
      <c r="BM8" s="2">
        <v>5395</v>
      </c>
      <c r="BN8" s="2">
        <v>4942</v>
      </c>
      <c r="BO8" s="2">
        <v>4677</v>
      </c>
      <c r="BP8" s="2">
        <v>4788</v>
      </c>
      <c r="BQ8" s="2">
        <v>6259</v>
      </c>
      <c r="BR8" s="2">
        <v>6688</v>
      </c>
      <c r="BS8" s="2">
        <v>5544</v>
      </c>
      <c r="BT8" s="2">
        <v>4608</v>
      </c>
      <c r="BU8" s="2">
        <v>5041</v>
      </c>
      <c r="BV8" s="15"/>
      <c r="BW8" s="2">
        <f t="shared" si="13"/>
        <v>32045</v>
      </c>
      <c r="BX8" s="2">
        <f t="shared" si="14"/>
        <v>21212</v>
      </c>
      <c r="BY8" s="2">
        <f t="shared" si="15"/>
        <v>37671</v>
      </c>
      <c r="BZ8" s="2">
        <f t="shared" si="16"/>
        <v>38353</v>
      </c>
      <c r="CA8" s="2">
        <f t="shared" si="17"/>
        <v>33731</v>
      </c>
      <c r="CB8" s="2">
        <f t="shared" si="18"/>
        <v>41322</v>
      </c>
      <c r="CC8" s="2">
        <f t="shared" si="19"/>
        <v>52330</v>
      </c>
      <c r="CD8" s="2">
        <f t="shared" si="20"/>
        <v>34005</v>
      </c>
      <c r="CE8" s="2">
        <f t="shared" si="21"/>
        <v>31308</v>
      </c>
      <c r="CF8" s="2">
        <f t="shared" si="22"/>
        <v>24698</v>
      </c>
      <c r="CG8" s="2">
        <f t="shared" si="23"/>
        <v>21863</v>
      </c>
      <c r="CH8" s="2">
        <f>SUM(AU8:AX8)</f>
        <v>16331</v>
      </c>
      <c r="CI8" s="2">
        <f t="shared" si="24"/>
        <v>6812</v>
      </c>
      <c r="CJ8" s="2">
        <f t="shared" si="25"/>
        <v>22490</v>
      </c>
      <c r="CK8" s="2">
        <f t="shared" si="26"/>
        <v>21032</v>
      </c>
      <c r="CL8" s="2">
        <f t="shared" si="28"/>
        <v>22412</v>
      </c>
      <c r="CM8" s="2">
        <f t="shared" si="27"/>
        <v>15193</v>
      </c>
    </row>
    <row r="9" spans="2:91" ht="15.75" thickBot="1">
      <c r="B9" s="9" t="s">
        <v>1</v>
      </c>
      <c r="C9" s="12">
        <f t="shared" ref="C9:AL9" si="29">SUM(C10:C11)</f>
        <v>17563.048999999999</v>
      </c>
      <c r="D9" s="12">
        <f t="shared" si="29"/>
        <v>17391.27</v>
      </c>
      <c r="E9" s="12">
        <f t="shared" si="29"/>
        <v>16887.920000000002</v>
      </c>
      <c r="F9" s="12">
        <f t="shared" si="29"/>
        <v>12929.135</v>
      </c>
      <c r="G9" s="12">
        <f t="shared" si="29"/>
        <v>7940</v>
      </c>
      <c r="H9" s="12">
        <f t="shared" si="29"/>
        <v>8736</v>
      </c>
      <c r="I9" s="12">
        <f t="shared" si="29"/>
        <v>27638.95</v>
      </c>
      <c r="J9" s="12">
        <f t="shared" si="29"/>
        <v>13831</v>
      </c>
      <c r="K9" s="12">
        <f t="shared" si="29"/>
        <v>14125.54</v>
      </c>
      <c r="L9" s="12">
        <f t="shared" si="29"/>
        <v>14409.65</v>
      </c>
      <c r="M9" s="12">
        <f t="shared" si="29"/>
        <v>12886.491000000002</v>
      </c>
      <c r="N9" s="12">
        <f t="shared" si="29"/>
        <v>20464.035000000003</v>
      </c>
      <c r="O9" s="12">
        <f t="shared" si="29"/>
        <v>19176.399999999998</v>
      </c>
      <c r="P9" s="12">
        <f t="shared" si="29"/>
        <v>15013.295</v>
      </c>
      <c r="Q9" s="12">
        <f t="shared" si="29"/>
        <v>11377.66</v>
      </c>
      <c r="R9" s="12">
        <f t="shared" si="29"/>
        <v>12782.49</v>
      </c>
      <c r="S9" s="12">
        <f t="shared" si="29"/>
        <v>16234.985000000001</v>
      </c>
      <c r="T9" s="12">
        <f t="shared" si="29"/>
        <v>15929.01</v>
      </c>
      <c r="U9" s="12">
        <f t="shared" si="29"/>
        <v>10419.299999999999</v>
      </c>
      <c r="V9" s="12">
        <f t="shared" si="29"/>
        <v>17769.55</v>
      </c>
      <c r="W9" s="12">
        <f t="shared" si="29"/>
        <v>13112</v>
      </c>
      <c r="X9" s="12">
        <f t="shared" si="29"/>
        <v>11991.75</v>
      </c>
      <c r="Y9" s="12">
        <f t="shared" si="29"/>
        <v>24711.93</v>
      </c>
      <c r="Z9" s="12">
        <f t="shared" si="29"/>
        <v>15226.8</v>
      </c>
      <c r="AA9" s="12">
        <f t="shared" si="29"/>
        <v>14974.16</v>
      </c>
      <c r="AB9" s="12">
        <f t="shared" si="29"/>
        <v>10802</v>
      </c>
      <c r="AC9" s="12">
        <f t="shared" si="29"/>
        <v>7149</v>
      </c>
      <c r="AD9" s="12">
        <f t="shared" si="29"/>
        <v>6216</v>
      </c>
      <c r="AE9" s="12">
        <f t="shared" si="29"/>
        <v>5287</v>
      </c>
      <c r="AF9" s="12">
        <f t="shared" si="29"/>
        <v>10221</v>
      </c>
      <c r="AG9" s="12">
        <f t="shared" si="29"/>
        <v>12693</v>
      </c>
      <c r="AH9" s="12">
        <f t="shared" si="29"/>
        <v>15909</v>
      </c>
      <c r="AI9" s="12">
        <f t="shared" si="29"/>
        <v>34453</v>
      </c>
      <c r="AJ9" s="12">
        <f t="shared" si="29"/>
        <v>30768</v>
      </c>
      <c r="AK9" s="12">
        <f t="shared" si="29"/>
        <v>15591</v>
      </c>
      <c r="AL9" s="12">
        <f t="shared" si="29"/>
        <v>11697</v>
      </c>
      <c r="AM9" s="12">
        <f t="shared" ref="AM9:AP9" si="30">SUM(AM10:AM11)</f>
        <v>15145</v>
      </c>
      <c r="AN9" s="12">
        <f t="shared" si="30"/>
        <v>15982</v>
      </c>
      <c r="AO9" s="12">
        <f t="shared" si="30"/>
        <v>18989</v>
      </c>
      <c r="AP9" s="12">
        <f t="shared" si="30"/>
        <v>14572</v>
      </c>
      <c r="AQ9" s="12">
        <f t="shared" ref="AQ9:AR9" si="31">SUM(AQ10:AQ11)</f>
        <v>24525</v>
      </c>
      <c r="AR9" s="12">
        <f t="shared" si="31"/>
        <v>15360</v>
      </c>
      <c r="AS9" s="12">
        <f t="shared" ref="AS9:AU9" si="32">SUM(AS10:AS11)</f>
        <v>20051</v>
      </c>
      <c r="AT9" s="12">
        <f t="shared" si="32"/>
        <v>15817</v>
      </c>
      <c r="AU9" s="12">
        <f t="shared" si="32"/>
        <v>19520</v>
      </c>
      <c r="AV9" s="12">
        <f t="shared" ref="AV9:AW9" si="33">SUM(AV10:AV11)</f>
        <v>27832</v>
      </c>
      <c r="AW9" s="12">
        <f t="shared" si="33"/>
        <v>25178</v>
      </c>
      <c r="AX9" s="12">
        <f t="shared" ref="AX9:AY9" si="34">SUM(AX10:AX11)</f>
        <v>24896</v>
      </c>
      <c r="AY9" s="12">
        <f t="shared" si="34"/>
        <v>32779</v>
      </c>
      <c r="AZ9" s="12">
        <f t="shared" ref="AZ9:BA9" si="35">SUM(AZ10:AZ11)</f>
        <v>46102</v>
      </c>
      <c r="BA9" s="12">
        <f t="shared" si="35"/>
        <v>34419</v>
      </c>
      <c r="BB9" s="12">
        <f t="shared" ref="BB9:BC9" si="36">SUM(BB10:BB11)</f>
        <v>41885</v>
      </c>
      <c r="BC9" s="12">
        <f t="shared" si="36"/>
        <v>31048</v>
      </c>
      <c r="BD9" s="12">
        <f t="shared" ref="BD9:BE9" si="37">SUM(BD10:BD11)</f>
        <v>25018</v>
      </c>
      <c r="BE9" s="12">
        <f t="shared" si="37"/>
        <v>32633</v>
      </c>
      <c r="BF9" s="12">
        <f t="shared" ref="BF9:BG9" si="38">SUM(BF10:BF11)</f>
        <v>22846</v>
      </c>
      <c r="BG9" s="12">
        <f t="shared" si="38"/>
        <v>33948</v>
      </c>
      <c r="BH9" s="12">
        <f t="shared" ref="BH9:BL9" si="39">SUM(BH10:BH11)</f>
        <v>37809</v>
      </c>
      <c r="BI9" s="12">
        <f t="shared" ref="BI9" si="40">SUM(BI10:BI11)</f>
        <v>28495</v>
      </c>
      <c r="BJ9" s="12">
        <f t="shared" si="39"/>
        <v>28448</v>
      </c>
      <c r="BK9" s="12">
        <f t="shared" si="39"/>
        <v>41233</v>
      </c>
      <c r="BL9" s="12">
        <f t="shared" si="39"/>
        <v>31837</v>
      </c>
      <c r="BM9" s="12">
        <f t="shared" ref="BM9" si="41">SUM(BM10:BM11)</f>
        <v>25248</v>
      </c>
      <c r="BN9" s="12">
        <f t="shared" ref="BN9:BU9" si="42">SUM(BN10:BN11)</f>
        <v>31679</v>
      </c>
      <c r="BO9" s="12">
        <f t="shared" si="42"/>
        <v>33281</v>
      </c>
      <c r="BP9" s="12">
        <f t="shared" si="42"/>
        <v>33858</v>
      </c>
      <c r="BQ9" s="12">
        <f t="shared" si="42"/>
        <v>30946</v>
      </c>
      <c r="BR9" s="12">
        <f t="shared" si="42"/>
        <v>38810</v>
      </c>
      <c r="BS9" s="12">
        <f t="shared" si="42"/>
        <v>30851</v>
      </c>
      <c r="BT9" s="12">
        <f t="shared" si="42"/>
        <v>39866</v>
      </c>
      <c r="BU9" s="12">
        <f t="shared" si="42"/>
        <v>26218</v>
      </c>
      <c r="BW9" s="9">
        <f t="shared" si="13"/>
        <v>64771.374000000003</v>
      </c>
      <c r="BX9" s="9">
        <f t="shared" si="14"/>
        <v>58145.95</v>
      </c>
      <c r="BY9" s="9">
        <f t="shared" si="15"/>
        <v>61885.716000000008</v>
      </c>
      <c r="BZ9" s="9">
        <f t="shared" si="16"/>
        <v>58349.844999999994</v>
      </c>
      <c r="CA9" s="9">
        <f t="shared" si="17"/>
        <v>60352.845000000001</v>
      </c>
      <c r="CB9" s="9">
        <f t="shared" si="18"/>
        <v>65042.479999999996</v>
      </c>
      <c r="CC9" s="9">
        <f t="shared" si="19"/>
        <v>39141.160000000003</v>
      </c>
      <c r="CD9" s="9">
        <f t="shared" si="20"/>
        <v>44110</v>
      </c>
      <c r="CE9" s="12">
        <f t="shared" si="21"/>
        <v>92509</v>
      </c>
      <c r="CF9" s="12">
        <f t="shared" si="22"/>
        <v>64688</v>
      </c>
      <c r="CG9" s="12">
        <f t="shared" si="23"/>
        <v>75753</v>
      </c>
      <c r="CH9" s="12">
        <f>SUM(AU9:AX9)</f>
        <v>97426</v>
      </c>
      <c r="CI9" s="12">
        <f t="shared" si="24"/>
        <v>155185</v>
      </c>
      <c r="CJ9" s="12">
        <f t="shared" si="25"/>
        <v>111545</v>
      </c>
      <c r="CK9" s="12">
        <f t="shared" si="26"/>
        <v>128700</v>
      </c>
      <c r="CL9" s="12">
        <f t="shared" si="28"/>
        <v>136895</v>
      </c>
      <c r="CM9" s="12">
        <f t="shared" si="27"/>
        <v>96935</v>
      </c>
    </row>
    <row r="10" spans="2:91">
      <c r="B10" s="3" t="s">
        <v>164</v>
      </c>
      <c r="C10" s="2">
        <v>11090.259</v>
      </c>
      <c r="D10" s="2">
        <v>10946</v>
      </c>
      <c r="E10" s="2">
        <v>8157.04</v>
      </c>
      <c r="F10" s="2">
        <v>5622.9449999999997</v>
      </c>
      <c r="G10" s="2">
        <v>86</v>
      </c>
      <c r="H10" s="2">
        <v>209</v>
      </c>
      <c r="I10" s="2">
        <v>3752</v>
      </c>
      <c r="J10" s="2">
        <v>977</v>
      </c>
      <c r="K10" s="2">
        <v>497</v>
      </c>
      <c r="L10" s="2">
        <v>4702.66</v>
      </c>
      <c r="M10" s="2">
        <v>1525.7</v>
      </c>
      <c r="N10" s="2">
        <v>2684.8450000000003</v>
      </c>
      <c r="O10" s="2">
        <v>5025.6399999999994</v>
      </c>
      <c r="P10" s="2">
        <v>3412.2950000000001</v>
      </c>
      <c r="Q10" s="2">
        <v>1823.76</v>
      </c>
      <c r="R10" s="2">
        <v>1617.5</v>
      </c>
      <c r="S10" s="2">
        <v>2483.9849999999997</v>
      </c>
      <c r="T10" s="2">
        <v>1859.0099999999998</v>
      </c>
      <c r="U10" s="2">
        <v>1837.3</v>
      </c>
      <c r="V10" s="2">
        <v>1946.5500000000002</v>
      </c>
      <c r="W10" s="2">
        <v>2004</v>
      </c>
      <c r="X10" s="2">
        <v>1377</v>
      </c>
      <c r="Y10" s="2">
        <v>14377</v>
      </c>
      <c r="Z10" s="2">
        <v>6810</v>
      </c>
      <c r="AA10" s="2">
        <v>3987.16</v>
      </c>
      <c r="AB10" s="2">
        <v>4576</v>
      </c>
      <c r="AC10" s="2">
        <v>454</v>
      </c>
      <c r="AD10" s="2">
        <v>52</v>
      </c>
      <c r="AE10" s="2">
        <v>255</v>
      </c>
      <c r="AF10" s="2">
        <v>1077</v>
      </c>
      <c r="AG10" s="2">
        <v>6073</v>
      </c>
      <c r="AH10" s="2">
        <v>6019</v>
      </c>
      <c r="AI10" s="2">
        <v>8213</v>
      </c>
      <c r="AJ10" s="2">
        <v>5718</v>
      </c>
      <c r="AK10" s="2">
        <v>8444</v>
      </c>
      <c r="AL10" s="2">
        <v>5611</v>
      </c>
      <c r="AM10" s="2">
        <v>6904</v>
      </c>
      <c r="AN10" s="2">
        <v>6261</v>
      </c>
      <c r="AO10" s="2">
        <v>5581</v>
      </c>
      <c r="AP10" s="2">
        <v>3706</v>
      </c>
      <c r="AQ10" s="2">
        <v>3271</v>
      </c>
      <c r="AR10" s="2">
        <v>1647</v>
      </c>
      <c r="AS10" s="2">
        <v>4409</v>
      </c>
      <c r="AT10" s="2">
        <v>1314</v>
      </c>
      <c r="AU10" s="2">
        <v>3575</v>
      </c>
      <c r="AV10" s="2">
        <v>5422</v>
      </c>
      <c r="AW10" s="2">
        <v>2130</v>
      </c>
      <c r="AX10" s="2">
        <v>4635</v>
      </c>
      <c r="AY10" s="2">
        <v>8747</v>
      </c>
      <c r="AZ10" s="2">
        <v>24918</v>
      </c>
      <c r="BA10" s="2">
        <v>11275</v>
      </c>
      <c r="BB10" s="2">
        <v>21715</v>
      </c>
      <c r="BC10" s="2">
        <v>12736</v>
      </c>
      <c r="BD10" s="2">
        <v>8545</v>
      </c>
      <c r="BE10" s="2">
        <v>13657</v>
      </c>
      <c r="BF10" s="2">
        <v>5914</v>
      </c>
      <c r="BG10" s="2">
        <v>14232</v>
      </c>
      <c r="BH10" s="2">
        <v>18160</v>
      </c>
      <c r="BI10" s="2">
        <v>13455</v>
      </c>
      <c r="BJ10" s="2">
        <v>7472</v>
      </c>
      <c r="BK10" s="2">
        <v>22077</v>
      </c>
      <c r="BL10" s="2">
        <v>15114</v>
      </c>
      <c r="BM10" s="2">
        <v>8204</v>
      </c>
      <c r="BN10" s="2">
        <v>11624</v>
      </c>
      <c r="BO10" s="2">
        <v>13053</v>
      </c>
      <c r="BP10" s="2">
        <v>16176</v>
      </c>
      <c r="BQ10" s="2">
        <v>11790</v>
      </c>
      <c r="BR10" s="2">
        <v>23144</v>
      </c>
      <c r="BS10" s="2">
        <v>10855</v>
      </c>
      <c r="BT10" s="2">
        <v>16491</v>
      </c>
      <c r="BU10" s="2">
        <v>6105</v>
      </c>
      <c r="BV10" s="15"/>
      <c r="BW10" s="2">
        <f t="shared" si="13"/>
        <v>35816.243999999999</v>
      </c>
      <c r="BX10" s="2">
        <f t="shared" si="14"/>
        <v>5024</v>
      </c>
      <c r="BY10" s="2">
        <f t="shared" si="15"/>
        <v>9410.2049999999999</v>
      </c>
      <c r="BZ10" s="2">
        <f t="shared" si="16"/>
        <v>11879.195</v>
      </c>
      <c r="CA10" s="2">
        <f t="shared" si="17"/>
        <v>8126.8449999999993</v>
      </c>
      <c r="CB10" s="2">
        <f t="shared" si="18"/>
        <v>24568</v>
      </c>
      <c r="CC10" s="2">
        <f t="shared" si="19"/>
        <v>9069.16</v>
      </c>
      <c r="CD10" s="2">
        <f t="shared" si="20"/>
        <v>13424</v>
      </c>
      <c r="CE10" s="2">
        <f t="shared" si="21"/>
        <v>27986</v>
      </c>
      <c r="CF10" s="2">
        <f t="shared" si="22"/>
        <v>22452</v>
      </c>
      <c r="CG10" s="2">
        <f t="shared" si="23"/>
        <v>10641</v>
      </c>
      <c r="CH10" s="2">
        <f>SUM(AU10:AX10)</f>
        <v>15762</v>
      </c>
      <c r="CI10" s="2">
        <f t="shared" si="24"/>
        <v>66655</v>
      </c>
      <c r="CJ10" s="2">
        <f t="shared" si="25"/>
        <v>40852</v>
      </c>
      <c r="CK10" s="2">
        <f t="shared" si="26"/>
        <v>53319</v>
      </c>
      <c r="CL10" s="2">
        <f t="shared" si="28"/>
        <v>64163</v>
      </c>
      <c r="CM10" s="2">
        <f t="shared" si="27"/>
        <v>33451</v>
      </c>
    </row>
    <row r="11" spans="2:91" ht="15.75" thickBot="1">
      <c r="B11" s="3" t="s">
        <v>165</v>
      </c>
      <c r="C11" s="2">
        <v>6472.79</v>
      </c>
      <c r="D11" s="2">
        <v>6445.2699999999995</v>
      </c>
      <c r="E11" s="2">
        <v>8730.880000000001</v>
      </c>
      <c r="F11" s="2">
        <v>7306.1900000000005</v>
      </c>
      <c r="G11" s="2">
        <v>7854</v>
      </c>
      <c r="H11" s="2">
        <v>8527</v>
      </c>
      <c r="I11" s="2">
        <v>23886.95</v>
      </c>
      <c r="J11" s="2">
        <v>12854</v>
      </c>
      <c r="K11" s="2">
        <v>13628.54</v>
      </c>
      <c r="L11" s="2">
        <v>9706.99</v>
      </c>
      <c r="M11" s="2">
        <v>11360.791000000001</v>
      </c>
      <c r="N11" s="2">
        <v>17779.190000000002</v>
      </c>
      <c r="O11" s="2">
        <v>14150.759999999998</v>
      </c>
      <c r="P11" s="2">
        <v>11601</v>
      </c>
      <c r="Q11" s="2">
        <v>9553.9</v>
      </c>
      <c r="R11" s="2">
        <v>11164.99</v>
      </c>
      <c r="S11" s="2">
        <v>13751</v>
      </c>
      <c r="T11" s="2">
        <v>14070</v>
      </c>
      <c r="U11" s="2">
        <v>8582</v>
      </c>
      <c r="V11" s="2">
        <v>15823</v>
      </c>
      <c r="W11" s="2">
        <v>11108</v>
      </c>
      <c r="X11" s="2">
        <v>10614.75</v>
      </c>
      <c r="Y11" s="2">
        <v>10334.93</v>
      </c>
      <c r="Z11" s="2">
        <v>8416.7999999999993</v>
      </c>
      <c r="AA11" s="2">
        <v>10987</v>
      </c>
      <c r="AB11" s="2">
        <v>6226</v>
      </c>
      <c r="AC11" s="2">
        <v>6695</v>
      </c>
      <c r="AD11" s="2">
        <v>6164</v>
      </c>
      <c r="AE11" s="2">
        <v>5032</v>
      </c>
      <c r="AF11" s="2">
        <v>9144</v>
      </c>
      <c r="AG11" s="2">
        <v>6620</v>
      </c>
      <c r="AH11" s="2">
        <v>9890</v>
      </c>
      <c r="AI11" s="2">
        <v>26240</v>
      </c>
      <c r="AJ11" s="2">
        <v>25050</v>
      </c>
      <c r="AK11" s="2">
        <v>7147</v>
      </c>
      <c r="AL11" s="2">
        <v>6086</v>
      </c>
      <c r="AM11" s="2">
        <v>8241</v>
      </c>
      <c r="AN11" s="2">
        <v>9721</v>
      </c>
      <c r="AO11" s="2">
        <v>13408</v>
      </c>
      <c r="AP11" s="2">
        <v>10866</v>
      </c>
      <c r="AQ11" s="2">
        <v>21254</v>
      </c>
      <c r="AR11" s="2">
        <v>13713</v>
      </c>
      <c r="AS11" s="2">
        <v>15642</v>
      </c>
      <c r="AT11" s="2">
        <v>14503</v>
      </c>
      <c r="AU11" s="2">
        <v>15945</v>
      </c>
      <c r="AV11" s="2">
        <v>22410</v>
      </c>
      <c r="AW11" s="2">
        <v>23048</v>
      </c>
      <c r="AX11" s="2">
        <v>20261</v>
      </c>
      <c r="AY11" s="2">
        <v>24032</v>
      </c>
      <c r="AZ11" s="2">
        <v>21184</v>
      </c>
      <c r="BA11" s="2">
        <v>23144</v>
      </c>
      <c r="BB11" s="2">
        <v>20170</v>
      </c>
      <c r="BC11" s="2">
        <v>18312</v>
      </c>
      <c r="BD11" s="2">
        <v>16473</v>
      </c>
      <c r="BE11" s="2">
        <v>18976</v>
      </c>
      <c r="BF11" s="2">
        <v>16932</v>
      </c>
      <c r="BG11" s="2">
        <v>19716</v>
      </c>
      <c r="BH11" s="2">
        <v>19649</v>
      </c>
      <c r="BI11" s="2">
        <v>15040</v>
      </c>
      <c r="BJ11" s="2">
        <v>20976</v>
      </c>
      <c r="BK11" s="2">
        <v>19156</v>
      </c>
      <c r="BL11" s="2">
        <v>16723</v>
      </c>
      <c r="BM11" s="2">
        <v>17044</v>
      </c>
      <c r="BN11" s="2">
        <v>20055</v>
      </c>
      <c r="BO11" s="2">
        <v>20228</v>
      </c>
      <c r="BP11" s="2">
        <v>17682</v>
      </c>
      <c r="BQ11" s="2">
        <v>19156</v>
      </c>
      <c r="BR11" s="2">
        <v>15666</v>
      </c>
      <c r="BS11" s="2">
        <v>19996</v>
      </c>
      <c r="BT11" s="2">
        <v>23375</v>
      </c>
      <c r="BU11" s="2">
        <v>20113</v>
      </c>
      <c r="BV11" s="15"/>
      <c r="BW11" s="2">
        <f t="shared" si="13"/>
        <v>28955.130000000005</v>
      </c>
      <c r="BX11" s="2">
        <f t="shared" si="14"/>
        <v>53121.95</v>
      </c>
      <c r="BY11" s="2">
        <f t="shared" si="15"/>
        <v>52475.510999999999</v>
      </c>
      <c r="BZ11" s="2">
        <f t="shared" si="16"/>
        <v>46470.649999999994</v>
      </c>
      <c r="CA11" s="2">
        <f t="shared" si="17"/>
        <v>52226</v>
      </c>
      <c r="CB11" s="2">
        <f t="shared" si="18"/>
        <v>40474.479999999996</v>
      </c>
      <c r="CC11" s="2">
        <f t="shared" si="19"/>
        <v>30072</v>
      </c>
      <c r="CD11" s="2">
        <f t="shared" si="20"/>
        <v>30686</v>
      </c>
      <c r="CE11" s="2">
        <f t="shared" si="21"/>
        <v>64523</v>
      </c>
      <c r="CF11" s="2">
        <f t="shared" si="22"/>
        <v>42236</v>
      </c>
      <c r="CG11" s="2">
        <f t="shared" si="23"/>
        <v>65112</v>
      </c>
      <c r="CH11" s="2">
        <f>SUM(AU11:AX11)</f>
        <v>81664</v>
      </c>
      <c r="CI11" s="2">
        <f t="shared" si="24"/>
        <v>88530</v>
      </c>
      <c r="CJ11" s="2">
        <f t="shared" si="25"/>
        <v>70693</v>
      </c>
      <c r="CK11" s="2">
        <f t="shared" si="26"/>
        <v>75381</v>
      </c>
      <c r="CL11" s="2">
        <f t="shared" si="28"/>
        <v>72732</v>
      </c>
      <c r="CM11" s="2">
        <f t="shared" si="27"/>
        <v>63484</v>
      </c>
    </row>
    <row r="12" spans="2:91" ht="15.75" thickBot="1">
      <c r="B12" s="13" t="s">
        <v>108</v>
      </c>
      <c r="C12" s="9">
        <f t="shared" ref="C12:AH12" si="43">C6+C9</f>
        <v>63707.808999999994</v>
      </c>
      <c r="D12" s="9">
        <f t="shared" si="43"/>
        <v>68485.63</v>
      </c>
      <c r="E12" s="9">
        <f t="shared" si="43"/>
        <v>57547.64</v>
      </c>
      <c r="F12" s="9">
        <f t="shared" si="43"/>
        <v>37840.595000000001</v>
      </c>
      <c r="G12" s="9">
        <f t="shared" si="43"/>
        <v>24206</v>
      </c>
      <c r="H12" s="9">
        <f t="shared" si="43"/>
        <v>41918</v>
      </c>
      <c r="I12" s="9">
        <f t="shared" si="43"/>
        <v>66703.95</v>
      </c>
      <c r="J12" s="9">
        <f t="shared" si="43"/>
        <v>46191</v>
      </c>
      <c r="K12" s="9">
        <f t="shared" si="43"/>
        <v>56923.54</v>
      </c>
      <c r="L12" s="9">
        <f t="shared" si="43"/>
        <v>59542.65</v>
      </c>
      <c r="M12" s="9">
        <f t="shared" si="43"/>
        <v>57673.491000000002</v>
      </c>
      <c r="N12" s="9">
        <f t="shared" si="43"/>
        <v>55906.035000000003</v>
      </c>
      <c r="O12" s="9">
        <f t="shared" si="43"/>
        <v>67472.286999999997</v>
      </c>
      <c r="P12" s="9">
        <f t="shared" si="43"/>
        <v>57727.125</v>
      </c>
      <c r="Q12" s="9">
        <f t="shared" si="43"/>
        <v>50491.150000000009</v>
      </c>
      <c r="R12" s="9">
        <f t="shared" si="43"/>
        <v>41287.17</v>
      </c>
      <c r="S12" s="9">
        <f t="shared" si="43"/>
        <v>65250.985000000001</v>
      </c>
      <c r="T12" s="9">
        <f t="shared" si="43"/>
        <v>59014.01</v>
      </c>
      <c r="U12" s="9">
        <f t="shared" si="43"/>
        <v>50761.3</v>
      </c>
      <c r="V12" s="9">
        <f t="shared" si="43"/>
        <v>55096.55</v>
      </c>
      <c r="W12" s="9">
        <f t="shared" si="43"/>
        <v>63924</v>
      </c>
      <c r="X12" s="9">
        <f t="shared" si="43"/>
        <v>58414.75</v>
      </c>
      <c r="Y12" s="9">
        <f t="shared" si="43"/>
        <v>72010.929999999993</v>
      </c>
      <c r="Z12" s="9">
        <f t="shared" si="43"/>
        <v>65868.800000000003</v>
      </c>
      <c r="AA12" s="9">
        <f t="shared" si="43"/>
        <v>65658.66</v>
      </c>
      <c r="AB12" s="9">
        <f t="shared" si="43"/>
        <v>60090</v>
      </c>
      <c r="AC12" s="9">
        <f t="shared" si="43"/>
        <v>55595</v>
      </c>
      <c r="AD12" s="9">
        <f t="shared" si="43"/>
        <v>47032</v>
      </c>
      <c r="AE12" s="9">
        <f t="shared" si="43"/>
        <v>51277</v>
      </c>
      <c r="AF12" s="9">
        <f t="shared" si="43"/>
        <v>53166</v>
      </c>
      <c r="AG12" s="9">
        <f t="shared" si="43"/>
        <v>48159</v>
      </c>
      <c r="AH12" s="9">
        <f t="shared" si="43"/>
        <v>52475</v>
      </c>
      <c r="AI12" s="12">
        <f t="shared" ref="AI12:BA12" si="44">AI6+AI9</f>
        <v>73273</v>
      </c>
      <c r="AJ12" s="12">
        <f t="shared" si="44"/>
        <v>72496</v>
      </c>
      <c r="AK12" s="12">
        <f t="shared" si="44"/>
        <v>62870</v>
      </c>
      <c r="AL12" s="12">
        <f t="shared" si="44"/>
        <v>53851</v>
      </c>
      <c r="AM12" s="12">
        <f t="shared" si="44"/>
        <v>53448</v>
      </c>
      <c r="AN12" s="12">
        <f t="shared" si="44"/>
        <v>52369</v>
      </c>
      <c r="AO12" s="12">
        <f t="shared" si="44"/>
        <v>61565</v>
      </c>
      <c r="AP12" s="12">
        <f t="shared" si="44"/>
        <v>44162</v>
      </c>
      <c r="AQ12" s="12">
        <f t="shared" si="44"/>
        <v>69395</v>
      </c>
      <c r="AR12" s="12">
        <f t="shared" si="44"/>
        <v>51356</v>
      </c>
      <c r="AS12" s="12">
        <f t="shared" si="44"/>
        <v>56955</v>
      </c>
      <c r="AT12" s="12">
        <f t="shared" si="44"/>
        <v>48260</v>
      </c>
      <c r="AU12" s="12">
        <f t="shared" si="44"/>
        <v>60243</v>
      </c>
      <c r="AV12" s="12">
        <f t="shared" si="44"/>
        <v>55704</v>
      </c>
      <c r="AW12" s="12">
        <f t="shared" si="44"/>
        <v>56696</v>
      </c>
      <c r="AX12" s="12">
        <f t="shared" si="44"/>
        <v>50012</v>
      </c>
      <c r="AY12" s="12">
        <f t="shared" si="44"/>
        <v>66215</v>
      </c>
      <c r="AZ12" s="12">
        <f t="shared" si="44"/>
        <v>65405</v>
      </c>
      <c r="BA12" s="12">
        <f t="shared" si="44"/>
        <v>60446</v>
      </c>
      <c r="BB12" s="12">
        <f t="shared" ref="BB12:BC12" si="45">BB6+BB9</f>
        <v>75997</v>
      </c>
      <c r="BC12" s="12">
        <f t="shared" si="45"/>
        <v>72111</v>
      </c>
      <c r="BD12" s="12">
        <f t="shared" ref="BD12:BE12" si="46">BD6+BD9</f>
        <v>60836</v>
      </c>
      <c r="BE12" s="12">
        <f t="shared" si="46"/>
        <v>77263</v>
      </c>
      <c r="BF12" s="12">
        <f t="shared" ref="BF12:BG12" si="47">BF6+BF9</f>
        <v>61910</v>
      </c>
      <c r="BG12" s="12">
        <f t="shared" si="47"/>
        <v>64403</v>
      </c>
      <c r="BH12" s="12">
        <f t="shared" ref="BH12:BL12" si="48">BH6+BH9</f>
        <v>71586</v>
      </c>
      <c r="BI12" s="12">
        <f t="shared" ref="BI12" si="49">BI6+BI9</f>
        <v>67162</v>
      </c>
      <c r="BJ12" s="12">
        <f t="shared" si="48"/>
        <v>66764</v>
      </c>
      <c r="BK12" s="12">
        <f t="shared" si="48"/>
        <v>73454</v>
      </c>
      <c r="BL12" s="12">
        <f t="shared" si="48"/>
        <v>68042</v>
      </c>
      <c r="BM12" s="12">
        <f t="shared" ref="BM12" si="50">BM6+BM9</f>
        <v>66104</v>
      </c>
      <c r="BN12" s="12">
        <f t="shared" ref="BN12:BU12" si="51">BN6+BN9</f>
        <v>66049</v>
      </c>
      <c r="BO12" s="12">
        <f t="shared" si="51"/>
        <v>63082</v>
      </c>
      <c r="BP12" s="12">
        <f t="shared" si="51"/>
        <v>63416</v>
      </c>
      <c r="BQ12" s="12">
        <f t="shared" si="51"/>
        <v>68324</v>
      </c>
      <c r="BR12" s="12">
        <f t="shared" si="51"/>
        <v>73801</v>
      </c>
      <c r="BS12" s="12">
        <f t="shared" si="51"/>
        <v>69533</v>
      </c>
      <c r="BT12" s="12">
        <f t="shared" si="51"/>
        <v>78977</v>
      </c>
      <c r="BU12" s="12">
        <f t="shared" si="51"/>
        <v>64384</v>
      </c>
      <c r="BW12" s="9">
        <f>BW9+BW6</f>
        <v>227581.674</v>
      </c>
      <c r="BX12" s="9">
        <f t="shared" ref="BX12:CD12" si="52">BX6+BX9</f>
        <v>179018.95</v>
      </c>
      <c r="BY12" s="9">
        <f t="shared" si="52"/>
        <v>230045.71600000001</v>
      </c>
      <c r="BZ12" s="9">
        <f t="shared" si="52"/>
        <v>216977.73200000002</v>
      </c>
      <c r="CA12" s="9">
        <f t="shared" si="52"/>
        <v>230122.845</v>
      </c>
      <c r="CB12" s="9">
        <f t="shared" si="52"/>
        <v>260218.47999999998</v>
      </c>
      <c r="CC12" s="9">
        <f t="shared" si="52"/>
        <v>228375.66</v>
      </c>
      <c r="CD12" s="9">
        <f t="shared" si="52"/>
        <v>205077</v>
      </c>
      <c r="CE12" s="12">
        <f t="shared" si="21"/>
        <v>262490</v>
      </c>
      <c r="CF12" s="12">
        <f t="shared" si="22"/>
        <v>211544</v>
      </c>
      <c r="CG12" s="12">
        <f t="shared" si="23"/>
        <v>225966</v>
      </c>
      <c r="CH12" s="12">
        <f>SUM(AU12:AX12)+1</f>
        <v>222656</v>
      </c>
      <c r="CI12" s="12">
        <f t="shared" si="24"/>
        <v>268063</v>
      </c>
      <c r="CJ12" s="12">
        <f t="shared" si="25"/>
        <v>272120</v>
      </c>
      <c r="CK12" s="12">
        <f t="shared" si="26"/>
        <v>269915</v>
      </c>
      <c r="CL12" s="12">
        <f t="shared" si="28"/>
        <v>268623</v>
      </c>
      <c r="CM12" s="12">
        <f t="shared" si="27"/>
        <v>212894</v>
      </c>
    </row>
    <row r="13" spans="2:91" s="19" customFormat="1">
      <c r="BV13" s="59"/>
      <c r="BW13" s="59"/>
      <c r="BX13" s="59"/>
      <c r="BY13" s="59"/>
      <c r="BZ13" s="59"/>
      <c r="CA13" s="59"/>
      <c r="CB13" s="59"/>
      <c r="CC13" s="59"/>
      <c r="CD13" s="59"/>
    </row>
    <row r="14" spans="2:91">
      <c r="BV14" s="59"/>
      <c r="BW14" s="59"/>
      <c r="BX14" s="59"/>
      <c r="BY14" s="59"/>
      <c r="BZ14" s="59"/>
      <c r="CA14" s="59"/>
      <c r="CB14" s="59"/>
      <c r="CC14" s="59"/>
      <c r="CD14" s="5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3" man="1"/>
    <brk id="34" max="1048575" man="1"/>
    <brk id="73" max="1048575" man="1"/>
  </colBreaks>
  <ignoredErrors>
    <ignoredError sqref="BW6:CF11 CG8:CH8 CG12 CG10:CH11 CG9:CH9 CG7:CH7 CL7 CL10 CL9 CL11 CL8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6"/>
  <dimension ref="B2:CM9"/>
  <sheetViews>
    <sheetView showGridLines="0" zoomScale="80" zoomScaleNormal="80" zoomScaleSheetLayoutView="85" workbookViewId="0">
      <pane xSplit="2" ySplit="5" topLeftCell="BB6" activePane="bottomRight" state="frozen"/>
      <selection activeCell="BV30" sqref="BV30"/>
      <selection pane="topRight" activeCell="BV30" sqref="BV30"/>
      <selection pane="bottomLeft" activeCell="BV30" sqref="BV30"/>
      <selection pane="bottomRight" activeCell="BV30" sqref="BV30"/>
    </sheetView>
  </sheetViews>
  <sheetFormatPr defaultColWidth="9.140625" defaultRowHeight="15"/>
  <cols>
    <col min="1" max="1" width="2" customWidth="1"/>
    <col min="2" max="2" width="37.855468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32" width="8" customWidth="1"/>
    <col min="33" max="34" width="9.42578125" customWidth="1"/>
    <col min="35" max="35" width="10.5703125" bestFit="1" customWidth="1"/>
    <col min="36" max="43" width="10.5703125" customWidth="1"/>
    <col min="44" max="49" width="11.5703125" bestFit="1" customWidth="1"/>
    <col min="50" max="65" width="11.5703125" customWidth="1"/>
    <col min="66" max="73" width="10.85546875" customWidth="1"/>
    <col min="74" max="74" width="10.5703125" bestFit="1" customWidth="1"/>
    <col min="75" max="78" width="11.5703125" hidden="1" customWidth="1"/>
    <col min="79" max="79" width="10.5703125" hidden="1" customWidth="1"/>
    <col min="80" max="81" width="0" hidden="1" customWidth="1"/>
    <col min="82" max="82" width="9.5703125" hidden="1" customWidth="1"/>
    <col min="83" max="89" width="0" hidden="1" customWidth="1"/>
    <col min="90" max="91" width="10.7109375" customWidth="1"/>
  </cols>
  <sheetData>
    <row r="2" spans="2:91" ht="21">
      <c r="B2" s="31" t="s">
        <v>118</v>
      </c>
    </row>
    <row r="3" spans="2:91" ht="15.75">
      <c r="B3" s="63" t="s">
        <v>169</v>
      </c>
      <c r="BV3" s="63" t="s">
        <v>167</v>
      </c>
    </row>
    <row r="4" spans="2:91" ht="7.5" customHeight="1" thickBot="1"/>
    <row r="5" spans="2:91" ht="15.75" thickBot="1">
      <c r="B5" s="8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W5" s="10">
        <v>2008</v>
      </c>
      <c r="BX5" s="10">
        <v>2009</v>
      </c>
      <c r="BY5" s="10">
        <v>2010</v>
      </c>
      <c r="BZ5" s="10">
        <v>2011</v>
      </c>
      <c r="CA5" s="10">
        <v>2012</v>
      </c>
      <c r="CB5" s="10">
        <v>2013</v>
      </c>
      <c r="CC5" s="10">
        <v>2014</v>
      </c>
      <c r="CD5" s="10">
        <v>2015</v>
      </c>
      <c r="CE5" s="10">
        <v>2016</v>
      </c>
      <c r="CF5" s="10">
        <v>2017</v>
      </c>
      <c r="CG5" s="10">
        <v>2018</v>
      </c>
      <c r="CH5" s="10">
        <v>2019</v>
      </c>
      <c r="CI5" s="10">
        <v>2020</v>
      </c>
      <c r="CJ5" s="10">
        <v>2021</v>
      </c>
      <c r="CK5" s="8">
        <v>2022</v>
      </c>
      <c r="CL5" s="8">
        <v>2024</v>
      </c>
      <c r="CM5" s="8">
        <v>2025</v>
      </c>
    </row>
    <row r="6" spans="2:91" ht="15.75" thickBot="1">
      <c r="B6" s="9" t="s">
        <v>0</v>
      </c>
      <c r="C6" s="9">
        <f t="shared" ref="C6:AL6" si="0">SUM(C7:C8)</f>
        <v>62875.256000000008</v>
      </c>
      <c r="D6" s="9">
        <f t="shared" si="0"/>
        <v>67663.994999999995</v>
      </c>
      <c r="E6" s="9">
        <f t="shared" si="0"/>
        <v>67171.678</v>
      </c>
      <c r="F6" s="9">
        <f t="shared" si="0"/>
        <v>67485.400999999998</v>
      </c>
      <c r="G6" s="9">
        <f t="shared" si="0"/>
        <v>59711</v>
      </c>
      <c r="H6" s="9">
        <f t="shared" si="0"/>
        <v>42372.392</v>
      </c>
      <c r="I6" s="9">
        <f t="shared" si="0"/>
        <v>18084.739000000001</v>
      </c>
      <c r="J6" s="9">
        <f t="shared" si="0"/>
        <v>45219.934000000001</v>
      </c>
      <c r="K6" s="9">
        <f t="shared" si="0"/>
        <v>65664.167000000001</v>
      </c>
      <c r="L6" s="9">
        <f t="shared" si="0"/>
        <v>68670.118000000002</v>
      </c>
      <c r="M6" s="9">
        <f t="shared" si="0"/>
        <v>68042.969000000012</v>
      </c>
      <c r="N6" s="9">
        <f t="shared" si="0"/>
        <v>62965.728000000003</v>
      </c>
      <c r="O6" s="9">
        <f t="shared" si="0"/>
        <v>61757.25</v>
      </c>
      <c r="P6" s="9">
        <f t="shared" si="0"/>
        <v>63523.201000000001</v>
      </c>
      <c r="Q6" s="9">
        <f t="shared" si="0"/>
        <v>55661.398000000001</v>
      </c>
      <c r="R6" s="9">
        <f t="shared" si="0"/>
        <v>55229.675000000003</v>
      </c>
      <c r="S6" s="9">
        <f t="shared" si="0"/>
        <v>59497.135999999999</v>
      </c>
      <c r="T6" s="9">
        <f t="shared" si="0"/>
        <v>64089.729000000007</v>
      </c>
      <c r="U6" s="9">
        <f t="shared" si="0"/>
        <v>70394.381999999998</v>
      </c>
      <c r="V6" s="9">
        <f t="shared" si="0"/>
        <v>71452</v>
      </c>
      <c r="W6" s="9">
        <f t="shared" si="0"/>
        <v>66033</v>
      </c>
      <c r="X6" s="9">
        <f t="shared" si="0"/>
        <v>68073</v>
      </c>
      <c r="Y6" s="9">
        <f t="shared" si="0"/>
        <v>59361</v>
      </c>
      <c r="Z6" s="9">
        <f t="shared" si="0"/>
        <v>66859</v>
      </c>
      <c r="AA6" s="9">
        <f t="shared" si="0"/>
        <v>69645</v>
      </c>
      <c r="AB6" s="9">
        <f t="shared" si="0"/>
        <v>70489</v>
      </c>
      <c r="AC6" s="9">
        <f t="shared" si="0"/>
        <v>72818</v>
      </c>
      <c r="AD6" s="9">
        <f t="shared" si="0"/>
        <v>72388</v>
      </c>
      <c r="AE6" s="9">
        <f t="shared" si="0"/>
        <v>77662</v>
      </c>
      <c r="AF6" s="9">
        <f t="shared" si="0"/>
        <v>75110</v>
      </c>
      <c r="AG6" s="9">
        <f t="shared" si="0"/>
        <v>52278</v>
      </c>
      <c r="AH6" s="9">
        <f t="shared" si="0"/>
        <v>56728</v>
      </c>
      <c r="AI6" s="12">
        <f t="shared" si="0"/>
        <v>55463</v>
      </c>
      <c r="AJ6" s="12">
        <f t="shared" si="0"/>
        <v>51816</v>
      </c>
      <c r="AK6" s="12">
        <f t="shared" si="0"/>
        <v>52394</v>
      </c>
      <c r="AL6" s="12">
        <f t="shared" si="0"/>
        <v>52848</v>
      </c>
      <c r="AM6" s="12">
        <f t="shared" ref="AM6:AP6" si="1">SUM(AM7:AM8)</f>
        <v>63218</v>
      </c>
      <c r="AN6" s="12">
        <f t="shared" si="1"/>
        <v>57301</v>
      </c>
      <c r="AO6" s="12">
        <f t="shared" si="1"/>
        <v>58615</v>
      </c>
      <c r="AP6" s="12">
        <f t="shared" si="1"/>
        <v>56987</v>
      </c>
      <c r="AQ6" s="12">
        <f t="shared" ref="AQ6:AR6" si="2">SUM(AQ7:AQ8)</f>
        <v>66612</v>
      </c>
      <c r="AR6" s="12">
        <f t="shared" si="2"/>
        <v>65912</v>
      </c>
      <c r="AS6" s="12">
        <f t="shared" ref="AS6:AT6" si="3">SUM(AS7:AS8)</f>
        <v>65005</v>
      </c>
      <c r="AT6" s="12">
        <f t="shared" si="3"/>
        <v>66039</v>
      </c>
      <c r="AU6" s="12">
        <f t="shared" ref="AU6:AW6" si="4">SUM(AU7:AU8)</f>
        <v>66448</v>
      </c>
      <c r="AV6" s="12">
        <f t="shared" si="4"/>
        <v>64955</v>
      </c>
      <c r="AW6" s="12">
        <f t="shared" si="4"/>
        <v>48578</v>
      </c>
      <c r="AX6" s="12">
        <f t="shared" ref="AX6:AY6" si="5">SUM(AX7:AX8)</f>
        <v>53385</v>
      </c>
      <c r="AY6" s="12">
        <f t="shared" si="5"/>
        <v>72174</v>
      </c>
      <c r="AZ6" s="12">
        <f t="shared" ref="AZ6:BA6" si="6">SUM(AZ7:AZ8)</f>
        <v>77839</v>
      </c>
      <c r="BA6" s="12">
        <f t="shared" si="6"/>
        <v>76121</v>
      </c>
      <c r="BB6" s="12">
        <f t="shared" ref="BB6:BC6" si="7">SUM(BB7:BB8)</f>
        <v>70260</v>
      </c>
      <c r="BC6" s="12">
        <f t="shared" si="7"/>
        <v>75445</v>
      </c>
      <c r="BD6" s="12">
        <f t="shared" ref="BD6:BE6" si="8">SUM(BD7:BD8)</f>
        <v>76191</v>
      </c>
      <c r="BE6" s="12">
        <f t="shared" si="8"/>
        <v>80474</v>
      </c>
      <c r="BF6" s="12">
        <f t="shared" ref="BF6" si="9">SUM(BF7:BF8)</f>
        <v>77660</v>
      </c>
      <c r="BG6" s="12">
        <f t="shared" ref="BG6:BN6" si="10">SUM(BG7:BG8)</f>
        <v>73517</v>
      </c>
      <c r="BH6" s="12">
        <f t="shared" si="10"/>
        <v>75169</v>
      </c>
      <c r="BI6" s="12">
        <f t="shared" si="10"/>
        <v>75479</v>
      </c>
      <c r="BJ6" s="12">
        <f t="shared" si="10"/>
        <v>77462</v>
      </c>
      <c r="BK6" s="12">
        <f t="shared" si="10"/>
        <v>70255</v>
      </c>
      <c r="BL6" s="12">
        <f t="shared" ref="BL6" si="11">SUM(BL7:BL8)</f>
        <v>74096</v>
      </c>
      <c r="BM6" s="12">
        <f t="shared" si="10"/>
        <v>74615</v>
      </c>
      <c r="BN6" s="12">
        <f t="shared" si="10"/>
        <v>77677</v>
      </c>
      <c r="BO6" s="12">
        <f t="shared" ref="BO6:BP6" si="12">SUM(BO7:BO8)</f>
        <v>76788</v>
      </c>
      <c r="BP6" s="12">
        <f t="shared" si="12"/>
        <v>74750</v>
      </c>
      <c r="BQ6" s="12">
        <f t="shared" ref="BQ6:BU6" si="13">SUM(BQ7:BQ8)</f>
        <v>76286</v>
      </c>
      <c r="BR6" s="12">
        <f t="shared" si="13"/>
        <v>73384</v>
      </c>
      <c r="BS6" s="12">
        <f t="shared" si="13"/>
        <v>75821</v>
      </c>
      <c r="BT6" s="12">
        <f t="shared" si="13"/>
        <v>75406</v>
      </c>
      <c r="BU6" s="12">
        <f t="shared" si="13"/>
        <v>75693</v>
      </c>
      <c r="BW6" s="9">
        <f t="shared" ref="BW6:CD6" si="14">SUM(BW7:BW8)</f>
        <v>265196.32999999996</v>
      </c>
      <c r="BX6" s="9">
        <f t="shared" si="14"/>
        <v>165388.065</v>
      </c>
      <c r="BY6" s="9">
        <f t="shared" si="14"/>
        <v>265342.98200000002</v>
      </c>
      <c r="BZ6" s="9">
        <f t="shared" si="14"/>
        <v>236171.524</v>
      </c>
      <c r="CA6" s="9">
        <f t="shared" si="14"/>
        <v>265433.24699999997</v>
      </c>
      <c r="CB6" s="9">
        <f t="shared" si="14"/>
        <v>260326</v>
      </c>
      <c r="CC6" s="9">
        <f t="shared" si="14"/>
        <v>285340</v>
      </c>
      <c r="CD6" s="9">
        <f t="shared" si="14"/>
        <v>261778</v>
      </c>
      <c r="CE6" s="12">
        <f>SUM(AI6:AL6)</f>
        <v>212521</v>
      </c>
      <c r="CF6" s="12">
        <f>SUM(AM6:AP6)</f>
        <v>236121</v>
      </c>
      <c r="CG6" s="12">
        <f>SUM(AQ6:AT6)</f>
        <v>263568</v>
      </c>
      <c r="CH6" s="12">
        <f>SUM(AU6:AX6)</f>
        <v>233366</v>
      </c>
      <c r="CI6" s="12">
        <f>SUM(AY6:BB6)</f>
        <v>296394</v>
      </c>
      <c r="CJ6" s="12">
        <f>SUM(BC6:BF6)</f>
        <v>309770</v>
      </c>
      <c r="CK6" s="12">
        <f>SUM(BG6:BJ6)</f>
        <v>301627</v>
      </c>
      <c r="CL6" s="12">
        <f>SUM(BO6:BR6)</f>
        <v>301208</v>
      </c>
      <c r="CM6" s="12">
        <f>SUM(BS6:BU6)</f>
        <v>226920</v>
      </c>
    </row>
    <row r="7" spans="2:91">
      <c r="B7" s="3" t="s">
        <v>164</v>
      </c>
      <c r="C7" s="2">
        <v>47132.322000000007</v>
      </c>
      <c r="D7" s="2">
        <v>50701.993999999992</v>
      </c>
      <c r="E7" s="2">
        <v>51069.64</v>
      </c>
      <c r="F7" s="2">
        <v>50420.720999999998</v>
      </c>
      <c r="G7" s="2">
        <v>39187</v>
      </c>
      <c r="H7" s="2">
        <v>24411.599999999999</v>
      </c>
      <c r="I7" s="2">
        <v>700.40099999999995</v>
      </c>
      <c r="J7" s="2">
        <v>26335.055</v>
      </c>
      <c r="K7" s="2">
        <v>43836.167000000001</v>
      </c>
      <c r="L7" s="2">
        <v>46229.118000000002</v>
      </c>
      <c r="M7" s="2">
        <v>45592.969000000005</v>
      </c>
      <c r="N7" s="2">
        <v>37773.728000000003</v>
      </c>
      <c r="O7" s="2">
        <v>39296.25</v>
      </c>
      <c r="P7" s="2">
        <v>40714.201000000001</v>
      </c>
      <c r="Q7" s="2">
        <v>32755.398000000001</v>
      </c>
      <c r="R7" s="2">
        <v>32357.674999999999</v>
      </c>
      <c r="S7" s="2">
        <v>37696.135999999999</v>
      </c>
      <c r="T7" s="2">
        <v>43604.729000000007</v>
      </c>
      <c r="U7" s="2">
        <v>49859.381999999998</v>
      </c>
      <c r="V7" s="2">
        <v>49756</v>
      </c>
      <c r="W7" s="2">
        <v>46155</v>
      </c>
      <c r="X7" s="2">
        <v>45831</v>
      </c>
      <c r="Y7" s="2">
        <v>37579</v>
      </c>
      <c r="Z7" s="2">
        <v>44615</v>
      </c>
      <c r="AA7" s="2">
        <v>47423</v>
      </c>
      <c r="AB7" s="2">
        <v>44297</v>
      </c>
      <c r="AC7" s="2">
        <v>47611</v>
      </c>
      <c r="AD7" s="2">
        <v>49351</v>
      </c>
      <c r="AE7" s="2">
        <v>53560</v>
      </c>
      <c r="AF7" s="2">
        <v>49235</v>
      </c>
      <c r="AG7" s="2">
        <v>31438</v>
      </c>
      <c r="AH7" s="2">
        <v>39234</v>
      </c>
      <c r="AI7" s="2">
        <v>40869</v>
      </c>
      <c r="AJ7" s="2">
        <v>34838</v>
      </c>
      <c r="AK7" s="2">
        <v>35678</v>
      </c>
      <c r="AL7" s="2">
        <v>38855</v>
      </c>
      <c r="AM7" s="2">
        <v>46998</v>
      </c>
      <c r="AN7" s="2">
        <v>44227</v>
      </c>
      <c r="AO7" s="2">
        <v>42986</v>
      </c>
      <c r="AP7" s="2">
        <v>37320</v>
      </c>
      <c r="AQ7" s="2">
        <v>43806</v>
      </c>
      <c r="AR7" s="2">
        <v>43549</v>
      </c>
      <c r="AS7" s="2">
        <v>46040</v>
      </c>
      <c r="AT7" s="2">
        <v>41666</v>
      </c>
      <c r="AU7" s="2">
        <v>40457</v>
      </c>
      <c r="AV7" s="2">
        <v>40297</v>
      </c>
      <c r="AW7" s="2">
        <v>27946</v>
      </c>
      <c r="AX7" s="21">
        <v>28080</v>
      </c>
      <c r="AY7" s="21">
        <f>47508+2</f>
        <v>47510</v>
      </c>
      <c r="AZ7" s="21">
        <v>54570</v>
      </c>
      <c r="BA7" s="21">
        <v>51927</v>
      </c>
      <c r="BB7" s="21">
        <v>47182</v>
      </c>
      <c r="BC7" s="21">
        <v>53157</v>
      </c>
      <c r="BD7" s="21">
        <v>52511</v>
      </c>
      <c r="BE7" s="21">
        <v>55366</v>
      </c>
      <c r="BF7" s="21">
        <v>52722</v>
      </c>
      <c r="BG7" s="21">
        <v>49393</v>
      </c>
      <c r="BH7" s="21">
        <v>51628</v>
      </c>
      <c r="BI7" s="21">
        <v>51164</v>
      </c>
      <c r="BJ7" s="21">
        <v>53186</v>
      </c>
      <c r="BK7" s="21">
        <v>48462</v>
      </c>
      <c r="BL7" s="21">
        <v>49911</v>
      </c>
      <c r="BM7" s="21">
        <v>50652</v>
      </c>
      <c r="BN7" s="21">
        <v>53456</v>
      </c>
      <c r="BO7" s="21">
        <v>51297</v>
      </c>
      <c r="BP7" s="21">
        <v>50067</v>
      </c>
      <c r="BQ7" s="21">
        <v>48495</v>
      </c>
      <c r="BR7" s="21">
        <v>51513</v>
      </c>
      <c r="BS7" s="21">
        <v>50372</v>
      </c>
      <c r="BT7" s="21">
        <v>51051</v>
      </c>
      <c r="BU7" s="21">
        <v>52652</v>
      </c>
      <c r="BW7" s="2">
        <f>SUM(C7:F7)</f>
        <v>199324.677</v>
      </c>
      <c r="BX7" s="2">
        <f>SUM(G7:J7)</f>
        <v>90634.055999999997</v>
      </c>
      <c r="BY7" s="2">
        <f>SUM(K7:N7)</f>
        <v>173431.98200000002</v>
      </c>
      <c r="BZ7" s="2">
        <f>SUM(O7:R7)</f>
        <v>145123.524</v>
      </c>
      <c r="CA7" s="2">
        <f>SUM(S7:V7)</f>
        <v>180916.247</v>
      </c>
      <c r="CB7" s="2">
        <f>SUM(W7:Z7)</f>
        <v>174180</v>
      </c>
      <c r="CC7" s="2">
        <f>SUM(AA7:AD7)</f>
        <v>188682</v>
      </c>
      <c r="CD7" s="2">
        <f>SUM(AE7:AH7)</f>
        <v>173467</v>
      </c>
      <c r="CE7" s="2">
        <f>SUM(AI7:AL7)</f>
        <v>150240</v>
      </c>
      <c r="CF7" s="2">
        <f>SUM(AM7:AP7)</f>
        <v>171531</v>
      </c>
      <c r="CG7" s="2">
        <f>SUM(AQ7:AT7)</f>
        <v>175061</v>
      </c>
      <c r="CH7" s="2">
        <f>SUM(AU7:AX7)</f>
        <v>136780</v>
      </c>
      <c r="CI7" s="2">
        <f>SUM(AY7:BB7)</f>
        <v>201189</v>
      </c>
      <c r="CJ7" s="2">
        <f>SUM(BC7:BF7)</f>
        <v>213756</v>
      </c>
      <c r="CK7" s="2">
        <f>SUM(BG7:BJ7)</f>
        <v>205371</v>
      </c>
      <c r="CL7" s="2">
        <f>SUM(BO7:BR7)</f>
        <v>201372</v>
      </c>
      <c r="CM7" s="2">
        <f>SUM(BS7:BU7)</f>
        <v>154075</v>
      </c>
    </row>
    <row r="8" spans="2:91">
      <c r="B8" s="3" t="s">
        <v>165</v>
      </c>
      <c r="C8" s="2">
        <v>15742.934000000001</v>
      </c>
      <c r="D8" s="2">
        <v>16962.001</v>
      </c>
      <c r="E8" s="2">
        <v>16102.037999999999</v>
      </c>
      <c r="F8" s="2">
        <v>17064.68</v>
      </c>
      <c r="G8" s="2">
        <v>20524</v>
      </c>
      <c r="H8" s="2">
        <v>17960.792000000001</v>
      </c>
      <c r="I8" s="2">
        <v>17384.338</v>
      </c>
      <c r="J8" s="2">
        <v>18884.879000000001</v>
      </c>
      <c r="K8" s="2">
        <v>21828</v>
      </c>
      <c r="L8" s="2">
        <v>22441</v>
      </c>
      <c r="M8" s="2">
        <v>22450</v>
      </c>
      <c r="N8" s="2">
        <v>25192</v>
      </c>
      <c r="O8" s="2">
        <v>22461</v>
      </c>
      <c r="P8" s="2">
        <v>22809</v>
      </c>
      <c r="Q8" s="2">
        <v>22906</v>
      </c>
      <c r="R8" s="2">
        <v>22872</v>
      </c>
      <c r="S8" s="2">
        <v>21801</v>
      </c>
      <c r="T8" s="2">
        <v>20485</v>
      </c>
      <c r="U8" s="2">
        <v>20535</v>
      </c>
      <c r="V8" s="2">
        <v>21696</v>
      </c>
      <c r="W8" s="2">
        <v>19878</v>
      </c>
      <c r="X8" s="2">
        <v>22242</v>
      </c>
      <c r="Y8" s="2">
        <v>21782</v>
      </c>
      <c r="Z8" s="2">
        <v>22244</v>
      </c>
      <c r="AA8" s="2">
        <v>22222</v>
      </c>
      <c r="AB8" s="2">
        <v>26192</v>
      </c>
      <c r="AC8" s="2">
        <v>25207</v>
      </c>
      <c r="AD8" s="2">
        <v>23037</v>
      </c>
      <c r="AE8" s="2">
        <v>24102</v>
      </c>
      <c r="AF8" s="2">
        <v>25875</v>
      </c>
      <c r="AG8" s="2">
        <v>20840</v>
      </c>
      <c r="AH8" s="2">
        <v>17494</v>
      </c>
      <c r="AI8" s="2">
        <v>14594</v>
      </c>
      <c r="AJ8" s="2">
        <v>16978</v>
      </c>
      <c r="AK8" s="2">
        <v>16716</v>
      </c>
      <c r="AL8" s="2">
        <v>13993</v>
      </c>
      <c r="AM8" s="2">
        <v>16220</v>
      </c>
      <c r="AN8" s="2">
        <v>13074</v>
      </c>
      <c r="AO8" s="2">
        <v>15629</v>
      </c>
      <c r="AP8" s="2">
        <v>19667</v>
      </c>
      <c r="AQ8" s="2">
        <v>22806</v>
      </c>
      <c r="AR8" s="2">
        <v>22363</v>
      </c>
      <c r="AS8" s="2">
        <v>18965</v>
      </c>
      <c r="AT8" s="2">
        <v>24373</v>
      </c>
      <c r="AU8" s="2">
        <v>25991</v>
      </c>
      <c r="AV8" s="2">
        <v>24658</v>
      </c>
      <c r="AW8" s="2">
        <v>20632</v>
      </c>
      <c r="AX8" s="21">
        <v>25305</v>
      </c>
      <c r="AY8" s="21">
        <v>24664</v>
      </c>
      <c r="AZ8" s="21">
        <v>23269</v>
      </c>
      <c r="BA8" s="21">
        <v>24194</v>
      </c>
      <c r="BB8" s="21">
        <v>23078</v>
      </c>
      <c r="BC8" s="21">
        <v>22288</v>
      </c>
      <c r="BD8" s="21">
        <v>23680</v>
      </c>
      <c r="BE8" s="21">
        <v>25108</v>
      </c>
      <c r="BF8" s="21">
        <v>24938</v>
      </c>
      <c r="BG8" s="21">
        <v>24124</v>
      </c>
      <c r="BH8" s="21">
        <v>23541</v>
      </c>
      <c r="BI8" s="21">
        <v>24315</v>
      </c>
      <c r="BJ8" s="21">
        <v>24276</v>
      </c>
      <c r="BK8" s="21">
        <v>21793</v>
      </c>
      <c r="BL8" s="21">
        <v>24185</v>
      </c>
      <c r="BM8" s="21">
        <v>23963</v>
      </c>
      <c r="BN8" s="21">
        <v>24221</v>
      </c>
      <c r="BO8" s="21">
        <v>25491</v>
      </c>
      <c r="BP8" s="21">
        <v>24683</v>
      </c>
      <c r="BQ8" s="21">
        <v>27791</v>
      </c>
      <c r="BR8" s="21">
        <v>21871</v>
      </c>
      <c r="BS8" s="21">
        <v>25449</v>
      </c>
      <c r="BT8" s="21">
        <v>24355</v>
      </c>
      <c r="BU8" s="21">
        <v>23041</v>
      </c>
      <c r="BW8" s="2">
        <f t="shared" ref="BW8" si="15">SUM(C8:F8)</f>
        <v>65871.652999999991</v>
      </c>
      <c r="BX8" s="2">
        <f>SUM(G8:J8)</f>
        <v>74754.009000000005</v>
      </c>
      <c r="BY8" s="2">
        <f>SUM(K8:N8)</f>
        <v>91911</v>
      </c>
      <c r="BZ8" s="2">
        <f>SUM(O8:R8)</f>
        <v>91048</v>
      </c>
      <c r="CA8" s="2">
        <f>SUM(S8:V8)</f>
        <v>84517</v>
      </c>
      <c r="CB8" s="2">
        <f>SUM(W8:Z8)</f>
        <v>86146</v>
      </c>
      <c r="CC8" s="2">
        <f t="shared" ref="CC8" si="16">SUM(AA8:AD8)</f>
        <v>96658</v>
      </c>
      <c r="CD8" s="2">
        <f>SUM(AE8:AH8)</f>
        <v>88311</v>
      </c>
      <c r="CE8" s="2">
        <f>SUM(AI8:AL8)</f>
        <v>62281</v>
      </c>
      <c r="CF8" s="2">
        <f>SUM(AM8:AP8)</f>
        <v>64590</v>
      </c>
      <c r="CG8" s="2">
        <f>SUM(AQ8:AT8)</f>
        <v>88507</v>
      </c>
      <c r="CH8" s="2">
        <f>SUM(AU8:AX8)</f>
        <v>96586</v>
      </c>
      <c r="CI8" s="2">
        <f>SUM(AY8:BB8)</f>
        <v>95205</v>
      </c>
      <c r="CJ8" s="2">
        <f>SUM(BC8:BF8)</f>
        <v>96014</v>
      </c>
      <c r="CK8" s="2">
        <f>SUM(BG8:BJ8)</f>
        <v>96256</v>
      </c>
      <c r="CL8" s="2">
        <f>SUM(BO8:BR8)</f>
        <v>99836</v>
      </c>
      <c r="CM8" s="2">
        <f>SUM(BS8:BU8)</f>
        <v>72845</v>
      </c>
    </row>
    <row r="9" spans="2:91" s="19" customFormat="1"/>
  </sheetData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8" man="1"/>
    <brk id="34" max="1048575" man="1"/>
    <brk id="73" max="1048575" man="1"/>
  </colBreaks>
  <ignoredErrors>
    <ignoredError sqref="BW7:CF8 CG7:CH8 CL8 CL7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showRowColHeaders="0" zoomScale="85" zoomScaleNormal="85" workbookViewId="0">
      <selection activeCell="AA34" sqref="AA34"/>
    </sheetView>
  </sheetViews>
  <sheetFormatPr defaultColWidth="9.140625" defaultRowHeight="15"/>
  <cols>
    <col min="1" max="1" width="2" style="53" customWidth="1"/>
    <col min="2" max="16384" width="9.140625" style="53"/>
  </cols>
  <sheetData/>
  <sheetProtection password="AE42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B2:CU43"/>
  <sheetViews>
    <sheetView showGridLines="0" zoomScale="85" zoomScaleNormal="85" zoomScaleSheetLayoutView="85" workbookViewId="0">
      <pane xSplit="2" ySplit="5" topLeftCell="BO6" activePane="bottomRight" state="frozen"/>
      <selection activeCell="BV30" sqref="BV30"/>
      <selection pane="topRight" activeCell="BV30" sqref="BV30"/>
      <selection pane="bottomLeft" activeCell="BV30" sqref="BV30"/>
      <selection pane="bottomRight" activeCell="BV30" sqref="BV30"/>
    </sheetView>
  </sheetViews>
  <sheetFormatPr defaultRowHeight="15"/>
  <cols>
    <col min="1" max="1" width="1.140625" customWidth="1"/>
    <col min="2" max="2" width="41.5703125" customWidth="1"/>
    <col min="3" max="3" width="11.5703125" bestFit="1" customWidth="1"/>
    <col min="4" max="5" width="12.28515625" bestFit="1" customWidth="1"/>
    <col min="6" max="8" width="11.5703125" bestFit="1" customWidth="1"/>
    <col min="9" max="14" width="12.28515625" bestFit="1" customWidth="1"/>
    <col min="15" max="15" width="13.28515625" bestFit="1" customWidth="1"/>
    <col min="16" max="28" width="12.28515625" bestFit="1" customWidth="1"/>
    <col min="29" max="29" width="13.28515625" customWidth="1"/>
    <col min="30" max="30" width="12.7109375" customWidth="1"/>
    <col min="31" max="31" width="13.28515625" customWidth="1"/>
    <col min="32" max="43" width="12.5703125" customWidth="1"/>
    <col min="44" max="45" width="12.28515625" bestFit="1" customWidth="1"/>
    <col min="46" max="73" width="12.28515625" customWidth="1"/>
    <col min="74" max="74" width="12.28515625" bestFit="1" customWidth="1"/>
    <col min="75" max="78" width="12.28515625" hidden="1" customWidth="1"/>
    <col min="79" max="79" width="11" hidden="1" customWidth="1"/>
    <col min="80" max="80" width="12.5703125" hidden="1" customWidth="1"/>
    <col min="81" max="82" width="11.28515625" hidden="1" customWidth="1"/>
    <col min="83" max="89" width="10.5703125" hidden="1" customWidth="1"/>
    <col min="90" max="91" width="11.28515625" bestFit="1" customWidth="1"/>
    <col min="98" max="98" width="13.28515625" bestFit="1" customWidth="1"/>
    <col min="99" max="99" width="10.5703125" bestFit="1" customWidth="1"/>
  </cols>
  <sheetData>
    <row r="2" spans="2:93" ht="21">
      <c r="B2" s="31" t="s">
        <v>27</v>
      </c>
    </row>
    <row r="3" spans="2:93" ht="15.75">
      <c r="B3" s="63" t="s">
        <v>169</v>
      </c>
      <c r="BV3" s="63" t="s">
        <v>167</v>
      </c>
    </row>
    <row r="4" spans="2:93" ht="3" customHeight="1" thickBot="1"/>
    <row r="5" spans="2:93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W5" s="8">
        <v>2008</v>
      </c>
      <c r="BX5" s="8">
        <v>2009</v>
      </c>
      <c r="BY5" s="8">
        <v>2010</v>
      </c>
      <c r="BZ5" s="8">
        <v>2011</v>
      </c>
      <c r="CA5" s="8">
        <v>2012</v>
      </c>
      <c r="CB5" s="8">
        <v>2013</v>
      </c>
      <c r="CC5" s="8">
        <v>2014</v>
      </c>
      <c r="CD5" s="8">
        <v>2015</v>
      </c>
      <c r="CE5" s="8">
        <v>2016</v>
      </c>
      <c r="CF5" s="8">
        <v>2017</v>
      </c>
      <c r="CG5" s="8">
        <v>2018</v>
      </c>
      <c r="CH5" s="8">
        <v>2019</v>
      </c>
      <c r="CI5" s="8">
        <v>2020</v>
      </c>
      <c r="CJ5" s="8">
        <v>2021</v>
      </c>
      <c r="CK5" s="8">
        <v>2022</v>
      </c>
      <c r="CL5" s="8">
        <v>2024</v>
      </c>
      <c r="CM5" s="8">
        <v>2025</v>
      </c>
    </row>
    <row r="6" spans="2:93" ht="15.75" thickBot="1">
      <c r="B6" s="9" t="s">
        <v>204</v>
      </c>
      <c r="C6" s="12">
        <v>207545</v>
      </c>
      <c r="D6" s="12">
        <v>327615</v>
      </c>
      <c r="E6" s="12">
        <v>301851</v>
      </c>
      <c r="F6" s="12">
        <v>219899</v>
      </c>
      <c r="G6" s="12">
        <v>104408</v>
      </c>
      <c r="H6" s="12">
        <v>125909</v>
      </c>
      <c r="I6" s="12">
        <v>178797</v>
      </c>
      <c r="J6" s="12">
        <v>141862</v>
      </c>
      <c r="K6" s="12">
        <v>176581</v>
      </c>
      <c r="L6" s="12">
        <v>230718</v>
      </c>
      <c r="M6" s="12">
        <v>213765</v>
      </c>
      <c r="N6" s="12">
        <v>201069</v>
      </c>
      <c r="O6" s="12">
        <v>236629</v>
      </c>
      <c r="P6" s="12">
        <v>213763</v>
      </c>
      <c r="Q6" s="12">
        <v>175354</v>
      </c>
      <c r="R6" s="12">
        <v>159336</v>
      </c>
      <c r="S6" s="12">
        <v>216528</v>
      </c>
      <c r="T6" s="12">
        <v>230578</v>
      </c>
      <c r="U6" s="12">
        <v>205656</v>
      </c>
      <c r="V6" s="12">
        <v>203129</v>
      </c>
      <c r="W6" s="12">
        <v>228815</v>
      </c>
      <c r="X6" s="12">
        <v>225834</v>
      </c>
      <c r="Y6" s="12">
        <v>268015</v>
      </c>
      <c r="Z6" s="12">
        <v>253289</v>
      </c>
      <c r="AA6" s="12">
        <v>278624</v>
      </c>
      <c r="AB6" s="12">
        <v>269849</v>
      </c>
      <c r="AC6" s="12">
        <v>248526</v>
      </c>
      <c r="AD6" s="12">
        <v>221875</v>
      </c>
      <c r="AE6" s="12">
        <v>260568</v>
      </c>
      <c r="AF6" s="12">
        <v>304358</v>
      </c>
      <c r="AG6" s="12">
        <v>275026</v>
      </c>
      <c r="AH6" s="57">
        <v>305640</v>
      </c>
      <c r="AI6" s="57">
        <v>352494</v>
      </c>
      <c r="AJ6" s="57">
        <v>312651</v>
      </c>
      <c r="AK6" s="57">
        <v>292664</v>
      </c>
      <c r="AL6" s="57">
        <v>334817</v>
      </c>
      <c r="AM6" s="57">
        <v>363124</v>
      </c>
      <c r="AN6" s="57">
        <v>326384</v>
      </c>
      <c r="AO6" s="57">
        <v>330701</v>
      </c>
      <c r="AP6" s="57">
        <v>303757</v>
      </c>
      <c r="AQ6" s="57">
        <v>410766</v>
      </c>
      <c r="AR6" s="57">
        <v>410735</v>
      </c>
      <c r="AS6" s="57">
        <f>435114+52318-24120</f>
        <v>463312</v>
      </c>
      <c r="AT6" s="57">
        <f>'Receita líquida'!AT6+'Receita líquida'!AT7</f>
        <v>371305</v>
      </c>
      <c r="AU6" s="57">
        <f>'Receita líquida'!AU6+'Receita líquida'!AU7</f>
        <v>415908</v>
      </c>
      <c r="AV6" s="57">
        <f>'Receita líquida'!AV6+'Receita líquida'!AV7</f>
        <v>373686</v>
      </c>
      <c r="AW6" s="57">
        <f>'Receita líquida'!AW6+'Receita líquida'!AW7</f>
        <v>369575</v>
      </c>
      <c r="AX6" s="57">
        <f>'Receita líquida'!AX6+'Receita líquida'!AX7</f>
        <v>319745</v>
      </c>
      <c r="AY6" s="57">
        <f>'Receita líquida'!AY6+'Receita líquida'!AY7</f>
        <v>388317</v>
      </c>
      <c r="AZ6" s="57">
        <f>'Receita líquida'!AZ6+'Receita líquida'!AZ7</f>
        <v>463429</v>
      </c>
      <c r="BA6" s="57">
        <f>'Receita líquida'!BA6+'Receita líquida'!BA7</f>
        <v>428410</v>
      </c>
      <c r="BB6" s="57">
        <f>'Receita líquida'!BB6+'Receita líquida'!BB7</f>
        <v>523502</v>
      </c>
      <c r="BC6" s="57">
        <f>'Receita líquida'!BC6+'Receita líquida'!BC7</f>
        <v>575916</v>
      </c>
      <c r="BD6" s="57">
        <f>'Receita líquida'!BD6+'Receita líquida'!BD7</f>
        <v>588632</v>
      </c>
      <c r="BE6" s="57">
        <f>'Receita líquida'!BE6+'Receita líquida'!BE7</f>
        <v>773752</v>
      </c>
      <c r="BF6" s="57">
        <f>'Receita líquida'!BF6+'Receita líquida'!BF7</f>
        <v>785810</v>
      </c>
      <c r="BG6" s="57">
        <f>'Receita líquida'!BG6+'Receita líquida'!BG7</f>
        <v>828320</v>
      </c>
      <c r="BH6" s="57">
        <f>'Receita líquida'!BH6+'Receita líquida'!BH7</f>
        <v>1021823</v>
      </c>
      <c r="BI6" s="57">
        <f>'Receita líquida'!BI6+'Receita líquida'!BI7</f>
        <v>872477</v>
      </c>
      <c r="BJ6" s="57">
        <f>'Receita líquida'!BJ6+'Receita líquida'!BJ7</f>
        <v>801761</v>
      </c>
      <c r="BK6" s="57">
        <f>'Receita líquida'!BK6+'Receita líquida'!BK7</f>
        <v>791698</v>
      </c>
      <c r="BL6" s="57">
        <f>'Receita líquida'!BL6+'Receita líquida'!BL7</f>
        <v>710586</v>
      </c>
      <c r="BM6" s="57">
        <f>'Receita líquida'!BM6+'Receita líquida'!BM7</f>
        <v>632469</v>
      </c>
      <c r="BN6" s="57">
        <f>'Receita líquida'!BN6+'Receita líquida'!BN7</f>
        <v>607722</v>
      </c>
      <c r="BO6" s="57">
        <f>'Receita líquida'!BO6+'Receita líquida'!BO7</f>
        <v>570744</v>
      </c>
      <c r="BP6" s="57">
        <f>'Receita líquida'!BP6+'Receita líquida'!BP7</f>
        <v>585450</v>
      </c>
      <c r="BQ6" s="57">
        <f>'Receita líquida'!BQ6+'Receita líquida'!BQ7</f>
        <v>681925</v>
      </c>
      <c r="BR6" s="57">
        <f>'Receita líquida'!BR6+'Receita líquida'!BR7</f>
        <v>678605</v>
      </c>
      <c r="BS6" s="57">
        <f>'Receita líquida'!BS6+'Receita líquida'!BS7</f>
        <v>624065</v>
      </c>
      <c r="BT6" s="57">
        <f>'Receita líquida'!BT6+'Receita líquida'!BT7</f>
        <v>717667</v>
      </c>
      <c r="BU6" s="57">
        <f>'Receita líquida'!BU6+'Receita líquida'!BU7</f>
        <v>622247</v>
      </c>
      <c r="BV6" s="16"/>
      <c r="BW6" s="9">
        <f>SUM(C6:F6)</f>
        <v>1056910</v>
      </c>
      <c r="BX6" s="9">
        <f>SUM(G6:J6)</f>
        <v>550976</v>
      </c>
      <c r="BY6" s="9">
        <f>SUM(K6:N6)</f>
        <v>822133</v>
      </c>
      <c r="BZ6" s="9">
        <f>SUM(O6:R6)</f>
        <v>785082</v>
      </c>
      <c r="CA6" s="9">
        <f>SUM(S6:V6)</f>
        <v>855891</v>
      </c>
      <c r="CB6" s="9">
        <f>SUM(W6:Z6)</f>
        <v>975953</v>
      </c>
      <c r="CC6" s="9">
        <f>SUM(AA6:AD6)</f>
        <v>1018874</v>
      </c>
      <c r="CD6" s="9">
        <f>SUM(AE6:AH6)</f>
        <v>1145592</v>
      </c>
      <c r="CE6" s="12">
        <f>SUM(AI6:AL6)</f>
        <v>1292626</v>
      </c>
      <c r="CF6" s="12">
        <f>SUM(AM6:AP6)</f>
        <v>1323966</v>
      </c>
      <c r="CG6" s="12">
        <f>SUM(AQ6:AT6)</f>
        <v>1656118</v>
      </c>
      <c r="CH6" s="12">
        <f>SUM(AU6:AX6)</f>
        <v>1478914</v>
      </c>
      <c r="CI6" s="12">
        <f>SUM(AY6:BB6)</f>
        <v>1803658</v>
      </c>
      <c r="CJ6" s="12">
        <f t="shared" ref="CJ6:CJ8" si="0">SUM(BC6:BF6)</f>
        <v>2724110</v>
      </c>
      <c r="CK6" s="12">
        <f>SUM(BG6:BJ6)</f>
        <v>3524381</v>
      </c>
      <c r="CL6" s="12">
        <f>SUM(BO6:BR6)</f>
        <v>2516724</v>
      </c>
      <c r="CM6" s="12">
        <f>SUM(BS6:BU6)</f>
        <v>1963979</v>
      </c>
    </row>
    <row r="7" spans="2:93" ht="15.75" thickBot="1">
      <c r="B7" t="s">
        <v>47</v>
      </c>
      <c r="C7" s="2">
        <v>170257</v>
      </c>
      <c r="D7" s="2">
        <v>271621</v>
      </c>
      <c r="E7" s="2">
        <v>250353</v>
      </c>
      <c r="F7" s="2">
        <v>186683</v>
      </c>
      <c r="G7" s="2">
        <v>85616</v>
      </c>
      <c r="H7" s="2">
        <v>100614</v>
      </c>
      <c r="I7" s="2">
        <v>149608</v>
      </c>
      <c r="J7" s="2">
        <v>114915</v>
      </c>
      <c r="K7" s="2">
        <v>142631</v>
      </c>
      <c r="L7" s="2">
        <v>188510</v>
      </c>
      <c r="M7" s="2">
        <v>174747</v>
      </c>
      <c r="N7" s="2">
        <v>167170</v>
      </c>
      <c r="O7" s="2">
        <v>195695</v>
      </c>
      <c r="P7" s="2">
        <v>174060</v>
      </c>
      <c r="Q7" s="2">
        <v>140871</v>
      </c>
      <c r="R7" s="2">
        <v>131708</v>
      </c>
      <c r="S7" s="2">
        <v>182440</v>
      </c>
      <c r="T7" s="2">
        <v>190297</v>
      </c>
      <c r="U7" s="2">
        <v>166644</v>
      </c>
      <c r="V7" s="2">
        <v>168021</v>
      </c>
      <c r="W7" s="2">
        <v>185693</v>
      </c>
      <c r="X7" s="2">
        <v>182139</v>
      </c>
      <c r="Y7" s="2">
        <v>224436</v>
      </c>
      <c r="Z7" s="2">
        <v>207504</v>
      </c>
      <c r="AA7" s="2">
        <v>230169</v>
      </c>
      <c r="AB7" s="2">
        <v>220635</v>
      </c>
      <c r="AC7" s="2">
        <v>200624</v>
      </c>
      <c r="AD7" s="2">
        <v>176819</v>
      </c>
      <c r="AE7" s="2">
        <v>210227</v>
      </c>
      <c r="AF7" s="2">
        <v>250753</v>
      </c>
      <c r="AG7" s="2">
        <v>224885</v>
      </c>
      <c r="AH7" s="2">
        <v>250365</v>
      </c>
      <c r="AI7" s="2">
        <v>305167</v>
      </c>
      <c r="AJ7" s="2">
        <v>266856</v>
      </c>
      <c r="AK7" s="2">
        <v>241252</v>
      </c>
      <c r="AL7" s="2">
        <v>282879</v>
      </c>
      <c r="AM7" s="2">
        <v>302895</v>
      </c>
      <c r="AN7" s="2">
        <v>270652</v>
      </c>
      <c r="AO7" s="2">
        <v>276419</v>
      </c>
      <c r="AP7" s="2">
        <v>258756</v>
      </c>
      <c r="AQ7" s="2">
        <v>348500</v>
      </c>
      <c r="AR7" s="2">
        <v>348501</v>
      </c>
      <c r="AS7" s="2">
        <f>366200+50122-23240-28</f>
        <v>393054</v>
      </c>
      <c r="AT7" s="2">
        <f>DRE!AT6</f>
        <v>291001</v>
      </c>
      <c r="AU7" s="2">
        <f>DRE!AU6</f>
        <v>348781</v>
      </c>
      <c r="AV7" s="2">
        <f>DRE!AV6</f>
        <v>326695</v>
      </c>
      <c r="AW7" s="21">
        <f>DRE!AW6</f>
        <v>317399</v>
      </c>
      <c r="AX7" s="21">
        <f>DRE!AX6</f>
        <v>286675</v>
      </c>
      <c r="AY7" s="21">
        <f>DRE!AY6</f>
        <v>346182</v>
      </c>
      <c r="AZ7" s="21">
        <f>DRE!AZ6</f>
        <v>426667</v>
      </c>
      <c r="BA7" s="21">
        <f>DRE!BA6</f>
        <v>385293</v>
      </c>
      <c r="BB7" s="21">
        <f>DRE!BB6</f>
        <v>463877</v>
      </c>
      <c r="BC7" s="21">
        <f>DRE!BC6</f>
        <v>517324</v>
      </c>
      <c r="BD7" s="21">
        <f>DRE!BD6</f>
        <v>510854</v>
      </c>
      <c r="BE7" s="21">
        <f>DRE!BE6</f>
        <v>679158</v>
      </c>
      <c r="BF7" s="21">
        <f>DRE!BF6</f>
        <v>682141</v>
      </c>
      <c r="BG7" s="21">
        <f>DRE!BG6</f>
        <v>737738</v>
      </c>
      <c r="BH7" s="21">
        <f>DRE!BH6</f>
        <v>917618</v>
      </c>
      <c r="BI7" s="21">
        <f>DRE!BI6</f>
        <v>769499</v>
      </c>
      <c r="BJ7" s="21">
        <f>DRE!BJ6</f>
        <v>714161</v>
      </c>
      <c r="BK7" s="21">
        <f>DRE!BK6</f>
        <v>716374</v>
      </c>
      <c r="BL7" s="21">
        <f>DRE!BL6</f>
        <v>626128</v>
      </c>
      <c r="BM7" s="21">
        <f>DRE!BM6</f>
        <v>550921</v>
      </c>
      <c r="BN7" s="21">
        <f>DRE!BN6</f>
        <v>541712</v>
      </c>
      <c r="BO7" s="21">
        <f>DRE!BO6</f>
        <v>509489</v>
      </c>
      <c r="BP7" s="21">
        <f>DRE!BP6</f>
        <v>522027</v>
      </c>
      <c r="BQ7" s="21">
        <f>DRE!BQ6</f>
        <v>597723</v>
      </c>
      <c r="BR7" s="21">
        <f>DRE!BR6</f>
        <v>607465</v>
      </c>
      <c r="BS7" s="21">
        <f>DRE!BS6</f>
        <v>549849</v>
      </c>
      <c r="BT7" s="21">
        <f>DRE!BT6</f>
        <v>639441</v>
      </c>
      <c r="BU7" s="21">
        <f>DRE!BU6</f>
        <v>542568</v>
      </c>
      <c r="BV7" s="16"/>
      <c r="BW7" s="2">
        <f>SUM(C7:F7)</f>
        <v>878914</v>
      </c>
      <c r="BX7" s="2">
        <f>SUM(G7:J7)</f>
        <v>450753</v>
      </c>
      <c r="BY7" s="2">
        <f>SUM(K7:N7)</f>
        <v>673058</v>
      </c>
      <c r="BZ7" s="2">
        <f>SUM(O7:R7)</f>
        <v>642334</v>
      </c>
      <c r="CA7" s="2">
        <f>SUM(S7:V7)</f>
        <v>707402</v>
      </c>
      <c r="CB7" s="2">
        <f>SUM(W7:Z7)</f>
        <v>799772</v>
      </c>
      <c r="CC7" s="2">
        <f>SUM(AA7:AD7)</f>
        <v>828247</v>
      </c>
      <c r="CD7" s="2">
        <f>SUM(AE7:AH7)</f>
        <v>936230</v>
      </c>
      <c r="CE7" s="2">
        <f>SUM(AI7:AL7)</f>
        <v>1096154</v>
      </c>
      <c r="CF7" s="2">
        <f>SUM(AM7:AP7)</f>
        <v>1108722</v>
      </c>
      <c r="CG7" s="2">
        <f>SUM(AQ7:AT7)</f>
        <v>1381056</v>
      </c>
      <c r="CH7" s="2">
        <f>SUM(AU7:AX7)</f>
        <v>1279550</v>
      </c>
      <c r="CI7" s="2">
        <f>SUM(AY7:BB7)</f>
        <v>1622019</v>
      </c>
      <c r="CJ7" s="2">
        <f t="shared" si="0"/>
        <v>2389477</v>
      </c>
      <c r="CK7" s="2">
        <f>SUM(BG7:BJ7)</f>
        <v>3139016</v>
      </c>
      <c r="CL7" s="2">
        <f>SUM(BO7:BR7)</f>
        <v>2236704</v>
      </c>
      <c r="CM7" s="2">
        <f>SUM(BS7:BU7)</f>
        <v>1731858</v>
      </c>
    </row>
    <row r="8" spans="2:93" ht="15.75" thickBot="1">
      <c r="B8" s="9" t="s">
        <v>14</v>
      </c>
      <c r="C8" s="12">
        <v>61058</v>
      </c>
      <c r="D8" s="12">
        <v>148460</v>
      </c>
      <c r="E8" s="12">
        <v>137273</v>
      </c>
      <c r="F8" s="12">
        <v>107534</v>
      </c>
      <c r="G8" s="12">
        <v>32492</v>
      </c>
      <c r="H8" s="12">
        <v>6331</v>
      </c>
      <c r="I8" s="12">
        <v>3093</v>
      </c>
      <c r="J8" s="12">
        <v>2788</v>
      </c>
      <c r="K8" s="12">
        <v>27388</v>
      </c>
      <c r="L8" s="12">
        <v>62453</v>
      </c>
      <c r="M8" s="12">
        <v>52214</v>
      </c>
      <c r="N8" s="12">
        <v>51737</v>
      </c>
      <c r="O8" s="12">
        <v>45398</v>
      </c>
      <c r="P8" s="12">
        <v>39645</v>
      </c>
      <c r="Q8" s="12">
        <v>26816</v>
      </c>
      <c r="R8" s="12">
        <v>23391</v>
      </c>
      <c r="S8" s="12">
        <v>36248</v>
      </c>
      <c r="T8" s="12">
        <v>45153</v>
      </c>
      <c r="U8" s="12">
        <v>42937</v>
      </c>
      <c r="V8" s="12">
        <v>30056</v>
      </c>
      <c r="W8" s="12">
        <v>23012</v>
      </c>
      <c r="X8" s="12">
        <v>42135</v>
      </c>
      <c r="Y8" s="12">
        <v>48960</v>
      </c>
      <c r="Z8" s="12">
        <v>47951</v>
      </c>
      <c r="AA8" s="12">
        <v>49812</v>
      </c>
      <c r="AB8" s="12">
        <v>57491</v>
      </c>
      <c r="AC8" s="12">
        <v>37707</v>
      </c>
      <c r="AD8" s="12">
        <v>38657</v>
      </c>
      <c r="AE8" s="12">
        <v>74276</v>
      </c>
      <c r="AF8" s="12">
        <v>107732</v>
      </c>
      <c r="AG8" s="12">
        <v>93877</v>
      </c>
      <c r="AH8" s="57">
        <v>78696</v>
      </c>
      <c r="AI8" s="57">
        <v>72889</v>
      </c>
      <c r="AJ8" s="57">
        <v>3542</v>
      </c>
      <c r="AK8" s="57">
        <v>9698</v>
      </c>
      <c r="AL8" s="57">
        <v>87585</v>
      </c>
      <c r="AM8" s="57">
        <v>119894</v>
      </c>
      <c r="AN8" s="57">
        <v>90682</v>
      </c>
      <c r="AO8" s="57">
        <v>73114</v>
      </c>
      <c r="AP8" s="57">
        <v>108104</v>
      </c>
      <c r="AQ8" s="57">
        <v>110506</v>
      </c>
      <c r="AR8" s="57">
        <v>129688</v>
      </c>
      <c r="AS8" s="57">
        <f>401467-240194</f>
        <v>161273</v>
      </c>
      <c r="AT8" s="57">
        <f>DRE!AT9</f>
        <v>81254</v>
      </c>
      <c r="AU8" s="57">
        <f>DRE!AU9</f>
        <v>95076</v>
      </c>
      <c r="AV8" s="57">
        <f>DRE!AV9</f>
        <v>75127</v>
      </c>
      <c r="AW8" s="57">
        <f>DRE!AW9</f>
        <v>42323</v>
      </c>
      <c r="AX8" s="57">
        <f>DRE!AX9</f>
        <v>45956</v>
      </c>
      <c r="AY8" s="57">
        <f>DRE!AY9</f>
        <v>67163</v>
      </c>
      <c r="AZ8" s="57">
        <f>DRE!AZ9</f>
        <v>133264</v>
      </c>
      <c r="BA8" s="57">
        <f>DRE!BA9</f>
        <v>112603</v>
      </c>
      <c r="BB8" s="57">
        <f>DRE!BB9</f>
        <v>130867</v>
      </c>
      <c r="BC8" s="57">
        <f>DRE!BC9</f>
        <v>167203</v>
      </c>
      <c r="BD8" s="57">
        <f>DRE!BD9</f>
        <v>214387</v>
      </c>
      <c r="BE8" s="57">
        <f>DRE!BE9</f>
        <v>292380</v>
      </c>
      <c r="BF8" s="57">
        <f>DRE!BF9</f>
        <v>359482</v>
      </c>
      <c r="BG8" s="57">
        <f>DRE!BG9</f>
        <v>360907</v>
      </c>
      <c r="BH8" s="57">
        <f>DRE!BH9</f>
        <v>488113</v>
      </c>
      <c r="BI8" s="57">
        <f>DRE!BI9</f>
        <v>352263</v>
      </c>
      <c r="BJ8" s="57">
        <f>DRE!BJ9</f>
        <v>251646</v>
      </c>
      <c r="BK8" s="57">
        <f>DRE!BK9</f>
        <v>220513</v>
      </c>
      <c r="BL8" s="57">
        <f>DRE!BL9</f>
        <v>166536</v>
      </c>
      <c r="BM8" s="57">
        <f>DRE!BM9</f>
        <v>112369</v>
      </c>
      <c r="BN8" s="57">
        <f>DRE!BN9</f>
        <v>106239</v>
      </c>
      <c r="BO8" s="57">
        <f>DRE!BO9</f>
        <v>97428</v>
      </c>
      <c r="BP8" s="57">
        <f>DRE!BP9</f>
        <v>119263</v>
      </c>
      <c r="BQ8" s="57">
        <f>DRE!BQ9</f>
        <v>133860</v>
      </c>
      <c r="BR8" s="57">
        <f>DRE!BR9</f>
        <v>120653</v>
      </c>
      <c r="BS8" s="57">
        <f>DRE!BS9</f>
        <v>74283</v>
      </c>
      <c r="BT8" s="57">
        <f>DRE!BT9</f>
        <v>88118</v>
      </c>
      <c r="BU8" s="57">
        <f>DRE!BU9</f>
        <v>120638</v>
      </c>
      <c r="BV8" s="16"/>
      <c r="BW8" s="9">
        <f>SUM(C8:F8)</f>
        <v>454325</v>
      </c>
      <c r="BX8" s="9">
        <f>SUM(G8:J8)</f>
        <v>44704</v>
      </c>
      <c r="BY8" s="9">
        <f>SUM(K8:N8)</f>
        <v>193792</v>
      </c>
      <c r="BZ8" s="9">
        <f>SUM(O8:R8)</f>
        <v>135250</v>
      </c>
      <c r="CA8" s="9">
        <f>SUM(S8:V8)</f>
        <v>154394</v>
      </c>
      <c r="CB8" s="9">
        <f>SUM(W8:Z8)</f>
        <v>162058</v>
      </c>
      <c r="CC8" s="9">
        <f>SUM(AA8:AD8)</f>
        <v>183667</v>
      </c>
      <c r="CD8" s="9">
        <f>SUM(AE8:AH8)</f>
        <v>354581</v>
      </c>
      <c r="CE8" s="12">
        <f>SUM(AI8:AL8)</f>
        <v>173714</v>
      </c>
      <c r="CF8" s="12">
        <f>SUM(AM8:AP8)</f>
        <v>391794</v>
      </c>
      <c r="CG8" s="12">
        <f>SUM(AQ8:AT8)</f>
        <v>482721</v>
      </c>
      <c r="CH8" s="12">
        <f>SUM(AU8:AX8)</f>
        <v>258482</v>
      </c>
      <c r="CI8" s="12">
        <f>SUM(AY8:BB8)</f>
        <v>443897</v>
      </c>
      <c r="CJ8" s="12">
        <f t="shared" si="0"/>
        <v>1033452</v>
      </c>
      <c r="CK8" s="12">
        <f>SUM(BG8:BJ8)</f>
        <v>1452929</v>
      </c>
      <c r="CL8" s="12">
        <f>SUM(BO8:BR8)</f>
        <v>471204</v>
      </c>
      <c r="CM8" s="12">
        <f>SUM(BS8:BU8)</f>
        <v>283039</v>
      </c>
    </row>
    <row r="9" spans="2:93" ht="15.75" thickBot="1">
      <c r="B9" t="s">
        <v>48</v>
      </c>
      <c r="C9" s="4">
        <f>C8/C7</f>
        <v>0.35862255296404849</v>
      </c>
      <c r="D9" s="4">
        <f t="shared" ref="D9:AB9" si="1">D8/D7</f>
        <v>0.54657040508649923</v>
      </c>
      <c r="E9" s="4">
        <f t="shared" si="1"/>
        <v>0.54831777530127457</v>
      </c>
      <c r="F9" s="4">
        <f t="shared" si="1"/>
        <v>0.57602459784768834</v>
      </c>
      <c r="G9" s="4">
        <f t="shared" si="1"/>
        <v>0.37950850308353579</v>
      </c>
      <c r="H9" s="4">
        <f t="shared" si="1"/>
        <v>6.2923648796390161E-2</v>
      </c>
      <c r="I9" s="4">
        <f t="shared" si="1"/>
        <v>2.0674028126838138E-2</v>
      </c>
      <c r="J9" s="4">
        <f t="shared" si="1"/>
        <v>2.4261410607840577E-2</v>
      </c>
      <c r="K9" s="4">
        <f t="shared" si="1"/>
        <v>0.19201996760872461</v>
      </c>
      <c r="L9" s="4">
        <f t="shared" si="1"/>
        <v>0.3312980743727123</v>
      </c>
      <c r="M9" s="4">
        <f t="shared" si="1"/>
        <v>0.29879769037522819</v>
      </c>
      <c r="N9" s="4">
        <f t="shared" si="1"/>
        <v>0.30948734820841062</v>
      </c>
      <c r="O9" s="4">
        <f t="shared" si="1"/>
        <v>0.23198344362400675</v>
      </c>
      <c r="P9" s="4">
        <f t="shared" si="1"/>
        <v>0.22776628748707342</v>
      </c>
      <c r="Q9" s="4">
        <f t="shared" si="1"/>
        <v>0.19035855499002632</v>
      </c>
      <c r="R9" s="4">
        <f t="shared" si="1"/>
        <v>0.17759741245786134</v>
      </c>
      <c r="S9" s="4">
        <f t="shared" si="1"/>
        <v>0.19868449901337426</v>
      </c>
      <c r="T9" s="4">
        <f t="shared" si="1"/>
        <v>0.23727646783711775</v>
      </c>
      <c r="U9" s="4">
        <f t="shared" si="1"/>
        <v>0.25765704135762463</v>
      </c>
      <c r="V9" s="4">
        <f t="shared" si="1"/>
        <v>0.17888240160456134</v>
      </c>
      <c r="W9" s="4">
        <f t="shared" si="1"/>
        <v>0.12392497293920611</v>
      </c>
      <c r="X9" s="4">
        <f t="shared" si="1"/>
        <v>0.23133431060893053</v>
      </c>
      <c r="Y9" s="4">
        <f t="shared" si="1"/>
        <v>0.21814682136555633</v>
      </c>
      <c r="Z9" s="4">
        <f t="shared" si="1"/>
        <v>0.23108470198164854</v>
      </c>
      <c r="AA9" s="4">
        <f t="shared" si="1"/>
        <v>0.21641489514226503</v>
      </c>
      <c r="AB9" s="4">
        <f t="shared" si="1"/>
        <v>0.26057062569401951</v>
      </c>
      <c r="AC9" s="4">
        <f t="shared" ref="AC9:AD9" si="2">AC8/AC7</f>
        <v>0.1879486003668554</v>
      </c>
      <c r="AD9" s="4">
        <f t="shared" si="2"/>
        <v>0.21862469530989317</v>
      </c>
      <c r="AE9" s="4">
        <f t="shared" ref="AE9:AF9" si="3">AE8/AE7</f>
        <v>0.35331332321728415</v>
      </c>
      <c r="AF9" s="4">
        <f t="shared" si="3"/>
        <v>0.42963394256499426</v>
      </c>
      <c r="AG9" s="4">
        <f t="shared" ref="AG9:AI9" si="4">AG8/AG7</f>
        <v>0.41744447161882742</v>
      </c>
      <c r="AH9" s="4">
        <f t="shared" si="4"/>
        <v>0.31432508537535198</v>
      </c>
      <c r="AI9" s="4">
        <f t="shared" si="4"/>
        <v>0.2388495479524326</v>
      </c>
      <c r="AJ9" s="4">
        <f t="shared" ref="AJ9:AK9" si="5">AJ8/AJ7</f>
        <v>1.3273076115957671E-2</v>
      </c>
      <c r="AK9" s="4">
        <f t="shared" si="5"/>
        <v>4.0198630477674795E-2</v>
      </c>
      <c r="AL9" s="4">
        <f t="shared" ref="AL9:AO9" si="6">AL8/AL7</f>
        <v>0.30962001421102309</v>
      </c>
      <c r="AM9" s="4">
        <f t="shared" si="6"/>
        <v>0.39582693672724872</v>
      </c>
      <c r="AN9" s="4">
        <f t="shared" si="6"/>
        <v>0.33505017513264268</v>
      </c>
      <c r="AO9" s="4">
        <f t="shared" si="6"/>
        <v>0.26450424898433178</v>
      </c>
      <c r="AP9" s="4">
        <f t="shared" ref="AP9:AT9" si="7">AP8/AP7</f>
        <v>0.41778354898050674</v>
      </c>
      <c r="AQ9" s="4">
        <f t="shared" si="7"/>
        <v>0.31709038737446199</v>
      </c>
      <c r="AR9" s="4">
        <f t="shared" si="7"/>
        <v>0.37213092645358264</v>
      </c>
      <c r="AS9" s="4">
        <f t="shared" si="7"/>
        <v>0.41030748955614244</v>
      </c>
      <c r="AT9" s="4">
        <f t="shared" si="7"/>
        <v>0.27922240817041866</v>
      </c>
      <c r="AU9" s="4">
        <f t="shared" ref="AU9:AV9" si="8">AU8/AU7</f>
        <v>0.27259512416100645</v>
      </c>
      <c r="AV9" s="4">
        <f t="shared" si="8"/>
        <v>0.22996066667686987</v>
      </c>
      <c r="AW9" s="85">
        <f t="shared" ref="AW9:AX9" si="9">AW8/AW7</f>
        <v>0.13334320524009213</v>
      </c>
      <c r="AX9" s="85">
        <f t="shared" si="9"/>
        <v>0.16030696782070289</v>
      </c>
      <c r="AY9" s="85">
        <f t="shared" ref="AY9:AZ9" si="10">AY8/AY7</f>
        <v>0.19401066491036506</v>
      </c>
      <c r="AZ9" s="85">
        <f t="shared" si="10"/>
        <v>0.31233725598651874</v>
      </c>
      <c r="BA9" s="85">
        <f t="shared" ref="BA9:BB9" si="11">BA8/BA7</f>
        <v>0.29225290882523169</v>
      </c>
      <c r="BB9" s="85">
        <f t="shared" si="11"/>
        <v>0.28211573326549927</v>
      </c>
      <c r="BC9" s="85">
        <f t="shared" ref="BC9:BE9" si="12">BC8/BC7</f>
        <v>0.32320750632099032</v>
      </c>
      <c r="BD9" s="85">
        <f t="shared" ref="BD9" si="13">BD8/BD7</f>
        <v>0.41966393529266677</v>
      </c>
      <c r="BE9" s="85">
        <f t="shared" si="12"/>
        <v>0.43050365305275062</v>
      </c>
      <c r="BF9" s="85">
        <f t="shared" ref="BF9:BG9" si="14">BF8/BF7</f>
        <v>0.52699075411095364</v>
      </c>
      <c r="BG9" s="85">
        <f t="shared" si="14"/>
        <v>0.48920755064806204</v>
      </c>
      <c r="BH9" s="85">
        <f t="shared" ref="BH9:BI9" si="15">BH8/BH7</f>
        <v>0.53193485742433122</v>
      </c>
      <c r="BI9" s="85">
        <f t="shared" si="15"/>
        <v>0.45778227132199001</v>
      </c>
      <c r="BJ9" s="85">
        <f>BJ8/BJ7</f>
        <v>0.35236592309017156</v>
      </c>
      <c r="BK9" s="85">
        <f t="shared" ref="BK9:BM9" si="16">BK8/BK7</f>
        <v>0.30781826252767408</v>
      </c>
      <c r="BL9" s="85">
        <f t="shared" si="16"/>
        <v>0.26597756369304681</v>
      </c>
      <c r="BM9" s="85">
        <f t="shared" si="16"/>
        <v>0.20396572285318584</v>
      </c>
      <c r="BN9" s="85">
        <f t="shared" ref="BN9:BU9" si="17">BN8/BN7</f>
        <v>0.196117124966772</v>
      </c>
      <c r="BO9" s="85">
        <f t="shared" si="17"/>
        <v>0.19122689596831335</v>
      </c>
      <c r="BP9" s="85">
        <f t="shared" si="17"/>
        <v>0.22846136310957096</v>
      </c>
      <c r="BQ9" s="85">
        <f t="shared" si="17"/>
        <v>0.22394988983191211</v>
      </c>
      <c r="BR9" s="85">
        <f t="shared" si="17"/>
        <v>0.19861720428337434</v>
      </c>
      <c r="BS9" s="85">
        <f t="shared" si="17"/>
        <v>0.13509709029206199</v>
      </c>
      <c r="BT9" s="85">
        <f t="shared" si="17"/>
        <v>0.13780473882656882</v>
      </c>
      <c r="BU9" s="85">
        <f t="shared" si="17"/>
        <v>0.2223463234101532</v>
      </c>
      <c r="BV9" s="4"/>
      <c r="BW9" s="4">
        <f t="shared" ref="BW9" si="18">BW8/BW7</f>
        <v>0.51691633083555388</v>
      </c>
      <c r="BX9" s="4">
        <f t="shared" ref="BX9" si="19">BX8/BX7</f>
        <v>9.9176267268326554E-2</v>
      </c>
      <c r="BY9" s="4">
        <f t="shared" ref="BY9" si="20">BY8/BY7</f>
        <v>0.28792763773701524</v>
      </c>
      <c r="BZ9" s="4">
        <f t="shared" ref="BZ9" si="21">BZ8/BZ7</f>
        <v>0.21056023813156396</v>
      </c>
      <c r="CA9" s="4">
        <f t="shared" ref="CA9" si="22">CA8/CA7</f>
        <v>0.21825496676571454</v>
      </c>
      <c r="CB9" s="4">
        <f t="shared" ref="CB9" si="23">CB8/CB7</f>
        <v>0.20263024962114204</v>
      </c>
      <c r="CC9" s="4">
        <f t="shared" ref="CC9:CE9" si="24">CC8/CC7</f>
        <v>0.22175389708625567</v>
      </c>
      <c r="CD9" s="4">
        <f t="shared" si="24"/>
        <v>0.37873279001954646</v>
      </c>
      <c r="CE9" s="4">
        <f t="shared" si="24"/>
        <v>0.15847590758232877</v>
      </c>
      <c r="CF9" s="4">
        <f t="shared" ref="CF9:CH9" si="25">CF8/CF7</f>
        <v>0.3533744256901189</v>
      </c>
      <c r="CG9" s="4">
        <f t="shared" si="25"/>
        <v>0.34953035937717225</v>
      </c>
      <c r="CH9" s="4">
        <f t="shared" si="25"/>
        <v>0.20201008166933687</v>
      </c>
      <c r="CI9" s="4">
        <f>CI8/CI7</f>
        <v>0.27366942064180505</v>
      </c>
      <c r="CJ9" s="4">
        <f>CJ8/CJ7</f>
        <v>0.43250133815893604</v>
      </c>
      <c r="CK9" s="4">
        <f>CK8/CK7</f>
        <v>0.46286129156398054</v>
      </c>
      <c r="CL9" s="4">
        <f>CL8/CL7</f>
        <v>0.21066891282887679</v>
      </c>
      <c r="CM9" s="4">
        <f>CM8/CM7</f>
        <v>0.16343083555349225</v>
      </c>
    </row>
    <row r="10" spans="2:93" ht="15.75" thickBot="1">
      <c r="B10" s="9" t="s">
        <v>49</v>
      </c>
      <c r="C10" s="9">
        <v>53946</v>
      </c>
      <c r="D10" s="9">
        <v>136514</v>
      </c>
      <c r="E10" s="9">
        <v>129354</v>
      </c>
      <c r="F10" s="9">
        <v>74809</v>
      </c>
      <c r="G10" s="9">
        <v>25127</v>
      </c>
      <c r="H10" s="9">
        <v>6173</v>
      </c>
      <c r="I10" s="9">
        <v>-2526</v>
      </c>
      <c r="J10" s="9">
        <v>-11209</v>
      </c>
      <c r="K10" s="9">
        <v>21736</v>
      </c>
      <c r="L10" s="9">
        <v>62880</v>
      </c>
      <c r="M10" s="9">
        <v>41983</v>
      </c>
      <c r="N10" s="9">
        <v>17964</v>
      </c>
      <c r="O10" s="9">
        <v>42061</v>
      </c>
      <c r="P10" s="9">
        <v>29971</v>
      </c>
      <c r="Q10" s="9">
        <v>7376</v>
      </c>
      <c r="R10" s="9">
        <v>16746</v>
      </c>
      <c r="S10" s="9">
        <v>23925</v>
      </c>
      <c r="T10" s="9">
        <v>32267</v>
      </c>
      <c r="U10" s="9">
        <v>34483</v>
      </c>
      <c r="V10" s="9">
        <v>21557</v>
      </c>
      <c r="W10" s="9">
        <v>10768</v>
      </c>
      <c r="X10" s="9">
        <v>35984</v>
      </c>
      <c r="Y10" s="9">
        <v>36161</v>
      </c>
      <c r="Z10" s="9">
        <v>30568</v>
      </c>
      <c r="AA10" s="9">
        <v>43859</v>
      </c>
      <c r="AB10" s="9">
        <v>50874</v>
      </c>
      <c r="AC10" s="9">
        <v>28049</v>
      </c>
      <c r="AD10" s="9">
        <v>13472</v>
      </c>
      <c r="AE10" s="9">
        <v>60714</v>
      </c>
      <c r="AF10" s="9">
        <v>86870</v>
      </c>
      <c r="AG10" s="9">
        <v>62094</v>
      </c>
      <c r="AH10" s="9">
        <v>40688</v>
      </c>
      <c r="AI10" s="9">
        <f>'Ebitda ajustado'!AI24</f>
        <v>54903</v>
      </c>
      <c r="AJ10" s="9">
        <f>'Ebitda ajustado'!AJ24</f>
        <v>-13901</v>
      </c>
      <c r="AK10" s="9">
        <f>'Ebitda ajustado'!AK24</f>
        <v>-13693</v>
      </c>
      <c r="AL10" s="9">
        <f>'Ebitda ajustado'!AL24</f>
        <v>42688</v>
      </c>
      <c r="AM10" s="9">
        <f>'Ebitda ajustado'!AM24</f>
        <v>101724</v>
      </c>
      <c r="AN10" s="9">
        <f>'Ebitda ajustado'!AN24</f>
        <v>79530</v>
      </c>
      <c r="AO10" s="9">
        <f>'Ebitda ajustado'!AO24</f>
        <v>61935</v>
      </c>
      <c r="AP10" s="9">
        <f>'Ebitda ajustado'!AP24</f>
        <v>78092</v>
      </c>
      <c r="AQ10" s="9">
        <v>94401</v>
      </c>
      <c r="AR10" s="9">
        <v>126562</v>
      </c>
      <c r="AS10" s="9">
        <f>'Ebitda ajustado'!AS24</f>
        <v>152956</v>
      </c>
      <c r="AT10" s="9">
        <f>'Ebitda ajustado'!AT24</f>
        <v>54449</v>
      </c>
      <c r="AU10" s="9">
        <f>'Ebitda ajustado'!AU24</f>
        <v>89121</v>
      </c>
      <c r="AV10" s="9">
        <f>'Ebitda ajustado'!AV24</f>
        <v>74429</v>
      </c>
      <c r="AW10" s="9">
        <f>'Ebitda ajustado'!AW24</f>
        <v>43582</v>
      </c>
      <c r="AX10" s="9">
        <f>'Ebitda ajustado'!AX24</f>
        <v>34678</v>
      </c>
      <c r="AY10" s="9">
        <f>'Ebitda ajustado'!AY24</f>
        <v>67929</v>
      </c>
      <c r="AZ10" s="9">
        <f>'Ebitda ajustado'!AZ24</f>
        <v>132319</v>
      </c>
      <c r="BA10" s="9">
        <f>'Ebitda ajustado'!BA24</f>
        <v>107107</v>
      </c>
      <c r="BB10" s="9">
        <f>'Ebitda ajustado'!BB24</f>
        <v>99503</v>
      </c>
      <c r="BC10" s="9">
        <f>'Ebitda ajustado'!BC24</f>
        <v>151276</v>
      </c>
      <c r="BD10" s="9">
        <f>'Ebitda ajustado'!BD24</f>
        <v>203373</v>
      </c>
      <c r="BE10" s="9">
        <f>'Ebitda ajustado'!BE24</f>
        <v>267048</v>
      </c>
      <c r="BF10" s="9">
        <f>'Ebitda ajustado'!BF24</f>
        <v>314106</v>
      </c>
      <c r="BG10" s="9">
        <f>'Ebitda ajustado'!BG24</f>
        <v>325534</v>
      </c>
      <c r="BH10" s="9">
        <f>'Ebitda ajustado'!BH24</f>
        <v>447295</v>
      </c>
      <c r="BI10" s="57">
        <f>'Ebitda ajustado'!BI24</f>
        <v>322916</v>
      </c>
      <c r="BJ10" s="57">
        <f>'Ebitda ajustado'!BJ24</f>
        <v>189176</v>
      </c>
      <c r="BK10" s="9">
        <f>'Ebitda ajustado'!BK24</f>
        <v>187381</v>
      </c>
      <c r="BL10" s="9">
        <f>'Ebitda ajustado'!BL24</f>
        <v>144277</v>
      </c>
      <c r="BM10" s="57">
        <f>'Ebitda ajustado'!BM24</f>
        <v>75853</v>
      </c>
      <c r="BN10" s="57">
        <f>'Ebitda ajustado'!BN24</f>
        <v>46753</v>
      </c>
      <c r="BO10" s="57">
        <f>'Ebitda ajustado'!BO24</f>
        <v>78481</v>
      </c>
      <c r="BP10" s="57">
        <f>'Ebitda ajustado'!BP24</f>
        <v>99506</v>
      </c>
      <c r="BQ10" s="57">
        <f>'Ebitda ajustado'!BQ24</f>
        <v>126930</v>
      </c>
      <c r="BR10" s="57">
        <f>'Ebitda ajustado'!BR24</f>
        <v>47067</v>
      </c>
      <c r="BS10" s="57">
        <f>'Ebitda ajustado'!BS24</f>
        <v>61136</v>
      </c>
      <c r="BT10" s="57">
        <f>'Ebitda ajustado'!BT24</f>
        <v>67595</v>
      </c>
      <c r="BU10" s="57">
        <f>'Ebitda ajustado'!BU24</f>
        <v>50762</v>
      </c>
      <c r="BV10" s="4"/>
      <c r="BW10" s="9">
        <f>SUM(C10:F10)</f>
        <v>394623</v>
      </c>
      <c r="BX10" s="9">
        <f>SUM(G10:J10)</f>
        <v>17565</v>
      </c>
      <c r="BY10" s="9">
        <f>SUM(K10:N10)</f>
        <v>144563</v>
      </c>
      <c r="BZ10" s="9">
        <f>SUM(O10:R10)</f>
        <v>96154</v>
      </c>
      <c r="CA10" s="9">
        <f>SUM(S10:V10)</f>
        <v>112232</v>
      </c>
      <c r="CB10" s="9">
        <f>SUM(W10:Z10)</f>
        <v>113481</v>
      </c>
      <c r="CC10" s="9">
        <f>SUM(AA10:AD10)</f>
        <v>136254</v>
      </c>
      <c r="CD10" s="9">
        <f>SUM(AE10:AH10)</f>
        <v>250366</v>
      </c>
      <c r="CE10" s="12">
        <f>SUM(AI10:AL10)</f>
        <v>69997</v>
      </c>
      <c r="CF10" s="12">
        <f>SUM(AM10:AP10)</f>
        <v>321281</v>
      </c>
      <c r="CG10" s="12">
        <f>SUM(AQ10:AT10)</f>
        <v>428368</v>
      </c>
      <c r="CH10" s="12">
        <f>SUM(AU10:AX10)</f>
        <v>241810</v>
      </c>
      <c r="CI10" s="12">
        <f>SUM(AY10:BB10)</f>
        <v>406858</v>
      </c>
      <c r="CJ10" s="12">
        <f>SUM(BC10:BF10)</f>
        <v>935803</v>
      </c>
      <c r="CK10" s="12">
        <f>SUM(BG10:BJ10)</f>
        <v>1284921</v>
      </c>
      <c r="CL10" s="12">
        <f>SUM(BO10:BR10)</f>
        <v>351984</v>
      </c>
      <c r="CM10" s="12">
        <f>SUM(BS10:BU10)</f>
        <v>179493</v>
      </c>
    </row>
    <row r="11" spans="2:93" ht="15.75" thickBot="1">
      <c r="B11" t="s">
        <v>50</v>
      </c>
      <c r="C11" s="4">
        <f>C10/C7</f>
        <v>0.31685040850009105</v>
      </c>
      <c r="D11" s="4">
        <f t="shared" ref="D11:AB11" si="26">D10/D7</f>
        <v>0.50259000592737679</v>
      </c>
      <c r="E11" s="4">
        <f t="shared" si="26"/>
        <v>0.51668643874848719</v>
      </c>
      <c r="F11" s="4">
        <f t="shared" si="26"/>
        <v>0.40072743634931945</v>
      </c>
      <c r="G11" s="4">
        <f t="shared" si="26"/>
        <v>0.29348486264249674</v>
      </c>
      <c r="H11" s="4">
        <f t="shared" si="26"/>
        <v>6.1353290794521634E-2</v>
      </c>
      <c r="I11" s="4">
        <f t="shared" si="26"/>
        <v>-1.6884123843644724E-2</v>
      </c>
      <c r="J11" s="4">
        <f t="shared" si="26"/>
        <v>-9.7541661227864077E-2</v>
      </c>
      <c r="K11" s="4">
        <f t="shared" si="26"/>
        <v>0.15239323849654002</v>
      </c>
      <c r="L11" s="4">
        <f t="shared" si="26"/>
        <v>0.33356320619595775</v>
      </c>
      <c r="M11" s="4">
        <f t="shared" si="26"/>
        <v>0.2402501902750834</v>
      </c>
      <c r="N11" s="4">
        <f t="shared" si="26"/>
        <v>0.10745947239337202</v>
      </c>
      <c r="O11" s="4">
        <f t="shared" si="26"/>
        <v>0.21493139834947239</v>
      </c>
      <c r="P11" s="4">
        <f t="shared" si="26"/>
        <v>0.17218775135010916</v>
      </c>
      <c r="Q11" s="4">
        <f t="shared" si="26"/>
        <v>5.2359960531266195E-2</v>
      </c>
      <c r="R11" s="4">
        <f t="shared" si="26"/>
        <v>0.12714489628572295</v>
      </c>
      <c r="S11" s="4">
        <f t="shared" si="26"/>
        <v>0.13113900460425346</v>
      </c>
      <c r="T11" s="4">
        <f t="shared" si="26"/>
        <v>0.16956126475982281</v>
      </c>
      <c r="U11" s="4">
        <f t="shared" si="26"/>
        <v>0.20692614195530593</v>
      </c>
      <c r="V11" s="4">
        <f t="shared" si="26"/>
        <v>0.1282994387606311</v>
      </c>
      <c r="W11" s="4">
        <f t="shared" si="26"/>
        <v>5.798818479964242E-2</v>
      </c>
      <c r="X11" s="4">
        <f t="shared" si="26"/>
        <v>0.19756339938179082</v>
      </c>
      <c r="Y11" s="4">
        <f t="shared" si="26"/>
        <v>0.16111942825571654</v>
      </c>
      <c r="Z11" s="4">
        <f t="shared" si="26"/>
        <v>0.14731282288534198</v>
      </c>
      <c r="AA11" s="4">
        <f t="shared" si="26"/>
        <v>0.19055129057344822</v>
      </c>
      <c r="AB11" s="4">
        <f t="shared" si="26"/>
        <v>0.23057991705758379</v>
      </c>
      <c r="AC11" s="4">
        <f t="shared" ref="AC11:AD11" si="27">AC10/AC7</f>
        <v>0.13980879655474918</v>
      </c>
      <c r="AD11" s="4">
        <f t="shared" si="27"/>
        <v>7.6190907085776985E-2</v>
      </c>
      <c r="AE11" s="4">
        <f t="shared" ref="AE11:AF11" si="28">AE10/AE7</f>
        <v>0.28880210439191922</v>
      </c>
      <c r="AF11" s="4">
        <f t="shared" si="28"/>
        <v>0.3464365331621157</v>
      </c>
      <c r="AG11" s="4">
        <f t="shared" ref="AG11:AI11" si="29">AG10/AG7</f>
        <v>0.27611445850101163</v>
      </c>
      <c r="AH11" s="4">
        <f t="shared" si="29"/>
        <v>0.16251472849639526</v>
      </c>
      <c r="AI11" s="4">
        <f t="shared" si="29"/>
        <v>0.17991132724049455</v>
      </c>
      <c r="AJ11" s="4">
        <f t="shared" ref="AJ11:AK11" si="30">AJ10/AJ7</f>
        <v>-5.2091764846958662E-2</v>
      </c>
      <c r="AK11" s="4">
        <f t="shared" si="30"/>
        <v>-5.675807868950309E-2</v>
      </c>
      <c r="AL11" s="4">
        <f t="shared" ref="AL11:AO11" si="31">AL10/AL7</f>
        <v>0.15090551083678888</v>
      </c>
      <c r="AM11" s="4">
        <f t="shared" si="31"/>
        <v>0.335839152181449</v>
      </c>
      <c r="AN11" s="4">
        <f t="shared" si="31"/>
        <v>0.29384597194921891</v>
      </c>
      <c r="AO11" s="4">
        <f t="shared" si="31"/>
        <v>0.22406202178576726</v>
      </c>
      <c r="AP11" s="4">
        <f t="shared" ref="AP11:AQ11" si="32">AP10/AP7</f>
        <v>0.3017978327072609</v>
      </c>
      <c r="AQ11" s="4">
        <f t="shared" si="32"/>
        <v>0.27087804878048782</v>
      </c>
      <c r="AR11" s="4">
        <f t="shared" ref="AR11:AW11" si="33">AR10/AR7</f>
        <v>0.36316108131683983</v>
      </c>
      <c r="AS11" s="4">
        <f t="shared" si="33"/>
        <v>0.3891475471563704</v>
      </c>
      <c r="AT11" s="4">
        <f t="shared" si="33"/>
        <v>0.18710932264837579</v>
      </c>
      <c r="AU11" s="4">
        <f t="shared" si="33"/>
        <v>0.2555213730105711</v>
      </c>
      <c r="AV11" s="4">
        <f t="shared" si="33"/>
        <v>0.22782411729594881</v>
      </c>
      <c r="AW11" s="85">
        <f t="shared" si="33"/>
        <v>0.13730982139200187</v>
      </c>
      <c r="AX11" s="85">
        <f t="shared" ref="AX11:AY11" si="34">AX10/AX7</f>
        <v>0.12096625098107613</v>
      </c>
      <c r="AY11" s="85">
        <f t="shared" si="34"/>
        <v>0.19622337383226165</v>
      </c>
      <c r="AZ11" s="85">
        <f t="shared" ref="AZ11:BA11" si="35">AZ10/AZ7</f>
        <v>0.31012241396686407</v>
      </c>
      <c r="BA11" s="85">
        <f t="shared" si="35"/>
        <v>0.2779884399664671</v>
      </c>
      <c r="BB11" s="85">
        <f t="shared" ref="BB11:BC11" si="36">BB10/BB7</f>
        <v>0.21450298247164659</v>
      </c>
      <c r="BC11" s="85">
        <f t="shared" si="36"/>
        <v>0.29242022407620755</v>
      </c>
      <c r="BD11" s="85">
        <f t="shared" ref="BD11:BE11" si="37">BD10/BD7</f>
        <v>0.39810395925254571</v>
      </c>
      <c r="BE11" s="85">
        <f t="shared" si="37"/>
        <v>0.39320452678169143</v>
      </c>
      <c r="BF11" s="85">
        <f t="shared" ref="BF11:BG11" si="38">BF10/BF7</f>
        <v>0.46047078243354378</v>
      </c>
      <c r="BG11" s="85">
        <f t="shared" si="38"/>
        <v>0.44125963417907171</v>
      </c>
      <c r="BH11" s="85">
        <f t="shared" ref="BH11:BI11" si="39">BH10/BH7</f>
        <v>0.48745229496369952</v>
      </c>
      <c r="BI11" s="85">
        <f t="shared" si="39"/>
        <v>0.41964446997332028</v>
      </c>
      <c r="BJ11" s="85">
        <f t="shared" ref="BJ11:BM11" si="40">BJ10/BJ7</f>
        <v>0.26489265025673481</v>
      </c>
      <c r="BK11" s="85">
        <f t="shared" si="40"/>
        <v>0.26156867781354431</v>
      </c>
      <c r="BL11" s="85">
        <f t="shared" si="40"/>
        <v>0.23042732476426545</v>
      </c>
      <c r="BM11" s="85">
        <f t="shared" si="40"/>
        <v>0.13768398735934917</v>
      </c>
      <c r="BN11" s="85">
        <f t="shared" ref="BN11:BO11" si="41">BN10/BN7</f>
        <v>8.6306007620285313E-2</v>
      </c>
      <c r="BO11" s="85">
        <f t="shared" si="41"/>
        <v>0.15403865441648396</v>
      </c>
      <c r="BP11" s="85">
        <f t="shared" ref="BP11:BU11" si="42">BP10/BP7</f>
        <v>0.1906146616937438</v>
      </c>
      <c r="BQ11" s="85">
        <f t="shared" si="42"/>
        <v>0.21235589060484539</v>
      </c>
      <c r="BR11" s="85">
        <f t="shared" si="42"/>
        <v>7.7481007136213614E-2</v>
      </c>
      <c r="BS11" s="85">
        <f t="shared" si="42"/>
        <v>0.11118688949147856</v>
      </c>
      <c r="BT11" s="85">
        <f t="shared" si="42"/>
        <v>0.10570951815726548</v>
      </c>
      <c r="BU11" s="85">
        <f t="shared" si="42"/>
        <v>9.35587797289925E-2</v>
      </c>
      <c r="BV11" s="4"/>
      <c r="BW11" s="4">
        <f t="shared" ref="BW11" si="43">BW10/BW7</f>
        <v>0.4489893209119436</v>
      </c>
      <c r="BX11" s="4">
        <f t="shared" ref="BX11" si="44">BX10/BX7</f>
        <v>3.8968126668042141E-2</v>
      </c>
      <c r="BY11" s="4">
        <f t="shared" ref="BY11" si="45">BY10/BY7</f>
        <v>0.21478535282249078</v>
      </c>
      <c r="BZ11" s="4">
        <f t="shared" ref="BZ11" si="46">BZ10/BZ7</f>
        <v>0.14969470711499003</v>
      </c>
      <c r="CA11" s="4">
        <f t="shared" ref="CA11" si="47">CA10/CA7</f>
        <v>0.15865377819118409</v>
      </c>
      <c r="CB11" s="4">
        <f t="shared" ref="CB11" si="48">CB10/CB7</f>
        <v>0.14189168913140246</v>
      </c>
      <c r="CC11" s="4">
        <f t="shared" ref="CC11:CE11" si="49">CC10/CC7</f>
        <v>0.16450889650068157</v>
      </c>
      <c r="CD11" s="4">
        <f t="shared" si="49"/>
        <v>0.26741933072001539</v>
      </c>
      <c r="CE11" s="4">
        <f t="shared" si="49"/>
        <v>6.3856903318329356E-2</v>
      </c>
      <c r="CF11" s="4">
        <f t="shared" ref="CF11" si="50">CF10/CF7</f>
        <v>0.28977597630424939</v>
      </c>
      <c r="CG11" s="4">
        <f t="shared" ref="CG11:CL11" si="51">CG10/CG7</f>
        <v>0.31017424347745493</v>
      </c>
      <c r="CH11" s="4">
        <f t="shared" si="51"/>
        <v>0.18898050095736782</v>
      </c>
      <c r="CI11" s="4">
        <f t="shared" si="51"/>
        <v>0.25083429972151988</v>
      </c>
      <c r="CJ11" s="4">
        <f t="shared" si="51"/>
        <v>0.39163507328172648</v>
      </c>
      <c r="CK11" s="4">
        <f t="shared" si="51"/>
        <v>0.40933878642224186</v>
      </c>
      <c r="CL11" s="4">
        <f t="shared" si="51"/>
        <v>0.15736726898150136</v>
      </c>
      <c r="CM11" s="4">
        <f t="shared" ref="CM11" si="52">CM10/CM7</f>
        <v>0.10364186902159415</v>
      </c>
    </row>
    <row r="12" spans="2:93" ht="15.75" thickBot="1">
      <c r="B12" s="9" t="s">
        <v>51</v>
      </c>
      <c r="C12" s="9">
        <v>40837</v>
      </c>
      <c r="D12" s="9">
        <v>113253</v>
      </c>
      <c r="E12" s="9">
        <v>119111</v>
      </c>
      <c r="F12" s="9">
        <v>64659</v>
      </c>
      <c r="G12" s="9">
        <v>21939</v>
      </c>
      <c r="H12" s="9">
        <v>5931</v>
      </c>
      <c r="I12" s="9">
        <v>-3529</v>
      </c>
      <c r="J12" s="9">
        <v>4291</v>
      </c>
      <c r="K12" s="9">
        <v>18424</v>
      </c>
      <c r="L12" s="9">
        <v>47958</v>
      </c>
      <c r="M12" s="9">
        <v>37931</v>
      </c>
      <c r="N12" s="9">
        <v>29657</v>
      </c>
      <c r="O12" s="9">
        <v>36125</v>
      </c>
      <c r="P12" s="9">
        <v>25903</v>
      </c>
      <c r="Q12" s="9">
        <v>10776</v>
      </c>
      <c r="R12" s="9">
        <v>18076</v>
      </c>
      <c r="S12" s="9">
        <v>20475</v>
      </c>
      <c r="T12" s="9">
        <v>21164</v>
      </c>
      <c r="U12" s="9">
        <v>30073</v>
      </c>
      <c r="V12" s="9">
        <v>13832</v>
      </c>
      <c r="W12" s="9">
        <v>8656</v>
      </c>
      <c r="X12" s="9">
        <v>19174</v>
      </c>
      <c r="Y12" s="9">
        <v>22252</v>
      </c>
      <c r="Z12" s="9">
        <v>23645</v>
      </c>
      <c r="AA12" s="9">
        <v>28259</v>
      </c>
      <c r="AB12" s="9">
        <v>28731</v>
      </c>
      <c r="AC12" s="9">
        <v>20556</v>
      </c>
      <c r="AD12" s="9">
        <v>14149</v>
      </c>
      <c r="AE12" s="9">
        <v>33591</v>
      </c>
      <c r="AF12" s="9">
        <v>79361</v>
      </c>
      <c r="AG12" s="9">
        <v>41724</v>
      </c>
      <c r="AH12" s="9">
        <f>19024</f>
        <v>19024</v>
      </c>
      <c r="AI12" s="9">
        <v>12589</v>
      </c>
      <c r="AJ12" s="9">
        <v>-21296</v>
      </c>
      <c r="AK12" s="9">
        <v>6556</v>
      </c>
      <c r="AL12" s="9">
        <v>72333</v>
      </c>
      <c r="AM12" s="9">
        <v>80125</v>
      </c>
      <c r="AN12" s="9">
        <v>63785</v>
      </c>
      <c r="AO12" s="9">
        <v>64391</v>
      </c>
      <c r="AP12" s="9">
        <v>61961</v>
      </c>
      <c r="AQ12" s="9">
        <v>63492</v>
      </c>
      <c r="AR12" s="9">
        <v>76431</v>
      </c>
      <c r="AS12" s="9">
        <f>DRE!AS21</f>
        <v>149258</v>
      </c>
      <c r="AT12" s="9">
        <f>DRE!AT21</f>
        <v>20007</v>
      </c>
      <c r="AU12" s="9">
        <f>DRE!AU21</f>
        <v>46059</v>
      </c>
      <c r="AV12" s="9">
        <f>DRE!AV21</f>
        <v>31789</v>
      </c>
      <c r="AW12" s="9">
        <f>DRE!AW21</f>
        <v>144691</v>
      </c>
      <c r="AX12" s="9">
        <f>DRE!AX21</f>
        <v>-1006</v>
      </c>
      <c r="AY12" s="97">
        <f>DRE!AY21</f>
        <v>-566</v>
      </c>
      <c r="AZ12" s="9">
        <f>DRE!AZ21</f>
        <v>21533</v>
      </c>
      <c r="BA12" s="9">
        <f>DRE!BA21</f>
        <v>11554</v>
      </c>
      <c r="BB12" s="9">
        <f>DRE!BB21</f>
        <v>37493</v>
      </c>
      <c r="BC12" s="9">
        <f>DRE!BC21</f>
        <v>59035</v>
      </c>
      <c r="BD12" s="9">
        <f>DRE!BD21</f>
        <v>114264</v>
      </c>
      <c r="BE12" s="9">
        <f>DRE!BE21</f>
        <v>233034</v>
      </c>
      <c r="BF12" s="9">
        <f>DRE!BF21</f>
        <v>236574</v>
      </c>
      <c r="BG12" s="9">
        <f>DRE!BG21</f>
        <v>252265</v>
      </c>
      <c r="BH12" s="9">
        <f>DRE!BH21</f>
        <v>380907</v>
      </c>
      <c r="BI12" s="57">
        <f>DRE!BI21</f>
        <v>277310</v>
      </c>
      <c r="BJ12" s="57">
        <f>DRE!BJ21</f>
        <v>151992</v>
      </c>
      <c r="BK12" s="9">
        <f>DRE!BK21</f>
        <v>131560</v>
      </c>
      <c r="BL12" s="9">
        <f>DRE!BL21</f>
        <v>121775</v>
      </c>
      <c r="BM12" s="57">
        <f>DRE!BM21</f>
        <v>74527</v>
      </c>
      <c r="BN12" s="57">
        <f>DRE!BN21</f>
        <v>55023</v>
      </c>
      <c r="BO12" s="57">
        <f>DRE!BO21</f>
        <v>41205</v>
      </c>
      <c r="BP12" s="57">
        <f>DRE!BP21</f>
        <v>56731</v>
      </c>
      <c r="BQ12" s="57">
        <f>DRE!BQ21</f>
        <v>103551</v>
      </c>
      <c r="BR12" s="57">
        <f>DRE!BR21</f>
        <v>126267</v>
      </c>
      <c r="BS12" s="57">
        <f>DRE!BS21</f>
        <v>24248</v>
      </c>
      <c r="BT12" s="57">
        <f>DRE!BT21</f>
        <v>18689</v>
      </c>
      <c r="BU12" s="57">
        <f>DRE!BU21</f>
        <v>45959</v>
      </c>
      <c r="BV12" s="16"/>
      <c r="BW12" s="9">
        <f>SUM(C12:F12)</f>
        <v>337860</v>
      </c>
      <c r="BX12" s="9">
        <f>SUM(G12:J12)</f>
        <v>28632</v>
      </c>
      <c r="BY12" s="9">
        <f>SUM(K12:N12)</f>
        <v>133970</v>
      </c>
      <c r="BZ12" s="9">
        <f>SUM(O12:R12)</f>
        <v>90880</v>
      </c>
      <c r="CA12" s="9">
        <f>SUM(S12:V12)</f>
        <v>85544</v>
      </c>
      <c r="CB12" s="9">
        <f>SUM(W12:Z12)</f>
        <v>73727</v>
      </c>
      <c r="CC12" s="9">
        <f>SUM(AA12:AD12)</f>
        <v>91695</v>
      </c>
      <c r="CD12" s="9">
        <f>SUM(AE12:AH12)</f>
        <v>173700</v>
      </c>
      <c r="CE12" s="12">
        <f>SUM(AI12:AL12)</f>
        <v>70182</v>
      </c>
      <c r="CF12" s="12">
        <f>SUM(AM12:AP12)</f>
        <v>270262</v>
      </c>
      <c r="CG12" s="12">
        <f>SUM(AQ12:AT12)</f>
        <v>309188</v>
      </c>
      <c r="CH12" s="12">
        <f>SUM(AU12:AX12)</f>
        <v>221533</v>
      </c>
      <c r="CI12" s="12">
        <f>SUM(AY12:BB12)</f>
        <v>70014</v>
      </c>
      <c r="CJ12" s="12">
        <f>SUM(BC12:BF12)</f>
        <v>642907</v>
      </c>
      <c r="CK12" s="12">
        <f>SUM(BG12:BJ12)</f>
        <v>1062474</v>
      </c>
      <c r="CL12" s="12">
        <f>SUM(BO12:BR12)</f>
        <v>327754</v>
      </c>
      <c r="CM12" s="12">
        <f>SUM(BS12:BU12)</f>
        <v>88896</v>
      </c>
    </row>
    <row r="13" spans="2:93" ht="15.75" thickBot="1">
      <c r="B13" t="s">
        <v>52</v>
      </c>
      <c r="C13" s="4">
        <f t="shared" ref="C13:AC13" si="53">C12/C7</f>
        <v>0.23985504267078592</v>
      </c>
      <c r="D13" s="4">
        <f t="shared" si="53"/>
        <v>0.41695229750277041</v>
      </c>
      <c r="E13" s="4">
        <f t="shared" si="53"/>
        <v>0.47577220963998834</v>
      </c>
      <c r="F13" s="4">
        <f t="shared" si="53"/>
        <v>0.34635719374554724</v>
      </c>
      <c r="G13" s="4">
        <f t="shared" si="53"/>
        <v>0.25624883199401982</v>
      </c>
      <c r="H13" s="4">
        <f t="shared" si="53"/>
        <v>5.8948058918241994E-2</v>
      </c>
      <c r="I13" s="4">
        <f t="shared" si="53"/>
        <v>-2.3588310785519491E-2</v>
      </c>
      <c r="J13" s="4">
        <f t="shared" si="53"/>
        <v>3.7340643084018625E-2</v>
      </c>
      <c r="K13" s="4">
        <f t="shared" si="53"/>
        <v>0.12917248003589682</v>
      </c>
      <c r="L13" s="4">
        <f t="shared" si="53"/>
        <v>0.2544056018248369</v>
      </c>
      <c r="M13" s="4">
        <f t="shared" si="53"/>
        <v>0.21706238161456276</v>
      </c>
      <c r="N13" s="4">
        <f t="shared" si="53"/>
        <v>0.17740623317580906</v>
      </c>
      <c r="O13" s="4">
        <f t="shared" si="53"/>
        <v>0.18459848233220061</v>
      </c>
      <c r="P13" s="4">
        <f t="shared" si="53"/>
        <v>0.14881650005745145</v>
      </c>
      <c r="Q13" s="4">
        <f t="shared" si="53"/>
        <v>7.6495517175288033E-2</v>
      </c>
      <c r="R13" s="4">
        <f t="shared" si="53"/>
        <v>0.13724299207337443</v>
      </c>
      <c r="S13" s="4">
        <f t="shared" si="53"/>
        <v>0.11222867792150844</v>
      </c>
      <c r="T13" s="4">
        <f t="shared" si="53"/>
        <v>0.11121562610025382</v>
      </c>
      <c r="U13" s="4">
        <f t="shared" si="53"/>
        <v>0.18046254290583519</v>
      </c>
      <c r="V13" s="4">
        <f t="shared" si="53"/>
        <v>8.2323042952964207E-2</v>
      </c>
      <c r="W13" s="4">
        <f t="shared" si="53"/>
        <v>4.6614573516503048E-2</v>
      </c>
      <c r="X13" s="4">
        <f t="shared" si="53"/>
        <v>0.10527124888134887</v>
      </c>
      <c r="Y13" s="4">
        <f t="shared" si="53"/>
        <v>9.9146304514427269E-2</v>
      </c>
      <c r="Z13" s="4">
        <f t="shared" si="53"/>
        <v>0.11394961060991596</v>
      </c>
      <c r="AA13" s="4">
        <f t="shared" si="53"/>
        <v>0.12277500445324957</v>
      </c>
      <c r="AB13" s="4">
        <f t="shared" si="53"/>
        <v>0.13021959344618941</v>
      </c>
      <c r="AC13" s="4">
        <f t="shared" si="53"/>
        <v>0.1024603237897759</v>
      </c>
      <c r="AD13" s="4">
        <f t="shared" ref="AD13:AF13" si="54">AD12/AD7</f>
        <v>8.0019681142863605E-2</v>
      </c>
      <c r="AE13" s="4">
        <f t="shared" si="54"/>
        <v>0.15978442350411698</v>
      </c>
      <c r="AF13" s="4">
        <f t="shared" si="54"/>
        <v>0.31649072992147653</v>
      </c>
      <c r="AG13" s="4">
        <f t="shared" ref="AG13:AI13" si="55">AG12/AG7</f>
        <v>0.18553482891255529</v>
      </c>
      <c r="AH13" s="4">
        <f t="shared" si="55"/>
        <v>7.5985061809757753E-2</v>
      </c>
      <c r="AI13" s="4">
        <f t="shared" si="55"/>
        <v>4.125282222520784E-2</v>
      </c>
      <c r="AJ13" s="4">
        <f t="shared" ref="AJ13:AK13" si="56">AJ12/AJ7</f>
        <v>-7.9803339628863504E-2</v>
      </c>
      <c r="AK13" s="4">
        <f t="shared" si="56"/>
        <v>2.7174904249498449E-2</v>
      </c>
      <c r="AL13" s="4">
        <f t="shared" ref="AL13:AO13" si="57">AL12/AL7</f>
        <v>0.25570296840698675</v>
      </c>
      <c r="AM13" s="4">
        <f t="shared" si="57"/>
        <v>0.2645306129186682</v>
      </c>
      <c r="AN13" s="4">
        <f t="shared" si="57"/>
        <v>0.23567163737936539</v>
      </c>
      <c r="AO13" s="4">
        <f t="shared" si="57"/>
        <v>0.23294708395587857</v>
      </c>
      <c r="AP13" s="4">
        <f t="shared" ref="AP13:AR13" si="58">AP12/AP7</f>
        <v>0.2394572493004993</v>
      </c>
      <c r="AQ13" s="4">
        <f t="shared" si="58"/>
        <v>0.18218651362984217</v>
      </c>
      <c r="AR13" s="4">
        <f t="shared" si="58"/>
        <v>0.21931357442302893</v>
      </c>
      <c r="AS13" s="4">
        <f t="shared" ref="AS13:AT13" si="59">AS12/AS7</f>
        <v>0.37973917069919144</v>
      </c>
      <c r="AT13" s="4">
        <f t="shared" si="59"/>
        <v>6.8752341057247229E-2</v>
      </c>
      <c r="AU13" s="4">
        <f t="shared" ref="AU13:AV13" si="60">AU12/AU7</f>
        <v>0.13205707879729686</v>
      </c>
      <c r="AV13" s="4">
        <f t="shared" si="60"/>
        <v>9.7304825601861059E-2</v>
      </c>
      <c r="AW13" s="85">
        <f t="shared" ref="AW13:AX13" si="61">AW12/AW7</f>
        <v>0.45586470026685655</v>
      </c>
      <c r="AX13" s="85">
        <f t="shared" si="61"/>
        <v>-3.5092003139443619E-3</v>
      </c>
      <c r="AY13" s="85">
        <f t="shared" ref="AY13:AZ13" si="62">AY12/AY7</f>
        <v>-1.6349781328896362E-3</v>
      </c>
      <c r="AZ13" s="85">
        <f t="shared" si="62"/>
        <v>5.046792932193022E-2</v>
      </c>
      <c r="BA13" s="85">
        <f t="shared" ref="BA13:BB13" si="63">BA12/BA7</f>
        <v>2.9987567902868727E-2</v>
      </c>
      <c r="BB13" s="85">
        <f t="shared" si="63"/>
        <v>8.0825304983864255E-2</v>
      </c>
      <c r="BC13" s="85">
        <f t="shared" ref="BC13:BE13" si="64">BC12/BC7</f>
        <v>0.11411610518746472</v>
      </c>
      <c r="BD13" s="85">
        <f t="shared" ref="BD13" si="65">BD12/BD7</f>
        <v>0.22367251700094351</v>
      </c>
      <c r="BE13" s="85">
        <f t="shared" si="64"/>
        <v>0.34312192450063167</v>
      </c>
      <c r="BF13" s="85">
        <f t="shared" ref="BF13:BG13" si="66">BF12/BF7</f>
        <v>0.34681099655349845</v>
      </c>
      <c r="BG13" s="85">
        <f t="shared" si="66"/>
        <v>0.34194388793853647</v>
      </c>
      <c r="BH13" s="85">
        <f t="shared" ref="BH13:BI13" si="67">BH12/BH7</f>
        <v>0.4151041065018341</v>
      </c>
      <c r="BI13" s="85">
        <f t="shared" si="67"/>
        <v>0.36037733642278935</v>
      </c>
      <c r="BJ13" s="85">
        <f t="shared" ref="BJ13:BM13" si="68">BJ12/BJ7</f>
        <v>0.21282595941251342</v>
      </c>
      <c r="BK13" s="85">
        <f t="shared" si="68"/>
        <v>0.18364708936951926</v>
      </c>
      <c r="BL13" s="85">
        <f t="shared" si="68"/>
        <v>0.19448898627756625</v>
      </c>
      <c r="BM13" s="85">
        <f t="shared" si="68"/>
        <v>0.13527710869616516</v>
      </c>
      <c r="BN13" s="85">
        <f t="shared" ref="BN13:BO13" si="69">BN12/BN7</f>
        <v>0.10157242224650737</v>
      </c>
      <c r="BO13" s="85">
        <f t="shared" si="69"/>
        <v>8.0875151377164181E-2</v>
      </c>
      <c r="BP13" s="85">
        <f t="shared" ref="BP13:BU13" si="70">BP12/BP7</f>
        <v>0.10867445553582478</v>
      </c>
      <c r="BQ13" s="85">
        <f t="shared" si="70"/>
        <v>0.17324245511716965</v>
      </c>
      <c r="BR13" s="85">
        <f t="shared" si="70"/>
        <v>0.20785888898948909</v>
      </c>
      <c r="BS13" s="85">
        <f t="shared" si="70"/>
        <v>4.4099380011603184E-2</v>
      </c>
      <c r="BT13" s="85">
        <f t="shared" si="70"/>
        <v>2.9227090536890817E-2</v>
      </c>
      <c r="BU13" s="85">
        <f t="shared" si="70"/>
        <v>8.4706433110688428E-2</v>
      </c>
      <c r="BV13" s="84"/>
      <c r="BW13" s="4">
        <f t="shared" ref="BW13:CC13" si="71">BW12/BW7</f>
        <v>0.38440621039146039</v>
      </c>
      <c r="BX13" s="4">
        <f t="shared" si="71"/>
        <v>6.3520375904320109E-2</v>
      </c>
      <c r="BY13" s="4">
        <f t="shared" si="71"/>
        <v>0.19904673891403118</v>
      </c>
      <c r="BZ13" s="4">
        <f t="shared" si="71"/>
        <v>0.14148402544470634</v>
      </c>
      <c r="CA13" s="4">
        <f t="shared" si="71"/>
        <v>0.12092699766186694</v>
      </c>
      <c r="CB13" s="4">
        <f t="shared" si="71"/>
        <v>9.2185022731478466E-2</v>
      </c>
      <c r="CC13" s="4">
        <f t="shared" si="71"/>
        <v>0.11070972789518102</v>
      </c>
      <c r="CD13" s="4">
        <f t="shared" ref="CD13:CE13" si="72">CD12/CD7</f>
        <v>0.18553133311258985</v>
      </c>
      <c r="CE13" s="4">
        <f t="shared" si="72"/>
        <v>6.402567522446663E-2</v>
      </c>
      <c r="CF13" s="4">
        <f t="shared" ref="CF13" si="73">CF12/CF7</f>
        <v>0.24375993260709178</v>
      </c>
      <c r="CG13" s="4">
        <f t="shared" ref="CG13:CL13" si="74">CG12/CG7</f>
        <v>0.22387796005375596</v>
      </c>
      <c r="CH13" s="4">
        <f t="shared" si="74"/>
        <v>0.17313352350435701</v>
      </c>
      <c r="CI13" s="4">
        <f t="shared" si="74"/>
        <v>4.3164722484755114E-2</v>
      </c>
      <c r="CJ13" s="4">
        <f t="shared" si="74"/>
        <v>0.26905762223281499</v>
      </c>
      <c r="CK13" s="4">
        <f t="shared" si="74"/>
        <v>0.33847358535286215</v>
      </c>
      <c r="CL13" s="4">
        <f t="shared" si="74"/>
        <v>0.1465343648511381</v>
      </c>
      <c r="CM13" s="4">
        <f t="shared" ref="CM13" si="75">CM12/CM7</f>
        <v>5.1329843439820125E-2</v>
      </c>
    </row>
    <row r="14" spans="2:93" ht="15.75" thickBot="1">
      <c r="B14" s="9" t="s">
        <v>26</v>
      </c>
      <c r="C14" s="9">
        <v>13968</v>
      </c>
      <c r="D14" s="9">
        <v>26845</v>
      </c>
      <c r="E14" s="9">
        <v>20955</v>
      </c>
      <c r="F14" s="9">
        <v>31505</v>
      </c>
      <c r="G14" s="9">
        <v>14873</v>
      </c>
      <c r="H14" s="9">
        <v>15480</v>
      </c>
      <c r="I14" s="9">
        <v>15168</v>
      </c>
      <c r="J14" s="9">
        <v>15077</v>
      </c>
      <c r="K14" s="9">
        <v>14844</v>
      </c>
      <c r="L14" s="9">
        <v>12662</v>
      </c>
      <c r="M14" s="9">
        <v>19080</v>
      </c>
      <c r="N14" s="9">
        <v>20253</v>
      </c>
      <c r="O14" s="9">
        <v>24062</v>
      </c>
      <c r="P14" s="9">
        <v>28399</v>
      </c>
      <c r="Q14" s="9">
        <v>37199</v>
      </c>
      <c r="R14" s="9">
        <v>37653</v>
      </c>
      <c r="S14" s="9">
        <v>33396</v>
      </c>
      <c r="T14" s="9">
        <v>29964</v>
      </c>
      <c r="U14" s="9">
        <v>35618</v>
      </c>
      <c r="V14" s="9">
        <v>25308</v>
      </c>
      <c r="W14" s="9">
        <v>32842</v>
      </c>
      <c r="X14" s="9">
        <v>24325</v>
      </c>
      <c r="Y14" s="9">
        <v>19911</v>
      </c>
      <c r="Z14" s="9">
        <v>23557</v>
      </c>
      <c r="AA14" s="9">
        <v>24191</v>
      </c>
      <c r="AB14" s="9">
        <v>20591</v>
      </c>
      <c r="AC14" s="9">
        <v>22897</v>
      </c>
      <c r="AD14" s="9">
        <v>37469</v>
      </c>
      <c r="AE14" s="9">
        <v>17719</v>
      </c>
      <c r="AF14" s="9">
        <v>14930</v>
      </c>
      <c r="AG14" s="9">
        <v>24163</v>
      </c>
      <c r="AH14" s="9">
        <v>54280</v>
      </c>
      <c r="AI14" s="9">
        <v>26595</v>
      </c>
      <c r="AJ14" s="9">
        <v>28601</v>
      </c>
      <c r="AK14" s="9">
        <v>27335</v>
      </c>
      <c r="AL14" s="9">
        <v>19336</v>
      </c>
      <c r="AM14" s="9">
        <v>16868</v>
      </c>
      <c r="AN14" s="9">
        <v>21297</v>
      </c>
      <c r="AO14" s="9">
        <v>21287</v>
      </c>
      <c r="AP14" s="9">
        <v>39933</v>
      </c>
      <c r="AQ14" s="9">
        <f>11354+3115</f>
        <v>14469</v>
      </c>
      <c r="AR14" s="9">
        <v>16931</v>
      </c>
      <c r="AS14" s="9">
        <v>26531</v>
      </c>
      <c r="AT14" s="9">
        <v>33347</v>
      </c>
      <c r="AU14" s="9">
        <v>19171</v>
      </c>
      <c r="AV14" s="9">
        <f>41438+10833-AU14</f>
        <v>33100</v>
      </c>
      <c r="AW14" s="9">
        <f>63243+19851-AV14-AU14</f>
        <v>30823</v>
      </c>
      <c r="AX14" s="9">
        <f>-'Fluxo de caixa'!AX32-SUM(AU14:AW14)</f>
        <v>33163</v>
      </c>
      <c r="AY14" s="9">
        <f>-'Fluxo de caixa'!AY32</f>
        <v>12162</v>
      </c>
      <c r="AZ14" s="9">
        <v>10473</v>
      </c>
      <c r="BA14" s="9">
        <v>15129</v>
      </c>
      <c r="BB14" s="9">
        <v>15206</v>
      </c>
      <c r="BC14" s="9">
        <v>12384</v>
      </c>
      <c r="BD14" s="9">
        <v>24622</v>
      </c>
      <c r="BE14" s="9">
        <f>73155-BC14-BD14</f>
        <v>36149</v>
      </c>
      <c r="BF14" s="9">
        <f>127123-BC14-BD14-BE14</f>
        <v>53968</v>
      </c>
      <c r="BG14" s="9">
        <f>-'Fluxo de caixa'!BG32</f>
        <v>33285</v>
      </c>
      <c r="BH14" s="9">
        <f>86395-BG14</f>
        <v>53110</v>
      </c>
      <c r="BI14" s="9">
        <f>156564-BG14-BH14</f>
        <v>70169</v>
      </c>
      <c r="BJ14" s="9">
        <f>260250-BH14-BI14-BG14</f>
        <v>103686</v>
      </c>
      <c r="BK14" s="9">
        <f>-'Fluxo de caixa'!BK32</f>
        <v>57048</v>
      </c>
      <c r="BL14" s="9">
        <f>125584-57048</f>
        <v>68536</v>
      </c>
      <c r="BM14" s="9">
        <f>-'Fluxo de caixa'!BM32-BK14-BL14</f>
        <v>91648</v>
      </c>
      <c r="BN14" s="9">
        <f>328839-BK14-BL14-BM14</f>
        <v>111607</v>
      </c>
      <c r="BO14" s="9">
        <v>42038</v>
      </c>
      <c r="BP14" s="9">
        <f>113960-BO14</f>
        <v>71922</v>
      </c>
      <c r="BQ14" s="9">
        <f>221450-BP14-BO14</f>
        <v>107490</v>
      </c>
      <c r="BR14" s="9">
        <f>288672-BO14-BP14-BQ14</f>
        <v>67222</v>
      </c>
      <c r="BS14" s="9">
        <v>42472</v>
      </c>
      <c r="BT14" s="12">
        <v>72168</v>
      </c>
      <c r="BU14" s="57">
        <v>73680</v>
      </c>
      <c r="BV14" s="16"/>
      <c r="BW14" s="9">
        <f>SUM(C14:F14)</f>
        <v>93273</v>
      </c>
      <c r="BX14" s="9">
        <f>SUM(G14:J14)</f>
        <v>60598</v>
      </c>
      <c r="BY14" s="9">
        <f>SUM(K14:N14)</f>
        <v>66839</v>
      </c>
      <c r="BZ14" s="9">
        <f>SUM(O14:R14)</f>
        <v>127313</v>
      </c>
      <c r="CA14" s="9">
        <f>SUM(S14:V14)</f>
        <v>124286</v>
      </c>
      <c r="CB14" s="9">
        <f>SUM(W14:Z14)</f>
        <v>100635</v>
      </c>
      <c r="CC14" s="9">
        <f>SUM(AA14:AD14)</f>
        <v>105148</v>
      </c>
      <c r="CD14" s="9">
        <f>SUM(AE14:AH14)</f>
        <v>111092</v>
      </c>
      <c r="CE14" s="12">
        <f>SUM(AI14:AL14)</f>
        <v>101867</v>
      </c>
      <c r="CF14" s="12">
        <f>SUM(AM14:AP14)</f>
        <v>99385</v>
      </c>
      <c r="CG14" s="12">
        <f>SUM(AQ14:AT14)</f>
        <v>91278</v>
      </c>
      <c r="CH14" s="12">
        <f>SUM(AU14:AX14)</f>
        <v>116257</v>
      </c>
      <c r="CI14" s="12">
        <f>SUM(AY14:BB14)</f>
        <v>52970</v>
      </c>
      <c r="CJ14" s="12">
        <f>SUM(BC14:BF14)</f>
        <v>127123</v>
      </c>
      <c r="CK14" s="12">
        <f>SUM(BG14:BJ14)</f>
        <v>260250</v>
      </c>
      <c r="CL14" s="12">
        <f>SUM(BO14:BR14)</f>
        <v>288672</v>
      </c>
      <c r="CM14" s="12">
        <f>SUM(BS14:BU14)</f>
        <v>188320</v>
      </c>
      <c r="CO14" s="16"/>
    </row>
    <row r="15" spans="2:93">
      <c r="B15" t="s">
        <v>53</v>
      </c>
      <c r="C15" s="4">
        <f t="shared" ref="C15:AC15" si="76">C14/C7</f>
        <v>8.2040679678368589E-2</v>
      </c>
      <c r="D15" s="4">
        <f t="shared" si="76"/>
        <v>9.8832564492436145E-2</v>
      </c>
      <c r="E15" s="4">
        <f t="shared" si="76"/>
        <v>8.3701813039987541E-2</v>
      </c>
      <c r="F15" s="4">
        <f t="shared" si="76"/>
        <v>0.16876201903761992</v>
      </c>
      <c r="G15" s="4">
        <f t="shared" si="76"/>
        <v>0.17371752943375071</v>
      </c>
      <c r="H15" s="4">
        <f t="shared" si="76"/>
        <v>0.15385532828433418</v>
      </c>
      <c r="I15" s="4">
        <f t="shared" si="76"/>
        <v>0.10138495267632747</v>
      </c>
      <c r="J15" s="4">
        <f t="shared" si="76"/>
        <v>0.13120132271679066</v>
      </c>
      <c r="K15" s="4">
        <f t="shared" si="76"/>
        <v>0.10407274715875231</v>
      </c>
      <c r="L15" s="4">
        <f t="shared" si="76"/>
        <v>6.7168850458861604E-2</v>
      </c>
      <c r="M15" s="4">
        <f t="shared" si="76"/>
        <v>0.10918642380126697</v>
      </c>
      <c r="N15" s="4">
        <f t="shared" si="76"/>
        <v>0.12115212059580069</v>
      </c>
      <c r="O15" s="4">
        <f t="shared" si="76"/>
        <v>0.12295664171286952</v>
      </c>
      <c r="P15" s="4">
        <f t="shared" si="76"/>
        <v>0.16315638285648626</v>
      </c>
      <c r="Q15" s="4">
        <f t="shared" si="76"/>
        <v>0.26406428576499069</v>
      </c>
      <c r="R15" s="4">
        <f t="shared" si="76"/>
        <v>0.28588240653566982</v>
      </c>
      <c r="S15" s="4">
        <f t="shared" si="76"/>
        <v>0.18305196228897172</v>
      </c>
      <c r="T15" s="4">
        <f t="shared" si="76"/>
        <v>0.15745912967624293</v>
      </c>
      <c r="U15" s="4">
        <f t="shared" si="76"/>
        <v>0.2137370682412808</v>
      </c>
      <c r="V15" s="4">
        <f t="shared" si="76"/>
        <v>0.15062402913921474</v>
      </c>
      <c r="W15" s="4">
        <f t="shared" si="76"/>
        <v>0.17686180954586334</v>
      </c>
      <c r="X15" s="4">
        <f t="shared" si="76"/>
        <v>0.13355184776461934</v>
      </c>
      <c r="Y15" s="4">
        <f t="shared" si="76"/>
        <v>8.8715714056568459E-2</v>
      </c>
      <c r="Z15" s="4">
        <f t="shared" si="76"/>
        <v>0.1135255223995682</v>
      </c>
      <c r="AA15" s="4">
        <f t="shared" si="76"/>
        <v>0.10510103445729008</v>
      </c>
      <c r="AB15" s="4">
        <f t="shared" si="76"/>
        <v>9.3326081537380742E-2</v>
      </c>
      <c r="AC15" s="4">
        <f t="shared" si="76"/>
        <v>0.11412891777653721</v>
      </c>
      <c r="AD15" s="4">
        <f t="shared" ref="AD15:AF15" si="77">AD14/AD7</f>
        <v>0.21190596033231723</v>
      </c>
      <c r="AE15" s="4">
        <f t="shared" si="77"/>
        <v>8.4285082315782467E-2</v>
      </c>
      <c r="AF15" s="4">
        <f t="shared" si="77"/>
        <v>5.9540663521473323E-2</v>
      </c>
      <c r="AG15" s="4">
        <f t="shared" ref="AG15:AI15" si="78">AG14/AG7</f>
        <v>0.10744602796985125</v>
      </c>
      <c r="AH15" s="4">
        <f t="shared" si="78"/>
        <v>0.21680346693827013</v>
      </c>
      <c r="AI15" s="4">
        <f t="shared" si="78"/>
        <v>8.7149003660290922E-2</v>
      </c>
      <c r="AJ15" s="4">
        <f t="shared" ref="AJ15:AK15" si="79">AJ14/AJ7</f>
        <v>0.10717765386575531</v>
      </c>
      <c r="AK15" s="4">
        <f t="shared" si="79"/>
        <v>0.11330476016779135</v>
      </c>
      <c r="AL15" s="4">
        <f t="shared" ref="AL15:AO15" si="80">AL14/AL7</f>
        <v>6.83543140353296E-2</v>
      </c>
      <c r="AM15" s="4">
        <f t="shared" si="80"/>
        <v>5.5689265256937223E-2</v>
      </c>
      <c r="AN15" s="4">
        <f t="shared" si="80"/>
        <v>7.8687761405790466E-2</v>
      </c>
      <c r="AO15" s="4">
        <f t="shared" si="80"/>
        <v>7.7009901634836966E-2</v>
      </c>
      <c r="AP15" s="4">
        <f t="shared" ref="AP15" si="81">AP14/AP7</f>
        <v>0.15432685618884201</v>
      </c>
      <c r="AQ15" s="4">
        <f>AQ14/AQ7</f>
        <v>4.151793400286944E-2</v>
      </c>
      <c r="AR15" s="4">
        <f>AR14/AR7</f>
        <v>4.8582357009018626E-2</v>
      </c>
      <c r="AS15" s="4">
        <f>AS14/AS7</f>
        <v>6.7499631093946383E-2</v>
      </c>
      <c r="AT15" s="4">
        <f>AT14/AT7</f>
        <v>0.11459410792402776</v>
      </c>
      <c r="AU15" s="4">
        <f t="shared" ref="AU15:AV15" si="82">AU14/AU7</f>
        <v>5.4965723476909582E-2</v>
      </c>
      <c r="AV15" s="4">
        <f t="shared" si="82"/>
        <v>0.10131774284883455</v>
      </c>
      <c r="AW15" s="85">
        <f t="shared" ref="AW15:AX15" si="83">AW14/AW7</f>
        <v>9.7111207029637769E-2</v>
      </c>
      <c r="AX15" s="85">
        <f t="shared" si="83"/>
        <v>0.11568152088602075</v>
      </c>
      <c r="AY15" s="85">
        <f t="shared" ref="AY15:AZ15" si="84">AY14/AY7</f>
        <v>3.5131809279511934E-2</v>
      </c>
      <c r="AZ15" s="85">
        <f t="shared" si="84"/>
        <v>2.4546074573379241E-2</v>
      </c>
      <c r="BA15" s="85">
        <f t="shared" ref="BA15:BB15" si="85">BA14/BA7</f>
        <v>3.9266220772243461E-2</v>
      </c>
      <c r="BB15" s="85">
        <f t="shared" si="85"/>
        <v>3.2780241313969005E-2</v>
      </c>
      <c r="BC15" s="85">
        <f>BC14/BC7</f>
        <v>2.3938576211426494E-2</v>
      </c>
      <c r="BD15" s="85">
        <f>BD14/BD7</f>
        <v>4.8197723811499962E-2</v>
      </c>
      <c r="BE15" s="85">
        <f t="shared" ref="BE15:BF15" si="86">BE14/BE7</f>
        <v>5.3226200677898218E-2</v>
      </c>
      <c r="BF15" s="85">
        <f t="shared" si="86"/>
        <v>7.9115608063435566E-2</v>
      </c>
      <c r="BG15" s="85">
        <f t="shared" ref="BG15" si="87">BG14/BG7</f>
        <v>4.5117643391014157E-2</v>
      </c>
      <c r="BH15" s="85">
        <f t="shared" ref="BH15" si="88">BH14/BH7</f>
        <v>5.7878114858252561E-2</v>
      </c>
      <c r="BI15" s="4">
        <f>BI14/BI7</f>
        <v>9.1187902778301202E-2</v>
      </c>
      <c r="BJ15" s="4">
        <f>BJ14/BJ7</f>
        <v>0.14518574943185081</v>
      </c>
      <c r="BK15" s="85">
        <f t="shared" ref="BK15:BL15" si="89">BK14/BK7</f>
        <v>7.9634380923930798E-2</v>
      </c>
      <c r="BL15" s="85">
        <f t="shared" si="89"/>
        <v>0.10946004650806225</v>
      </c>
      <c r="BM15" s="4">
        <f t="shared" ref="BM15:BU15" si="90">BM14/BM7</f>
        <v>0.1663541596708058</v>
      </c>
      <c r="BN15" s="4">
        <f t="shared" si="90"/>
        <v>0.20602644947868978</v>
      </c>
      <c r="BO15" s="4">
        <f t="shared" si="90"/>
        <v>8.2510122887834672E-2</v>
      </c>
      <c r="BP15" s="4">
        <f t="shared" si="90"/>
        <v>0.1377744829290439</v>
      </c>
      <c r="BQ15" s="4">
        <f t="shared" si="90"/>
        <v>0.17983246420164525</v>
      </c>
      <c r="BR15" s="4">
        <f t="shared" si="90"/>
        <v>0.11065987340834452</v>
      </c>
      <c r="BS15" s="4">
        <f t="shared" si="90"/>
        <v>7.7243024903200702E-2</v>
      </c>
      <c r="BT15" s="4">
        <f t="shared" si="90"/>
        <v>0.11286107709702693</v>
      </c>
      <c r="BU15" s="4">
        <f t="shared" si="90"/>
        <v>0.13579864643694431</v>
      </c>
      <c r="BW15" s="4">
        <f t="shared" ref="BW15:CC15" si="91">BW14/BW7</f>
        <v>0.10612301089753946</v>
      </c>
      <c r="BX15" s="4">
        <f t="shared" si="91"/>
        <v>0.13443726386735086</v>
      </c>
      <c r="BY15" s="4">
        <f t="shared" si="91"/>
        <v>9.9306449072739639E-2</v>
      </c>
      <c r="BZ15" s="4">
        <f t="shared" si="91"/>
        <v>0.19820373824209836</v>
      </c>
      <c r="CA15" s="4">
        <f t="shared" si="91"/>
        <v>0.17569359430705597</v>
      </c>
      <c r="CB15" s="4">
        <f t="shared" si="91"/>
        <v>0.12582961143926019</v>
      </c>
      <c r="CC15" s="4">
        <f t="shared" si="91"/>
        <v>0.12695246707805763</v>
      </c>
      <c r="CD15" s="4">
        <f t="shared" ref="CD15:CE15" si="92">CD14/CD7</f>
        <v>0.11865887655811072</v>
      </c>
      <c r="CE15" s="4">
        <f t="shared" si="92"/>
        <v>9.293128520262664E-2</v>
      </c>
      <c r="CF15" s="4">
        <f t="shared" ref="CF15:CI15" si="93">CF14/CF7</f>
        <v>8.9639242298790861E-2</v>
      </c>
      <c r="CG15" s="4">
        <f t="shared" si="93"/>
        <v>6.6092902822188243E-2</v>
      </c>
      <c r="CH15" s="4">
        <f t="shared" si="93"/>
        <v>9.0857723418389283E-2</v>
      </c>
      <c r="CI15" s="4">
        <f t="shared" si="93"/>
        <v>3.2656830776951438E-2</v>
      </c>
      <c r="CJ15" s="4">
        <f>CJ14/CJ7</f>
        <v>5.3201181681179606E-2</v>
      </c>
      <c r="CK15" s="4">
        <f>CK14/CK7</f>
        <v>8.2908147011674996E-2</v>
      </c>
      <c r="CL15" s="4">
        <f>CL14/CL7</f>
        <v>0.12906133310442508</v>
      </c>
      <c r="CM15" s="4">
        <f>CM14/CM7</f>
        <v>0.10873870721502571</v>
      </c>
    </row>
    <row r="17" spans="39:73">
      <c r="BC17" s="18"/>
    </row>
    <row r="18" spans="39:73">
      <c r="AM18" s="15"/>
      <c r="AN18" s="16"/>
      <c r="AO18" s="16"/>
      <c r="AP18" s="16"/>
      <c r="AQ18" s="16"/>
      <c r="AZ18" s="18"/>
      <c r="BA18" s="18"/>
      <c r="BB18" s="18"/>
      <c r="BC18" s="18"/>
      <c r="BD18" s="18"/>
      <c r="BE18" s="18"/>
      <c r="BF18" s="18"/>
    </row>
    <row r="19" spans="39:73">
      <c r="AM19" s="16"/>
      <c r="AQ19" s="15"/>
      <c r="AR19" s="16"/>
    </row>
    <row r="20" spans="39:73"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</row>
    <row r="21" spans="39:73">
      <c r="AM21" s="64"/>
      <c r="AN21" s="16"/>
      <c r="AO21" s="16"/>
      <c r="AP21" s="16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36" spans="59:99">
      <c r="CU36" s="54"/>
    </row>
    <row r="43" spans="59:99">
      <c r="BG43" s="6"/>
      <c r="BH43" s="54"/>
      <c r="BI43" s="6"/>
      <c r="BK43" s="6"/>
      <c r="BL43" s="54"/>
      <c r="BM43" s="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3" max="1048575" man="1"/>
  </colBreaks>
  <ignoredErrors>
    <ignoredError sqref="BW8:CF8 BW14:CF14 BW7:CF7 BW6:CF6" formulaRange="1"/>
    <ignoredError sqref="BW9:CF9 BW11:CF11 BW10:CF10 BW13:CF13 BW12:CF12 CG9" formula="1" formulaRange="1"/>
    <ignoredError sqref="CH11:CI11 CG11:CG15 CH9 CH10 CH13:CI13 CH12 CH15:CI15 CH14 CL9:CM9 CL11:CM11 CL13:CM13 CL15:CM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/>
  <dimension ref="B2:CO34"/>
  <sheetViews>
    <sheetView showGridLines="0" zoomScale="80" zoomScaleNormal="80" zoomScaleSheetLayoutView="100" workbookViewId="0">
      <pane xSplit="2" ySplit="5" topLeftCell="BK6" activePane="bottomRight" state="frozen"/>
      <selection activeCell="BV30" sqref="BV30"/>
      <selection pane="topRight" activeCell="BV30" sqref="BV30"/>
      <selection pane="bottomLeft" activeCell="BV30" sqref="BV30"/>
      <selection pane="bottomRight" activeCell="BV30" sqref="BV30"/>
    </sheetView>
  </sheetViews>
  <sheetFormatPr defaultColWidth="9.140625" defaultRowHeight="15"/>
  <cols>
    <col min="1" max="1" width="1.140625" customWidth="1"/>
    <col min="2" max="2" width="52.140625" bestFit="1" customWidth="1"/>
    <col min="3" max="31" width="10.7109375" customWidth="1"/>
    <col min="32" max="41" width="11.28515625" customWidth="1"/>
    <col min="42" max="42" width="11.5703125" customWidth="1"/>
    <col min="43" max="43" width="11.28515625" customWidth="1"/>
    <col min="44" max="45" width="12.28515625" bestFit="1" customWidth="1"/>
    <col min="46" max="73" width="12.28515625" customWidth="1"/>
    <col min="74" max="74" width="11.28515625" customWidth="1"/>
    <col min="75" max="75" width="11.28515625" hidden="1" customWidth="1"/>
    <col min="76" max="79" width="12.28515625" hidden="1" customWidth="1"/>
    <col min="80" max="80" width="11.7109375" hidden="1" customWidth="1"/>
    <col min="81" max="88" width="9.140625" hidden="1" customWidth="1"/>
    <col min="89" max="89" width="10.5703125" hidden="1" customWidth="1"/>
    <col min="90" max="91" width="10.5703125" bestFit="1" customWidth="1"/>
    <col min="92" max="92" width="10.28515625" bestFit="1" customWidth="1"/>
    <col min="93" max="93" width="9.5703125" bestFit="1" customWidth="1"/>
  </cols>
  <sheetData>
    <row r="2" spans="2:93" ht="21">
      <c r="B2" s="31" t="s">
        <v>168</v>
      </c>
    </row>
    <row r="3" spans="2:93" ht="15.75">
      <c r="B3" s="63" t="s">
        <v>169</v>
      </c>
      <c r="BV3" s="63" t="s">
        <v>167</v>
      </c>
    </row>
    <row r="4" spans="2:93" ht="6" customHeight="1" thickBot="1"/>
    <row r="5" spans="2:93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W5" s="8">
        <v>2008</v>
      </c>
      <c r="BX5" s="8">
        <v>2009</v>
      </c>
      <c r="BY5" s="8">
        <v>2010</v>
      </c>
      <c r="BZ5" s="8">
        <v>2011</v>
      </c>
      <c r="CA5" s="8">
        <v>2012</v>
      </c>
      <c r="CB5" s="8">
        <v>2013</v>
      </c>
      <c r="CC5" s="8">
        <v>2014</v>
      </c>
      <c r="CD5" s="8">
        <v>2015</v>
      </c>
      <c r="CE5" s="8">
        <v>2016</v>
      </c>
      <c r="CF5" s="8">
        <v>2017</v>
      </c>
      <c r="CG5" s="8">
        <v>2018</v>
      </c>
      <c r="CH5" s="8">
        <v>2019</v>
      </c>
      <c r="CI5" s="8">
        <v>2020</v>
      </c>
      <c r="CJ5" s="8">
        <v>2021</v>
      </c>
      <c r="CK5" s="8">
        <v>2022</v>
      </c>
      <c r="CL5" s="8">
        <v>2024</v>
      </c>
      <c r="CM5" s="8">
        <v>2025</v>
      </c>
    </row>
    <row r="6" spans="2:93">
      <c r="B6" t="s">
        <v>94</v>
      </c>
      <c r="C6" s="80">
        <f>'Indicadores financeiros'!C12</f>
        <v>40837</v>
      </c>
      <c r="D6" s="80">
        <f>'Indicadores financeiros'!D12</f>
        <v>113253</v>
      </c>
      <c r="E6" s="80">
        <f>'Indicadores financeiros'!E12</f>
        <v>119111</v>
      </c>
      <c r="F6" s="80">
        <f>'Indicadores financeiros'!F12</f>
        <v>64659</v>
      </c>
      <c r="G6" s="80">
        <f>'Indicadores financeiros'!G12</f>
        <v>21939</v>
      </c>
      <c r="H6" s="80">
        <f>'Indicadores financeiros'!H12</f>
        <v>5931</v>
      </c>
      <c r="I6" s="80">
        <f>'Indicadores financeiros'!I12</f>
        <v>-3529</v>
      </c>
      <c r="J6" s="80">
        <f>'Indicadores financeiros'!J12</f>
        <v>4291</v>
      </c>
      <c r="K6" s="80">
        <f>'Indicadores financeiros'!K12</f>
        <v>18424</v>
      </c>
      <c r="L6" s="80">
        <f>'Indicadores financeiros'!L12</f>
        <v>47958</v>
      </c>
      <c r="M6" s="80">
        <f>'Indicadores financeiros'!M12</f>
        <v>37931</v>
      </c>
      <c r="N6" s="80">
        <f>'Indicadores financeiros'!N12</f>
        <v>29657</v>
      </c>
      <c r="O6" s="80">
        <f>'Indicadores financeiros'!O12</f>
        <v>36125</v>
      </c>
      <c r="P6" s="80">
        <f>'Indicadores financeiros'!P12</f>
        <v>25903</v>
      </c>
      <c r="Q6" s="80">
        <f>'Indicadores financeiros'!Q12</f>
        <v>10776</v>
      </c>
      <c r="R6" s="80">
        <f>'Indicadores financeiros'!R12</f>
        <v>18076</v>
      </c>
      <c r="S6" s="80">
        <f>'Indicadores financeiros'!S12</f>
        <v>20475</v>
      </c>
      <c r="T6" s="80">
        <f>'Indicadores financeiros'!T12</f>
        <v>21164</v>
      </c>
      <c r="U6" s="80">
        <f>'Indicadores financeiros'!U12</f>
        <v>30073</v>
      </c>
      <c r="V6" s="80">
        <f>'Indicadores financeiros'!V12</f>
        <v>13832</v>
      </c>
      <c r="W6" s="80">
        <f>'Indicadores financeiros'!W12</f>
        <v>8656</v>
      </c>
      <c r="X6" s="80">
        <f>'Indicadores financeiros'!X12</f>
        <v>19174</v>
      </c>
      <c r="Y6" s="80">
        <f>'Indicadores financeiros'!Y12</f>
        <v>22252</v>
      </c>
      <c r="Z6" s="80">
        <f>'Indicadores financeiros'!Z12</f>
        <v>23645</v>
      </c>
      <c r="AA6" s="80">
        <f>'Indicadores financeiros'!AA12</f>
        <v>28259</v>
      </c>
      <c r="AB6" s="80">
        <f>'Indicadores financeiros'!AB12</f>
        <v>28731</v>
      </c>
      <c r="AC6" s="80">
        <f>'Indicadores financeiros'!AC12</f>
        <v>20556</v>
      </c>
      <c r="AD6" s="80">
        <f>'Indicadores financeiros'!AD12</f>
        <v>14149</v>
      </c>
      <c r="AE6" s="80">
        <f>'Indicadores financeiros'!AE12</f>
        <v>33591</v>
      </c>
      <c r="AF6" s="80">
        <f>'Indicadores financeiros'!AF12</f>
        <v>79361</v>
      </c>
      <c r="AG6" s="80">
        <f>'Indicadores financeiros'!AG12</f>
        <v>41724</v>
      </c>
      <c r="AH6" s="80">
        <f>'Indicadores financeiros'!AH12</f>
        <v>19024</v>
      </c>
      <c r="AI6" s="80">
        <f>'Indicadores financeiros'!AI12</f>
        <v>12589</v>
      </c>
      <c r="AJ6" s="80">
        <f>'Indicadores financeiros'!AJ12</f>
        <v>-21296</v>
      </c>
      <c r="AK6" s="80">
        <f>'Indicadores financeiros'!AK12</f>
        <v>6556</v>
      </c>
      <c r="AL6" s="80">
        <f>'Indicadores financeiros'!AL12</f>
        <v>72333</v>
      </c>
      <c r="AM6" s="80">
        <f>'Indicadores financeiros'!AM12</f>
        <v>80125</v>
      </c>
      <c r="AN6" s="80">
        <v>63785</v>
      </c>
      <c r="AO6" s="80">
        <v>64391</v>
      </c>
      <c r="AP6" s="80">
        <f>'Indicadores financeiros'!AP12</f>
        <v>61961</v>
      </c>
      <c r="AQ6" s="80">
        <v>63492</v>
      </c>
      <c r="AR6" s="80">
        <v>76431</v>
      </c>
      <c r="AS6" s="80">
        <v>149258</v>
      </c>
      <c r="AT6" s="80">
        <v>20007</v>
      </c>
      <c r="AU6" s="80">
        <f>DRE!AU21</f>
        <v>46059</v>
      </c>
      <c r="AV6" s="80">
        <f>DRE!AV21</f>
        <v>31789</v>
      </c>
      <c r="AW6" s="80">
        <f>DRE!AW21</f>
        <v>144691</v>
      </c>
      <c r="AX6" s="80">
        <f>DRE!AX21</f>
        <v>-1006</v>
      </c>
      <c r="AY6" s="80">
        <f>DRE!AY21</f>
        <v>-566</v>
      </c>
      <c r="AZ6" s="80">
        <f>DRE!AZ21</f>
        <v>21533</v>
      </c>
      <c r="BA6" s="80">
        <f>DRE!BA21</f>
        <v>11554</v>
      </c>
      <c r="BB6" s="80">
        <f>DRE!BB21-2</f>
        <v>37491</v>
      </c>
      <c r="BC6" s="80">
        <f>DRE!BC21</f>
        <v>59035</v>
      </c>
      <c r="BD6" s="80">
        <f>DRE!BD21</f>
        <v>114264</v>
      </c>
      <c r="BE6" s="80">
        <f>DRE!BE21</f>
        <v>233034</v>
      </c>
      <c r="BF6" s="80">
        <f>DRE!BF21</f>
        <v>236574</v>
      </c>
      <c r="BG6" s="80">
        <f>DRE!BG21</f>
        <v>252265</v>
      </c>
      <c r="BH6" s="80">
        <f>DRE!BH21</f>
        <v>380907</v>
      </c>
      <c r="BI6" s="80">
        <f>DRE!BI21</f>
        <v>277310</v>
      </c>
      <c r="BJ6" s="80">
        <f>DRE!BJ21</f>
        <v>151992</v>
      </c>
      <c r="BK6" s="80">
        <f>DRE!BK21</f>
        <v>131560</v>
      </c>
      <c r="BL6" s="80">
        <f>DRE!BL21</f>
        <v>121775</v>
      </c>
      <c r="BM6" s="80">
        <f>DRE!BM21</f>
        <v>74527</v>
      </c>
      <c r="BN6" s="80">
        <f>DRE!BN21</f>
        <v>55023</v>
      </c>
      <c r="BO6" s="80">
        <f>DRE!BO21</f>
        <v>41205</v>
      </c>
      <c r="BP6" s="80">
        <f>DRE!BP21</f>
        <v>56731</v>
      </c>
      <c r="BQ6" s="80">
        <f>DRE!BQ21</f>
        <v>103551</v>
      </c>
      <c r="BR6" s="80">
        <f>DRE!BR21</f>
        <v>126267</v>
      </c>
      <c r="BS6" s="80">
        <f>DRE!BS21</f>
        <v>24248</v>
      </c>
      <c r="BT6" s="80">
        <f>DRE!BT21</f>
        <v>18689</v>
      </c>
      <c r="BU6" s="80">
        <f>DRE!BU21</f>
        <v>45959</v>
      </c>
      <c r="BV6" s="21"/>
      <c r="BW6" s="21">
        <f t="shared" ref="BW6:BW23" si="0">SUM(C6:F6)</f>
        <v>337860</v>
      </c>
      <c r="BX6" s="21">
        <f t="shared" ref="BX6:BX23" si="1">SUM(G6:J6)</f>
        <v>28632</v>
      </c>
      <c r="BY6" s="21">
        <f t="shared" ref="BY6:BY23" si="2">SUM(K6:N6)</f>
        <v>133970</v>
      </c>
      <c r="BZ6" s="21">
        <f t="shared" ref="BZ6:BZ23" si="3">SUM(O6:R6)</f>
        <v>90880</v>
      </c>
      <c r="CA6" s="21">
        <f t="shared" ref="CA6:CA23" si="4">SUM(S6:V6)</f>
        <v>85544</v>
      </c>
      <c r="CB6" s="21">
        <f t="shared" ref="CB6:CB23" si="5">SUM(W6:Z6)</f>
        <v>73727</v>
      </c>
      <c r="CC6" s="21">
        <f t="shared" ref="CC6:CC24" si="6">SUM(AA6:AD6)</f>
        <v>91695</v>
      </c>
      <c r="CD6" s="21">
        <f t="shared" ref="CD6:CD24" si="7">SUM(AE6:AH6)</f>
        <v>173700</v>
      </c>
      <c r="CE6" s="21">
        <f t="shared" ref="CE6:CE24" si="8">SUM(AI6:AL6)</f>
        <v>70182</v>
      </c>
      <c r="CF6" s="21">
        <f t="shared" ref="CF6:CF24" si="9">SUM(AM6:AP6)</f>
        <v>270262</v>
      </c>
      <c r="CG6" s="21">
        <f t="shared" ref="CG6:CG24" si="10">SUM(AQ6:AT6)</f>
        <v>309188</v>
      </c>
      <c r="CH6" s="21">
        <f>SUM(AU6:AX6)</f>
        <v>221533</v>
      </c>
      <c r="CI6" s="21">
        <f>SUM(AY6:BB6)</f>
        <v>70012</v>
      </c>
      <c r="CJ6" s="21">
        <f>SUM(BC6:BF6)</f>
        <v>642907</v>
      </c>
      <c r="CK6" s="21">
        <f>SUM(BG6:BJ6)</f>
        <v>1062474</v>
      </c>
      <c r="CL6" s="21">
        <f>SUM(BO6:BR6)</f>
        <v>327754</v>
      </c>
      <c r="CM6" s="21">
        <f>SUM(BS6:BU6)</f>
        <v>88896</v>
      </c>
    </row>
    <row r="7" spans="2:93">
      <c r="B7" t="s">
        <v>106</v>
      </c>
      <c r="C7" s="21">
        <v>10114</v>
      </c>
      <c r="D7" s="21">
        <v>21166</v>
      </c>
      <c r="E7" s="21">
        <v>14745</v>
      </c>
      <c r="F7" s="21">
        <v>15026</v>
      </c>
      <c r="G7" s="21">
        <v>6047</v>
      </c>
      <c r="H7" s="21">
        <v>4025</v>
      </c>
      <c r="I7" s="21">
        <v>2051</v>
      </c>
      <c r="J7" s="21">
        <v>-1688</v>
      </c>
      <c r="K7" s="21">
        <v>5677</v>
      </c>
      <c r="L7" s="21">
        <v>11202</v>
      </c>
      <c r="M7" s="21">
        <v>9702</v>
      </c>
      <c r="N7" s="21">
        <v>1243</v>
      </c>
      <c r="O7" s="21">
        <v>8906</v>
      </c>
      <c r="P7" s="21">
        <v>6833</v>
      </c>
      <c r="Q7" s="21">
        <v>5913</v>
      </c>
      <c r="R7" s="21">
        <v>-3495</v>
      </c>
      <c r="S7" s="21">
        <v>6508</v>
      </c>
      <c r="T7" s="21">
        <v>8137</v>
      </c>
      <c r="U7" s="21">
        <v>4732</v>
      </c>
      <c r="V7" s="21">
        <v>-7171</v>
      </c>
      <c r="W7" s="21">
        <v>4078</v>
      </c>
      <c r="X7" s="21">
        <v>4425</v>
      </c>
      <c r="Y7" s="21">
        <v>6158</v>
      </c>
      <c r="Z7" s="21">
        <v>4749</v>
      </c>
      <c r="AA7" s="21">
        <v>4605</v>
      </c>
      <c r="AB7" s="21">
        <v>7409</v>
      </c>
      <c r="AC7" s="21">
        <f>-DRE!AC20</f>
        <v>779</v>
      </c>
      <c r="AD7" s="21">
        <f>11658-12793</f>
        <v>-1135</v>
      </c>
      <c r="AE7" s="21">
        <v>8143</v>
      </c>
      <c r="AF7" s="21">
        <v>12223</v>
      </c>
      <c r="AG7" s="21">
        <v>-5615</v>
      </c>
      <c r="AH7" s="21">
        <v>2936</v>
      </c>
      <c r="AI7" s="21">
        <v>8599</v>
      </c>
      <c r="AJ7" s="21">
        <v>-8491</v>
      </c>
      <c r="AK7" s="21">
        <v>-15922</v>
      </c>
      <c r="AL7" s="21">
        <v>-12467</v>
      </c>
      <c r="AM7" s="21">
        <v>22226</v>
      </c>
      <c r="AN7" s="21">
        <v>13527</v>
      </c>
      <c r="AO7" s="21">
        <v>-7994</v>
      </c>
      <c r="AP7" s="21">
        <v>10867</v>
      </c>
      <c r="AQ7" s="21">
        <v>17567</v>
      </c>
      <c r="AR7" s="21">
        <v>11120</v>
      </c>
      <c r="AS7" s="21">
        <v>27051</v>
      </c>
      <c r="AT7" s="21">
        <v>-15026</v>
      </c>
      <c r="AU7" s="21">
        <f>-DRE!AU20</f>
        <v>9481</v>
      </c>
      <c r="AV7" s="21">
        <f>-DRE!AV20</f>
        <v>1915</v>
      </c>
      <c r="AW7" s="21">
        <f>-DRE!AW20</f>
        <v>34812</v>
      </c>
      <c r="AX7" s="21">
        <f>-DRE!AX20</f>
        <v>-12361</v>
      </c>
      <c r="AY7" s="21">
        <f>-DRE!AY20</f>
        <v>7977</v>
      </c>
      <c r="AZ7" s="21">
        <f>-DRE!AZ20</f>
        <v>5716</v>
      </c>
      <c r="BA7" s="21">
        <f>-DRE!BA20</f>
        <v>-2154</v>
      </c>
      <c r="BB7" s="21">
        <f>-DRE!BB20</f>
        <v>-9688</v>
      </c>
      <c r="BC7" s="21">
        <f>-DRE!BC20</f>
        <v>12395</v>
      </c>
      <c r="BD7" s="21">
        <f>-DRE!BD20</f>
        <v>18105</v>
      </c>
      <c r="BE7" s="21">
        <f>-DRE!BE20</f>
        <v>-9583</v>
      </c>
      <c r="BF7" s="21">
        <f>-DRE!BF20</f>
        <v>37837</v>
      </c>
      <c r="BG7" s="21">
        <f>-DRE!BG20</f>
        <v>48867</v>
      </c>
      <c r="BH7" s="21">
        <f>-DRE!BH20</f>
        <v>57060</v>
      </c>
      <c r="BI7" s="21">
        <f>-DRE!BI20</f>
        <v>45879</v>
      </c>
      <c r="BJ7" s="21">
        <f>-DRE!BJ20</f>
        <v>30082</v>
      </c>
      <c r="BK7" s="21">
        <f>-DRE!BK20</f>
        <v>33546</v>
      </c>
      <c r="BL7" s="21">
        <f>-DRE!BL20</f>
        <v>5710</v>
      </c>
      <c r="BM7" s="21">
        <f>-DRE!BM20</f>
        <v>9182</v>
      </c>
      <c r="BN7" s="21">
        <f>-DRE!BN20</f>
        <v>-11686</v>
      </c>
      <c r="BO7" s="21">
        <f>-DRE!BO20</f>
        <v>20695</v>
      </c>
      <c r="BP7" s="21">
        <f>-DRE!BP20</f>
        <v>13318</v>
      </c>
      <c r="BQ7" s="21">
        <f>-DRE!BQ20</f>
        <v>-13759</v>
      </c>
      <c r="BR7" s="21">
        <f>-DRE!BR20</f>
        <v>-28173</v>
      </c>
      <c r="BS7" s="21">
        <f>-DRE!BS20</f>
        <v>15494</v>
      </c>
      <c r="BT7" s="21">
        <f>-DRE!BT20</f>
        <v>11261</v>
      </c>
      <c r="BU7" s="21">
        <f>-DRE!BU20</f>
        <v>13472</v>
      </c>
      <c r="BV7" s="21"/>
      <c r="BW7" s="21">
        <f t="shared" si="0"/>
        <v>61051</v>
      </c>
      <c r="BX7" s="21">
        <f t="shared" si="1"/>
        <v>10435</v>
      </c>
      <c r="BY7" s="21">
        <f t="shared" si="2"/>
        <v>27824</v>
      </c>
      <c r="BZ7" s="21">
        <f t="shared" si="3"/>
        <v>18157</v>
      </c>
      <c r="CA7" s="21">
        <f t="shared" si="4"/>
        <v>12206</v>
      </c>
      <c r="CB7" s="21">
        <f t="shared" si="5"/>
        <v>19410</v>
      </c>
      <c r="CC7" s="21">
        <f t="shared" si="6"/>
        <v>11658</v>
      </c>
      <c r="CD7" s="21">
        <f t="shared" si="7"/>
        <v>17687</v>
      </c>
      <c r="CE7" s="21">
        <f t="shared" si="8"/>
        <v>-28281</v>
      </c>
      <c r="CF7" s="21">
        <f t="shared" si="9"/>
        <v>38626</v>
      </c>
      <c r="CG7" s="21">
        <f t="shared" si="10"/>
        <v>40712</v>
      </c>
      <c r="CH7" s="21">
        <f t="shared" ref="CH7:CH24" si="11">SUM(AU7:AX7)</f>
        <v>33847</v>
      </c>
      <c r="CI7" s="21">
        <f>SUM(AY7:BB7)</f>
        <v>1851</v>
      </c>
      <c r="CJ7" s="21">
        <f t="shared" ref="CJ7:CJ23" si="12">SUM(BC7:BF7)</f>
        <v>58754</v>
      </c>
      <c r="CK7" s="21">
        <f t="shared" ref="CK7:CK24" si="13">SUM(BG7:BJ7)</f>
        <v>181888</v>
      </c>
      <c r="CL7" s="21">
        <f t="shared" ref="CL7:CL24" si="14">SUM(BO7:BR7)</f>
        <v>-7919</v>
      </c>
      <c r="CM7" s="21">
        <f t="shared" ref="CM7:CM23" si="15">SUM(BS7:BU7)</f>
        <v>40227</v>
      </c>
    </row>
    <row r="8" spans="2:93">
      <c r="B8" t="s">
        <v>105</v>
      </c>
      <c r="C8" s="70">
        <v>-4485</v>
      </c>
      <c r="D8" s="70">
        <v>-4785</v>
      </c>
      <c r="E8" s="70">
        <v>-12613</v>
      </c>
      <c r="F8" s="70">
        <v>-14773</v>
      </c>
      <c r="G8" s="70">
        <v>-9926</v>
      </c>
      <c r="H8" s="70">
        <v>-10546</v>
      </c>
      <c r="I8" s="70">
        <v>-8430</v>
      </c>
      <c r="J8" s="70">
        <v>-10860</v>
      </c>
      <c r="K8" s="70">
        <v>-7927</v>
      </c>
      <c r="L8" s="70">
        <v>-9543</v>
      </c>
      <c r="M8" s="70">
        <v>-12001</v>
      </c>
      <c r="N8" s="70">
        <v>-6367</v>
      </c>
      <c r="O8" s="70">
        <v>-10391</v>
      </c>
      <c r="P8" s="70">
        <v>-10990</v>
      </c>
      <c r="Q8" s="70">
        <v>-10525</v>
      </c>
      <c r="R8" s="70">
        <v>-14804</v>
      </c>
      <c r="S8" s="70">
        <v>-10329</v>
      </c>
      <c r="T8" s="70">
        <v>-6188</v>
      </c>
      <c r="U8" s="70">
        <v>-5733</v>
      </c>
      <c r="V8" s="70">
        <v>-5532</v>
      </c>
      <c r="W8" s="70">
        <v>-2638</v>
      </c>
      <c r="X8" s="70">
        <v>-4623</v>
      </c>
      <c r="Y8" s="70">
        <v>-2926</v>
      </c>
      <c r="Z8" s="70">
        <v>-6484</v>
      </c>
      <c r="AA8" s="70">
        <v>-4802</v>
      </c>
      <c r="AB8" s="70">
        <v>-6877</v>
      </c>
      <c r="AC8" s="70">
        <f>-DRE!AC16</f>
        <v>-9315</v>
      </c>
      <c r="AD8" s="70">
        <f>-29067+20994</f>
        <v>-8073</v>
      </c>
      <c r="AE8" s="70">
        <v>7762</v>
      </c>
      <c r="AF8" s="70">
        <v>-14345</v>
      </c>
      <c r="AG8" s="70">
        <v>28202</v>
      </c>
      <c r="AH8" s="70">
        <v>2681</v>
      </c>
      <c r="AI8" s="70">
        <v>14528</v>
      </c>
      <c r="AJ8" s="70">
        <v>-3681</v>
      </c>
      <c r="AK8" s="70">
        <v>-22498</v>
      </c>
      <c r="AL8" s="70">
        <v>-25436</v>
      </c>
      <c r="AM8" s="70">
        <v>-22020</v>
      </c>
      <c r="AN8" s="70">
        <v>-16400</v>
      </c>
      <c r="AO8" s="70">
        <v>-16019</v>
      </c>
      <c r="AP8" s="70">
        <v>-8435</v>
      </c>
      <c r="AQ8" s="70">
        <v>-7660</v>
      </c>
      <c r="AR8" s="70">
        <f>4233+100+200</f>
        <v>4533</v>
      </c>
      <c r="AS8" s="70">
        <v>15752</v>
      </c>
      <c r="AT8" s="70">
        <v>13249</v>
      </c>
      <c r="AU8" s="70">
        <f>-DRE!AU16</f>
        <v>-1680</v>
      </c>
      <c r="AV8" s="70">
        <f>-DRE!AV16</f>
        <v>899</v>
      </c>
      <c r="AW8" s="70">
        <f>-DRE!AW16</f>
        <v>-83313</v>
      </c>
      <c r="AX8" s="70">
        <f>-DRE!AX16</f>
        <v>7956</v>
      </c>
      <c r="AY8" s="70">
        <f>-DRE!AY16</f>
        <v>23188</v>
      </c>
      <c r="AZ8" s="70">
        <f>-DRE!AZ16</f>
        <v>62353</v>
      </c>
      <c r="BA8" s="70">
        <f>-DRE!BA16</f>
        <v>69362</v>
      </c>
      <c r="BB8" s="70">
        <f>-DRE!BB16+2</f>
        <v>52131</v>
      </c>
      <c r="BC8" s="70">
        <f>-DRE!BC16</f>
        <v>47805</v>
      </c>
      <c r="BD8" s="70">
        <f>-DRE!BD16</f>
        <v>36453</v>
      </c>
      <c r="BE8" s="70">
        <f>-DRE!BE16</f>
        <v>3694</v>
      </c>
      <c r="BF8" s="70">
        <f>-DRE!BF16</f>
        <v>11229</v>
      </c>
      <c r="BG8" s="70">
        <f>-DRE!BG16</f>
        <v>12738</v>
      </c>
      <c r="BH8" s="70">
        <f>-DRE!BH16</f>
        <v>-29666</v>
      </c>
      <c r="BI8" s="70">
        <f>-DRE!BI16</f>
        <v>-31356</v>
      </c>
      <c r="BJ8" s="70">
        <f>-DRE!BJ16</f>
        <v>-35109</v>
      </c>
      <c r="BK8" s="70">
        <f>-DRE!BK16</f>
        <v>-23256</v>
      </c>
      <c r="BL8" s="70">
        <f>-DRE!BL16</f>
        <v>-29505</v>
      </c>
      <c r="BM8" s="70">
        <f>-DRE!BM16</f>
        <v>-36225</v>
      </c>
      <c r="BN8" s="70">
        <f>-DRE!BN16</f>
        <v>-26920</v>
      </c>
      <c r="BO8" s="70">
        <f>-DRE!BO16</f>
        <v>-27706</v>
      </c>
      <c r="BP8" s="70">
        <f>-DRE!BP16</f>
        <v>-21474</v>
      </c>
      <c r="BQ8" s="70">
        <f>-DRE!BQ16</f>
        <v>-25252</v>
      </c>
      <c r="BR8" s="70">
        <f>-DRE!BR16</f>
        <v>-73474</v>
      </c>
      <c r="BS8" s="70">
        <v>-38718</v>
      </c>
      <c r="BT8" s="70">
        <v>-23913</v>
      </c>
      <c r="BU8" s="70">
        <v>-23788</v>
      </c>
      <c r="BV8" s="21"/>
      <c r="BW8" s="70">
        <f t="shared" si="0"/>
        <v>-36656</v>
      </c>
      <c r="BX8" s="70">
        <f t="shared" si="1"/>
        <v>-39762</v>
      </c>
      <c r="BY8" s="70">
        <f t="shared" si="2"/>
        <v>-35838</v>
      </c>
      <c r="BZ8" s="70">
        <f t="shared" si="3"/>
        <v>-46710</v>
      </c>
      <c r="CA8" s="70">
        <f t="shared" si="4"/>
        <v>-27782</v>
      </c>
      <c r="CB8" s="70">
        <f t="shared" si="5"/>
        <v>-16671</v>
      </c>
      <c r="CC8" s="70">
        <f t="shared" si="6"/>
        <v>-29067</v>
      </c>
      <c r="CD8" s="70">
        <f t="shared" si="7"/>
        <v>24300</v>
      </c>
      <c r="CE8" s="70">
        <f t="shared" si="8"/>
        <v>-37087</v>
      </c>
      <c r="CF8" s="70">
        <f t="shared" si="9"/>
        <v>-62874</v>
      </c>
      <c r="CG8" s="21">
        <f t="shared" si="10"/>
        <v>25874</v>
      </c>
      <c r="CH8" s="21">
        <f t="shared" si="11"/>
        <v>-76138</v>
      </c>
      <c r="CI8" s="21">
        <f>SUM(AY8:BB8)</f>
        <v>207034</v>
      </c>
      <c r="CJ8" s="21">
        <f t="shared" si="12"/>
        <v>99181</v>
      </c>
      <c r="CK8" s="21">
        <f t="shared" si="13"/>
        <v>-83393</v>
      </c>
      <c r="CL8" s="21">
        <f t="shared" si="14"/>
        <v>-147906</v>
      </c>
      <c r="CM8" s="21">
        <f t="shared" si="15"/>
        <v>-86419</v>
      </c>
    </row>
    <row r="9" spans="2:93" ht="15.75" thickBot="1">
      <c r="B9" t="s">
        <v>205</v>
      </c>
      <c r="C9" s="2">
        <v>5743</v>
      </c>
      <c r="D9" s="2">
        <v>5956</v>
      </c>
      <c r="E9" s="2">
        <v>6629</v>
      </c>
      <c r="F9" s="2">
        <v>9147</v>
      </c>
      <c r="G9" s="2">
        <v>7624</v>
      </c>
      <c r="H9" s="2">
        <v>7622</v>
      </c>
      <c r="I9" s="2">
        <v>6881</v>
      </c>
      <c r="J9" s="2">
        <v>7648</v>
      </c>
      <c r="K9" s="2">
        <v>5535</v>
      </c>
      <c r="L9" s="2">
        <v>13593</v>
      </c>
      <c r="M9" s="2">
        <v>6205</v>
      </c>
      <c r="N9" s="2">
        <v>4784</v>
      </c>
      <c r="O9" s="2">
        <v>7494</v>
      </c>
      <c r="P9" s="2">
        <v>10565</v>
      </c>
      <c r="Q9" s="2">
        <v>8321</v>
      </c>
      <c r="R9" s="2">
        <v>12183</v>
      </c>
      <c r="S9" s="2">
        <v>8654</v>
      </c>
      <c r="T9" s="2">
        <v>10416</v>
      </c>
      <c r="U9" s="2">
        <f>10987+100</f>
        <v>11087</v>
      </c>
      <c r="V9" s="2">
        <f>12026-100</f>
        <v>11926</v>
      </c>
      <c r="W9" s="2">
        <v>11049</v>
      </c>
      <c r="X9" s="2">
        <v>10475</v>
      </c>
      <c r="Y9" s="2">
        <v>11832</v>
      </c>
      <c r="Z9" s="2">
        <v>12210</v>
      </c>
      <c r="AA9" s="2">
        <v>11180</v>
      </c>
      <c r="AB9" s="2">
        <v>10847</v>
      </c>
      <c r="AC9" s="2">
        <f>15349-3000-89</f>
        <v>12260</v>
      </c>
      <c r="AD9" s="2">
        <v>11860</v>
      </c>
      <c r="AE9" s="2">
        <v>11218</v>
      </c>
      <c r="AF9" s="2">
        <v>9631</v>
      </c>
      <c r="AG9" s="2">
        <v>8959</v>
      </c>
      <c r="AH9" s="2">
        <v>10190</v>
      </c>
      <c r="AI9" s="2">
        <v>15950</v>
      </c>
      <c r="AJ9" s="2">
        <v>16249</v>
      </c>
      <c r="AK9" s="2">
        <v>14980</v>
      </c>
      <c r="AL9" s="61">
        <v>13728</v>
      </c>
      <c r="AM9" s="61">
        <v>20734</v>
      </c>
      <c r="AN9" s="61">
        <v>17129</v>
      </c>
      <c r="AO9" s="61">
        <v>20390</v>
      </c>
      <c r="AP9" s="61">
        <v>27947</v>
      </c>
      <c r="AQ9" s="58">
        <v>20376</v>
      </c>
      <c r="AR9" s="58">
        <f>54554-23076+4400</f>
        <v>35878</v>
      </c>
      <c r="AS9" s="58">
        <v>29891</v>
      </c>
      <c r="AT9" s="58">
        <f>32825-4400</f>
        <v>28425</v>
      </c>
      <c r="AU9" s="93">
        <f>'Fluxo de caixa'!AU9+1104</f>
        <v>34880</v>
      </c>
      <c r="AV9" s="93">
        <f>'Fluxo de caixa'!AV9-AU9+2209+1104</f>
        <v>39573</v>
      </c>
      <c r="AW9" s="58">
        <f>104147-AV9-AU9+1104*3</f>
        <v>33006</v>
      </c>
      <c r="AX9" s="58">
        <f>147650-SUM(AU9:AW9)+300</f>
        <v>40491</v>
      </c>
      <c r="AY9" s="58">
        <f>36787</f>
        <v>36787</v>
      </c>
      <c r="AZ9" s="58">
        <f>'Fluxo de caixa'!AZ9+'Fluxo de caixa'!AZ10+2210-AY9</f>
        <v>41005</v>
      </c>
      <c r="BA9" s="58">
        <f>'Fluxo de caixa'!BA9+'Fluxo de caixa'!BA10+2210-133-AZ9-AY9</f>
        <v>37564</v>
      </c>
      <c r="BB9" s="58">
        <f>150242-AY9-AZ9-BA9</f>
        <v>34886</v>
      </c>
      <c r="BC9" s="58">
        <v>32455</v>
      </c>
      <c r="BD9" s="58">
        <f>67420-BC9</f>
        <v>34965</v>
      </c>
      <c r="BE9" s="58">
        <f>99766-BC9-BD9</f>
        <v>32346</v>
      </c>
      <c r="BF9" s="58">
        <f>133966-BC9-BD9-BE9</f>
        <v>34200</v>
      </c>
      <c r="BG9" s="58">
        <v>33676</v>
      </c>
      <c r="BH9" s="58">
        <f>70665-BG9</f>
        <v>36989</v>
      </c>
      <c r="BI9" s="58">
        <f>104903-BG9-BH9</f>
        <v>34238</v>
      </c>
      <c r="BJ9" s="58">
        <f>142611-BH9-BI9-BG9</f>
        <v>37708</v>
      </c>
      <c r="BK9" s="58">
        <v>45945</v>
      </c>
      <c r="BL9" s="58">
        <f>92656-BK9</f>
        <v>46711</v>
      </c>
      <c r="BM9" s="58">
        <f>(3314+34146+76157+4229+22679)-BK9-BL9</f>
        <v>47869</v>
      </c>
      <c r="BN9" s="58">
        <f>(4418+42299+103766+5529+31934)-BK9-BL9-BM9</f>
        <v>47421</v>
      </c>
      <c r="BO9" s="58">
        <f>43091+1104</f>
        <v>44195</v>
      </c>
      <c r="BP9" s="58">
        <v>49133</v>
      </c>
      <c r="BQ9" s="58">
        <f>171091-BP9-BO9</f>
        <v>77763</v>
      </c>
      <c r="BR9" s="58">
        <v>57742</v>
      </c>
      <c r="BS9" s="58">
        <f>1104+14984+33017+1724+8737</f>
        <v>59566</v>
      </c>
      <c r="BT9" s="58">
        <v>57892</v>
      </c>
      <c r="BU9" s="58">
        <v>58298</v>
      </c>
      <c r="BV9" s="21"/>
      <c r="BW9" s="2">
        <f t="shared" si="0"/>
        <v>27475</v>
      </c>
      <c r="BX9" s="2">
        <f t="shared" si="1"/>
        <v>29775</v>
      </c>
      <c r="BY9" s="2">
        <f t="shared" si="2"/>
        <v>30117</v>
      </c>
      <c r="BZ9" s="2">
        <f t="shared" si="3"/>
        <v>38563</v>
      </c>
      <c r="CA9" s="2">
        <f t="shared" si="4"/>
        <v>42083</v>
      </c>
      <c r="CB9" s="2">
        <f t="shared" si="5"/>
        <v>45566</v>
      </c>
      <c r="CC9" s="2">
        <f t="shared" si="6"/>
        <v>46147</v>
      </c>
      <c r="CD9" s="2">
        <f t="shared" si="7"/>
        <v>39998</v>
      </c>
      <c r="CE9" s="2">
        <f t="shared" si="8"/>
        <v>60907</v>
      </c>
      <c r="CF9" s="69">
        <f t="shared" si="9"/>
        <v>86200</v>
      </c>
      <c r="CG9" s="21">
        <f t="shared" si="10"/>
        <v>114570</v>
      </c>
      <c r="CH9" s="21">
        <f t="shared" si="11"/>
        <v>147950</v>
      </c>
      <c r="CI9" s="21">
        <f t="shared" ref="CI9:CI23" si="16">SUM(AY9:BB9)</f>
        <v>150242</v>
      </c>
      <c r="CJ9" s="21">
        <f>SUM(BC9:BF9)</f>
        <v>133966</v>
      </c>
      <c r="CK9" s="21">
        <f t="shared" si="13"/>
        <v>142611</v>
      </c>
      <c r="CL9" s="21">
        <f t="shared" si="14"/>
        <v>228833</v>
      </c>
      <c r="CM9" s="21">
        <f t="shared" si="15"/>
        <v>175756</v>
      </c>
      <c r="CN9" s="16"/>
      <c r="CO9" s="16"/>
    </row>
    <row r="10" spans="2:93" ht="15.75" thickBot="1">
      <c r="B10" s="9" t="s">
        <v>49</v>
      </c>
      <c r="C10" s="12">
        <f t="shared" ref="C10:AT10" si="17">SUM(C6:C9)</f>
        <v>52209</v>
      </c>
      <c r="D10" s="12">
        <f t="shared" si="17"/>
        <v>135590</v>
      </c>
      <c r="E10" s="12">
        <f t="shared" si="17"/>
        <v>127872</v>
      </c>
      <c r="F10" s="12">
        <f t="shared" si="17"/>
        <v>74059</v>
      </c>
      <c r="G10" s="12">
        <f t="shared" si="17"/>
        <v>25684</v>
      </c>
      <c r="H10" s="12">
        <f t="shared" si="17"/>
        <v>7032</v>
      </c>
      <c r="I10" s="12">
        <f t="shared" si="17"/>
        <v>-3027</v>
      </c>
      <c r="J10" s="12">
        <f t="shared" si="17"/>
        <v>-609</v>
      </c>
      <c r="K10" s="12">
        <f t="shared" si="17"/>
        <v>21709</v>
      </c>
      <c r="L10" s="12">
        <f t="shared" si="17"/>
        <v>63210</v>
      </c>
      <c r="M10" s="12">
        <f t="shared" si="17"/>
        <v>41837</v>
      </c>
      <c r="N10" s="12">
        <f t="shared" si="17"/>
        <v>29317</v>
      </c>
      <c r="O10" s="12">
        <f t="shared" si="17"/>
        <v>42134</v>
      </c>
      <c r="P10" s="12">
        <f t="shared" si="17"/>
        <v>32311</v>
      </c>
      <c r="Q10" s="12">
        <f t="shared" si="17"/>
        <v>14485</v>
      </c>
      <c r="R10" s="12">
        <f t="shared" si="17"/>
        <v>11960</v>
      </c>
      <c r="S10" s="12">
        <f t="shared" si="17"/>
        <v>25308</v>
      </c>
      <c r="T10" s="12">
        <f t="shared" si="17"/>
        <v>33529</v>
      </c>
      <c r="U10" s="12">
        <f t="shared" si="17"/>
        <v>40159</v>
      </c>
      <c r="V10" s="12">
        <f t="shared" si="17"/>
        <v>13055</v>
      </c>
      <c r="W10" s="12">
        <f t="shared" si="17"/>
        <v>21145</v>
      </c>
      <c r="X10" s="12">
        <f t="shared" si="17"/>
        <v>29451</v>
      </c>
      <c r="Y10" s="12">
        <f t="shared" si="17"/>
        <v>37316</v>
      </c>
      <c r="Z10" s="12">
        <f t="shared" si="17"/>
        <v>34120</v>
      </c>
      <c r="AA10" s="12">
        <f t="shared" si="17"/>
        <v>39242</v>
      </c>
      <c r="AB10" s="12">
        <f t="shared" si="17"/>
        <v>40110</v>
      </c>
      <c r="AC10" s="12">
        <f t="shared" si="17"/>
        <v>24280</v>
      </c>
      <c r="AD10" s="12">
        <f t="shared" si="17"/>
        <v>16801</v>
      </c>
      <c r="AE10" s="12">
        <f t="shared" si="17"/>
        <v>60714</v>
      </c>
      <c r="AF10" s="12">
        <f t="shared" si="17"/>
        <v>86870</v>
      </c>
      <c r="AG10" s="12">
        <f t="shared" si="17"/>
        <v>73270</v>
      </c>
      <c r="AH10" s="12">
        <f t="shared" si="17"/>
        <v>34831</v>
      </c>
      <c r="AI10" s="12">
        <f t="shared" si="17"/>
        <v>51666</v>
      </c>
      <c r="AJ10" s="12">
        <f t="shared" si="17"/>
        <v>-17219</v>
      </c>
      <c r="AK10" s="12">
        <f t="shared" si="17"/>
        <v>-16884</v>
      </c>
      <c r="AL10" s="12">
        <f t="shared" si="17"/>
        <v>48158</v>
      </c>
      <c r="AM10" s="12">
        <f t="shared" si="17"/>
        <v>101065</v>
      </c>
      <c r="AN10" s="12">
        <f t="shared" si="17"/>
        <v>78041</v>
      </c>
      <c r="AO10" s="12">
        <f t="shared" si="17"/>
        <v>60768</v>
      </c>
      <c r="AP10" s="12">
        <f t="shared" si="17"/>
        <v>92340</v>
      </c>
      <c r="AQ10" s="12">
        <f t="shared" si="17"/>
        <v>93775</v>
      </c>
      <c r="AR10" s="12">
        <f t="shared" si="17"/>
        <v>127962</v>
      </c>
      <c r="AS10" s="12">
        <f t="shared" si="17"/>
        <v>221952</v>
      </c>
      <c r="AT10" s="12">
        <f t="shared" si="17"/>
        <v>46655</v>
      </c>
      <c r="AU10" s="12">
        <f t="shared" ref="AU10" si="18">SUM(AU6:AU9)</f>
        <v>88740</v>
      </c>
      <c r="AV10" s="12">
        <f t="shared" ref="AV10:BA10" si="19">SUM(AV6:AV9)</f>
        <v>74176</v>
      </c>
      <c r="AW10" s="12">
        <f t="shared" si="19"/>
        <v>129196</v>
      </c>
      <c r="AX10" s="12">
        <f t="shared" si="19"/>
        <v>35080</v>
      </c>
      <c r="AY10" s="12">
        <f t="shared" si="19"/>
        <v>67386</v>
      </c>
      <c r="AZ10" s="12">
        <f t="shared" si="19"/>
        <v>130607</v>
      </c>
      <c r="BA10" s="12">
        <f t="shared" si="19"/>
        <v>116326</v>
      </c>
      <c r="BB10" s="12">
        <f t="shared" ref="BB10:BC10" si="20">SUM(BB6:BB9)</f>
        <v>114820</v>
      </c>
      <c r="BC10" s="12">
        <f t="shared" si="20"/>
        <v>151690</v>
      </c>
      <c r="BD10" s="12">
        <f t="shared" ref="BD10:BE10" si="21">SUM(BD6:BD9)</f>
        <v>203787</v>
      </c>
      <c r="BE10" s="12">
        <f t="shared" si="21"/>
        <v>259491</v>
      </c>
      <c r="BF10" s="12">
        <f t="shared" ref="BF10:BG10" si="22">SUM(BF6:BF9)</f>
        <v>319840</v>
      </c>
      <c r="BG10" s="12">
        <f t="shared" si="22"/>
        <v>347546</v>
      </c>
      <c r="BH10" s="12">
        <f t="shared" ref="BH10:BI10" si="23">SUM(BH6:BH9)</f>
        <v>445290</v>
      </c>
      <c r="BI10" s="12">
        <f t="shared" si="23"/>
        <v>326071</v>
      </c>
      <c r="BJ10" s="12">
        <f t="shared" ref="BJ10:BM10" si="24">SUM(BJ6:BJ9)</f>
        <v>184673</v>
      </c>
      <c r="BK10" s="12">
        <f t="shared" si="24"/>
        <v>187795</v>
      </c>
      <c r="BL10" s="12">
        <f t="shared" si="24"/>
        <v>144691</v>
      </c>
      <c r="BM10" s="12">
        <f t="shared" si="24"/>
        <v>95353</v>
      </c>
      <c r="BN10" s="12">
        <f t="shared" ref="BN10:BO10" si="25">SUM(BN6:BN9)</f>
        <v>63838</v>
      </c>
      <c r="BO10" s="12">
        <f t="shared" si="25"/>
        <v>78389</v>
      </c>
      <c r="BP10" s="12">
        <f t="shared" ref="BP10:BU10" si="26">SUM(BP6:BP9)</f>
        <v>97708</v>
      </c>
      <c r="BQ10" s="12">
        <f t="shared" si="26"/>
        <v>142303</v>
      </c>
      <c r="BR10" s="12">
        <f t="shared" si="26"/>
        <v>82362</v>
      </c>
      <c r="BS10" s="12">
        <f t="shared" si="26"/>
        <v>60590</v>
      </c>
      <c r="BT10" s="12">
        <f t="shared" si="26"/>
        <v>63929</v>
      </c>
      <c r="BU10" s="12">
        <f t="shared" si="26"/>
        <v>93941</v>
      </c>
      <c r="BV10" s="2"/>
      <c r="BW10" s="12">
        <f t="shared" si="0"/>
        <v>389730</v>
      </c>
      <c r="BX10" s="12">
        <f t="shared" si="1"/>
        <v>29080</v>
      </c>
      <c r="BY10" s="12">
        <f t="shared" si="2"/>
        <v>156073</v>
      </c>
      <c r="BZ10" s="12">
        <f t="shared" si="3"/>
        <v>100890</v>
      </c>
      <c r="CA10" s="12">
        <f t="shared" si="4"/>
        <v>112051</v>
      </c>
      <c r="CB10" s="12">
        <f t="shared" si="5"/>
        <v>122032</v>
      </c>
      <c r="CC10" s="12">
        <f t="shared" si="6"/>
        <v>120433</v>
      </c>
      <c r="CD10" s="12">
        <f t="shared" si="7"/>
        <v>255685</v>
      </c>
      <c r="CE10" s="57">
        <f t="shared" si="8"/>
        <v>65721</v>
      </c>
      <c r="CF10" s="57">
        <f t="shared" si="9"/>
        <v>332214</v>
      </c>
      <c r="CG10" s="57">
        <f t="shared" si="10"/>
        <v>490344</v>
      </c>
      <c r="CH10" s="57">
        <f t="shared" si="11"/>
        <v>327192</v>
      </c>
      <c r="CI10" s="57">
        <f>SUM(AY10:BB10)</f>
        <v>429139</v>
      </c>
      <c r="CJ10" s="57">
        <f>SUM(BC10:BF10)</f>
        <v>934808</v>
      </c>
      <c r="CK10" s="57">
        <f t="shared" si="13"/>
        <v>1303580</v>
      </c>
      <c r="CL10" s="57">
        <f t="shared" si="14"/>
        <v>400762</v>
      </c>
      <c r="CM10" s="57">
        <f>SUM(BS10:BU10)</f>
        <v>218460</v>
      </c>
      <c r="CN10" s="81"/>
    </row>
    <row r="11" spans="2:93">
      <c r="B11" t="s">
        <v>206</v>
      </c>
      <c r="C11" s="2">
        <v>0</v>
      </c>
      <c r="D11" s="2">
        <v>0</v>
      </c>
      <c r="E11" s="2">
        <v>0</v>
      </c>
      <c r="F11" s="2">
        <v>0</v>
      </c>
      <c r="G11" s="2">
        <v>-778</v>
      </c>
      <c r="H11" s="2">
        <v>-150</v>
      </c>
      <c r="I11" s="2">
        <v>-75</v>
      </c>
      <c r="J11" s="2">
        <v>-7577</v>
      </c>
      <c r="K11" s="2">
        <v>-269</v>
      </c>
      <c r="L11" s="2">
        <v>-1065</v>
      </c>
      <c r="M11" s="2">
        <v>-193</v>
      </c>
      <c r="N11" s="2">
        <v>-18226</v>
      </c>
      <c r="O11" s="2">
        <v>670</v>
      </c>
      <c r="P11" s="2">
        <v>-2703</v>
      </c>
      <c r="Q11" s="2">
        <v>-8255</v>
      </c>
      <c r="R11" s="2">
        <v>4795</v>
      </c>
      <c r="S11" s="2">
        <v>-2556</v>
      </c>
      <c r="T11" s="2">
        <v>-4548</v>
      </c>
      <c r="U11" s="2">
        <v>-2135</v>
      </c>
      <c r="V11" s="2">
        <v>6007</v>
      </c>
      <c r="W11" s="2">
        <v>-4881</v>
      </c>
      <c r="X11" s="2">
        <v>898</v>
      </c>
      <c r="Y11" s="2">
        <v>-4066</v>
      </c>
      <c r="Z11" s="2">
        <v>-3836</v>
      </c>
      <c r="AA11" s="2">
        <v>4361</v>
      </c>
      <c r="AB11" s="2">
        <v>2400</v>
      </c>
      <c r="AC11" s="2">
        <v>3769</v>
      </c>
      <c r="AD11" s="2">
        <v>-3410</v>
      </c>
      <c r="AE11" s="2">
        <v>0</v>
      </c>
      <c r="AF11" s="2">
        <v>0</v>
      </c>
      <c r="AG11" s="2">
        <v>0</v>
      </c>
      <c r="AH11" s="2">
        <v>-4196</v>
      </c>
      <c r="AI11" s="21">
        <v>0</v>
      </c>
      <c r="AJ11" s="21">
        <v>0</v>
      </c>
      <c r="AK11" s="21">
        <v>0</v>
      </c>
      <c r="AL11" s="21">
        <v>-6285</v>
      </c>
      <c r="AM11" s="21">
        <v>0</v>
      </c>
      <c r="AN11" s="21">
        <v>0</v>
      </c>
      <c r="AO11" s="21">
        <v>0</v>
      </c>
      <c r="AP11" s="21">
        <f>-41368+26985</f>
        <v>-14383</v>
      </c>
      <c r="AQ11" s="21">
        <v>0</v>
      </c>
      <c r="AR11" s="21">
        <v>0</v>
      </c>
      <c r="AS11" s="21">
        <v>0</v>
      </c>
      <c r="AT11" s="21">
        <v>7888</v>
      </c>
      <c r="AU11" s="21">
        <v>0</v>
      </c>
      <c r="AV11" s="21">
        <v>0</v>
      </c>
      <c r="AW11" s="21">
        <v>8058</v>
      </c>
      <c r="AX11" s="21">
        <v>-7482</v>
      </c>
      <c r="AY11" s="21">
        <v>0</v>
      </c>
      <c r="AZ11" s="21">
        <v>0</v>
      </c>
      <c r="BA11" s="21">
        <v>1239</v>
      </c>
      <c r="BB11" s="21">
        <f>-14242-AY11-AZ11-BA11</f>
        <v>-15481</v>
      </c>
      <c r="BC11" s="21">
        <v>0</v>
      </c>
      <c r="BD11" s="21">
        <v>0</v>
      </c>
      <c r="BE11" s="21">
        <v>7043</v>
      </c>
      <c r="BF11" s="21">
        <v>-7257</v>
      </c>
      <c r="BG11" s="21">
        <v>0</v>
      </c>
      <c r="BH11" s="21">
        <v>0</v>
      </c>
      <c r="BI11" s="21">
        <v>-2898</v>
      </c>
      <c r="BJ11" s="21">
        <v>-114</v>
      </c>
      <c r="BK11" s="21">
        <v>0</v>
      </c>
      <c r="BL11" s="21">
        <v>0</v>
      </c>
      <c r="BM11" s="21">
        <v>-14817</v>
      </c>
      <c r="BN11" s="21">
        <v>-24419</v>
      </c>
      <c r="BO11" s="21">
        <v>0</v>
      </c>
      <c r="BP11" s="21">
        <v>0</v>
      </c>
      <c r="BQ11" s="21">
        <v>-9129</v>
      </c>
      <c r="BR11" s="21">
        <v>-29377</v>
      </c>
      <c r="BS11" s="21">
        <v>0</v>
      </c>
      <c r="BT11" s="21">
        <v>0</v>
      </c>
      <c r="BU11" s="21">
        <v>-41675</v>
      </c>
      <c r="BV11" s="21"/>
      <c r="BW11" s="2">
        <f t="shared" si="0"/>
        <v>0</v>
      </c>
      <c r="BX11" s="2">
        <f t="shared" si="1"/>
        <v>-8580</v>
      </c>
      <c r="BY11" s="2">
        <f t="shared" si="2"/>
        <v>-19753</v>
      </c>
      <c r="BZ11" s="2">
        <f t="shared" si="3"/>
        <v>-5493</v>
      </c>
      <c r="CA11" s="2">
        <f t="shared" si="4"/>
        <v>-3232</v>
      </c>
      <c r="CB11" s="2">
        <f t="shared" si="5"/>
        <v>-11885</v>
      </c>
      <c r="CC11" s="2">
        <f t="shared" si="6"/>
        <v>7120</v>
      </c>
      <c r="CD11" s="2">
        <f t="shared" si="7"/>
        <v>-4196</v>
      </c>
      <c r="CE11" s="2">
        <f t="shared" si="8"/>
        <v>-6285</v>
      </c>
      <c r="CF11" s="69">
        <f t="shared" si="9"/>
        <v>-14383</v>
      </c>
      <c r="CG11" s="21">
        <f t="shared" si="10"/>
        <v>7888</v>
      </c>
      <c r="CH11" s="21">
        <f t="shared" si="11"/>
        <v>576</v>
      </c>
      <c r="CI11" s="21">
        <f t="shared" si="16"/>
        <v>-14242</v>
      </c>
      <c r="CJ11" s="21">
        <f t="shared" si="12"/>
        <v>-214</v>
      </c>
      <c r="CK11" s="21">
        <f t="shared" si="13"/>
        <v>-3012</v>
      </c>
      <c r="CL11" s="21">
        <f t="shared" si="14"/>
        <v>-38506</v>
      </c>
      <c r="CM11" s="21">
        <f t="shared" si="15"/>
        <v>-41675</v>
      </c>
      <c r="CN11" s="81"/>
      <c r="CO11" s="91"/>
    </row>
    <row r="12" spans="2:93">
      <c r="B12" t="s">
        <v>103</v>
      </c>
      <c r="C12" s="2">
        <v>38</v>
      </c>
      <c r="D12" s="2">
        <v>121</v>
      </c>
      <c r="E12" s="2">
        <v>-193</v>
      </c>
      <c r="F12" s="2">
        <v>900</v>
      </c>
      <c r="G12" s="2">
        <v>124</v>
      </c>
      <c r="H12" s="2">
        <v>-164</v>
      </c>
      <c r="I12" s="2">
        <v>-177</v>
      </c>
      <c r="J12" s="2">
        <v>-55</v>
      </c>
      <c r="K12" s="2">
        <v>0</v>
      </c>
      <c r="L12" s="2">
        <v>-117</v>
      </c>
      <c r="M12" s="2">
        <v>-15</v>
      </c>
      <c r="N12" s="2">
        <v>-215</v>
      </c>
      <c r="O12" s="2">
        <v>-62</v>
      </c>
      <c r="P12" s="2">
        <v>-19</v>
      </c>
      <c r="Q12" s="2">
        <v>5</v>
      </c>
      <c r="R12" s="2">
        <v>-70</v>
      </c>
      <c r="S12" s="2">
        <v>0</v>
      </c>
      <c r="T12" s="2">
        <v>-190</v>
      </c>
      <c r="U12" s="2">
        <v>-18</v>
      </c>
      <c r="V12" s="2">
        <v>94</v>
      </c>
      <c r="W12" s="2">
        <v>0</v>
      </c>
      <c r="X12" s="2">
        <v>266</v>
      </c>
      <c r="Y12" s="2">
        <v>105</v>
      </c>
      <c r="Z12" s="2">
        <v>-955</v>
      </c>
      <c r="AA12" s="2">
        <v>-12</v>
      </c>
      <c r="AB12" s="2">
        <v>-243</v>
      </c>
      <c r="AC12" s="2">
        <v>0</v>
      </c>
      <c r="AD12" s="2">
        <v>0</v>
      </c>
      <c r="AE12" s="2">
        <v>0</v>
      </c>
      <c r="AF12" s="2">
        <v>0</v>
      </c>
      <c r="AG12" s="2">
        <v>-170</v>
      </c>
      <c r="AH12" s="2">
        <v>-183</v>
      </c>
      <c r="AI12" s="2">
        <v>-40</v>
      </c>
      <c r="AJ12" s="2">
        <v>0</v>
      </c>
      <c r="AK12" s="2">
        <v>0</v>
      </c>
      <c r="AL12" s="2">
        <v>-47</v>
      </c>
      <c r="AM12" s="2">
        <v>0</v>
      </c>
      <c r="AN12" s="2">
        <v>0</v>
      </c>
      <c r="AO12" s="2">
        <v>0</v>
      </c>
      <c r="AP12" s="2">
        <f>2693</f>
        <v>2693</v>
      </c>
      <c r="AQ12" s="21">
        <v>0</v>
      </c>
      <c r="AR12" s="21">
        <v>0</v>
      </c>
      <c r="AS12" s="21">
        <v>0</v>
      </c>
      <c r="AT12" s="21">
        <v>719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70">
        <v>0</v>
      </c>
      <c r="BV12" s="21"/>
      <c r="BW12" s="2">
        <f t="shared" si="0"/>
        <v>866</v>
      </c>
      <c r="BX12" s="2">
        <f t="shared" si="1"/>
        <v>-272</v>
      </c>
      <c r="BY12" s="2">
        <f t="shared" si="2"/>
        <v>-347</v>
      </c>
      <c r="BZ12" s="2">
        <f t="shared" si="3"/>
        <v>-146</v>
      </c>
      <c r="CA12" s="2">
        <f t="shared" si="4"/>
        <v>-114</v>
      </c>
      <c r="CB12" s="2">
        <f t="shared" si="5"/>
        <v>-584</v>
      </c>
      <c r="CC12" s="2">
        <f t="shared" si="6"/>
        <v>-255</v>
      </c>
      <c r="CD12" s="2">
        <f t="shared" si="7"/>
        <v>-353</v>
      </c>
      <c r="CE12" s="2">
        <f t="shared" si="8"/>
        <v>-87</v>
      </c>
      <c r="CF12" s="69">
        <f t="shared" si="9"/>
        <v>2693</v>
      </c>
      <c r="CG12" s="21">
        <f t="shared" si="10"/>
        <v>719</v>
      </c>
      <c r="CH12" s="21">
        <f t="shared" si="11"/>
        <v>0</v>
      </c>
      <c r="CI12" s="21">
        <f t="shared" si="16"/>
        <v>0</v>
      </c>
      <c r="CJ12" s="21">
        <f t="shared" si="12"/>
        <v>0</v>
      </c>
      <c r="CK12" s="21">
        <f t="shared" si="13"/>
        <v>0</v>
      </c>
      <c r="CL12" s="21">
        <f t="shared" si="14"/>
        <v>0</v>
      </c>
      <c r="CM12" s="21">
        <f t="shared" si="15"/>
        <v>0</v>
      </c>
      <c r="CN12" s="81"/>
    </row>
    <row r="13" spans="2:93">
      <c r="B13" t="s">
        <v>175</v>
      </c>
      <c r="C13" s="2">
        <v>1699</v>
      </c>
      <c r="D13" s="2">
        <v>803</v>
      </c>
      <c r="E13" s="2">
        <v>1675</v>
      </c>
      <c r="F13" s="2">
        <v>-150</v>
      </c>
      <c r="G13" s="2">
        <v>97</v>
      </c>
      <c r="H13" s="2">
        <v>-545</v>
      </c>
      <c r="I13" s="2">
        <v>753</v>
      </c>
      <c r="J13" s="2">
        <v>-2968</v>
      </c>
      <c r="K13" s="2">
        <v>296</v>
      </c>
      <c r="L13" s="2">
        <v>852</v>
      </c>
      <c r="M13" s="2">
        <v>354</v>
      </c>
      <c r="N13" s="2">
        <v>7088</v>
      </c>
      <c r="O13" s="2">
        <v>-681</v>
      </c>
      <c r="P13" s="2">
        <v>382</v>
      </c>
      <c r="Q13" s="2">
        <v>1141</v>
      </c>
      <c r="R13" s="2">
        <v>61</v>
      </c>
      <c r="S13" s="2">
        <v>1173</v>
      </c>
      <c r="T13" s="2">
        <v>3476</v>
      </c>
      <c r="U13" s="2">
        <v>-3523</v>
      </c>
      <c r="V13" s="2">
        <v>2401</v>
      </c>
      <c r="W13" s="2">
        <v>-5496</v>
      </c>
      <c r="X13" s="2">
        <v>2197</v>
      </c>
      <c r="Y13" s="2">
        <v>-890</v>
      </c>
      <c r="Z13" s="2">
        <f>-881+2120</f>
        <v>1239</v>
      </c>
      <c r="AA13" s="2">
        <v>-2046</v>
      </c>
      <c r="AB13" s="2">
        <v>0</v>
      </c>
      <c r="AC13" s="2">
        <v>0</v>
      </c>
      <c r="AD13" s="2">
        <f>1726+2046</f>
        <v>3772</v>
      </c>
      <c r="AE13" s="2">
        <v>0</v>
      </c>
      <c r="AF13" s="2">
        <v>0</v>
      </c>
      <c r="AG13" s="2">
        <v>0</v>
      </c>
      <c r="AH13" s="2">
        <v>7008</v>
      </c>
      <c r="AI13" s="2">
        <v>3277</v>
      </c>
      <c r="AJ13" s="2">
        <v>3318</v>
      </c>
      <c r="AK13" s="2">
        <v>3191</v>
      </c>
      <c r="AL13" s="61">
        <v>862</v>
      </c>
      <c r="AM13" s="61">
        <v>659</v>
      </c>
      <c r="AN13" s="61">
        <v>1489</v>
      </c>
      <c r="AO13" s="61">
        <v>1167</v>
      </c>
      <c r="AP13" s="61">
        <f>1657-4215</f>
        <v>-2558</v>
      </c>
      <c r="AQ13" s="58">
        <v>626</v>
      </c>
      <c r="AR13" s="58">
        <v>610</v>
      </c>
      <c r="AS13" s="21">
        <f>371+1309</f>
        <v>1680</v>
      </c>
      <c r="AT13" s="21">
        <v>-813</v>
      </c>
      <c r="AU13" s="21">
        <v>381</v>
      </c>
      <c r="AV13" s="21">
        <f>634-AU13</f>
        <v>253</v>
      </c>
      <c r="AW13" s="21">
        <f>1015-AV13-AU13</f>
        <v>381</v>
      </c>
      <c r="AX13" s="21">
        <f>'Fluxo de caixa'!AX13-AW13-AV13-AU13</f>
        <v>7080</v>
      </c>
      <c r="AY13" s="21">
        <f>'Fluxo de caixa'!AY13</f>
        <v>1174</v>
      </c>
      <c r="AZ13" s="90">
        <f>'Fluxo de caixa'!AZ13-AY13</f>
        <v>1712</v>
      </c>
      <c r="BA13" s="90">
        <f>'Fluxo de caixa'!BA13-AZ13-AY13</f>
        <v>-8679</v>
      </c>
      <c r="BB13" s="21">
        <f>-5585-AY13-AZ13-BA13</f>
        <v>208</v>
      </c>
      <c r="BC13" s="21">
        <v>-414</v>
      </c>
      <c r="BD13" s="21">
        <v>-414</v>
      </c>
      <c r="BE13" s="58">
        <f>-1242+928-BC13-BD13</f>
        <v>514</v>
      </c>
      <c r="BF13" s="58">
        <f>281+928-BC13-BD13-BE13</f>
        <v>1523</v>
      </c>
      <c r="BG13" s="58">
        <v>44</v>
      </c>
      <c r="BH13" s="58">
        <f>3500-BG13</f>
        <v>3456</v>
      </c>
      <c r="BI13" s="58">
        <f>4367-BG13-BH13</f>
        <v>867</v>
      </c>
      <c r="BJ13" s="58">
        <v>6191</v>
      </c>
      <c r="BK13" s="21">
        <v>-414</v>
      </c>
      <c r="BL13" s="58">
        <v>-414</v>
      </c>
      <c r="BM13" s="58">
        <f>-2061-BK13-BL13</f>
        <v>-1233</v>
      </c>
      <c r="BN13" s="58">
        <v>12932</v>
      </c>
      <c r="BO13" s="58">
        <v>-1822</v>
      </c>
      <c r="BP13" s="58">
        <v>-2230</v>
      </c>
      <c r="BQ13" s="58">
        <f>-5528-BP13-BO13</f>
        <v>-1476</v>
      </c>
      <c r="BR13" s="58">
        <v>613</v>
      </c>
      <c r="BS13" s="58">
        <v>-407</v>
      </c>
      <c r="BT13" s="58">
        <v>-471</v>
      </c>
      <c r="BU13" s="58">
        <v>-40</v>
      </c>
      <c r="BV13" s="21"/>
      <c r="BW13" s="2">
        <f t="shared" si="0"/>
        <v>4027</v>
      </c>
      <c r="BX13" s="2">
        <f t="shared" si="1"/>
        <v>-2663</v>
      </c>
      <c r="BY13" s="2">
        <f t="shared" si="2"/>
        <v>8590</v>
      </c>
      <c r="BZ13" s="2">
        <f t="shared" si="3"/>
        <v>903</v>
      </c>
      <c r="CA13" s="2">
        <f t="shared" si="4"/>
        <v>3527</v>
      </c>
      <c r="CB13" s="2">
        <f t="shared" si="5"/>
        <v>-2950</v>
      </c>
      <c r="CC13" s="2">
        <f t="shared" si="6"/>
        <v>1726</v>
      </c>
      <c r="CD13" s="2">
        <f t="shared" si="7"/>
        <v>7008</v>
      </c>
      <c r="CE13" s="2">
        <f t="shared" si="8"/>
        <v>10648</v>
      </c>
      <c r="CF13" s="69">
        <f t="shared" si="9"/>
        <v>757</v>
      </c>
      <c r="CG13" s="21">
        <f t="shared" si="10"/>
        <v>2103</v>
      </c>
      <c r="CH13" s="21">
        <f t="shared" si="11"/>
        <v>8095</v>
      </c>
      <c r="CI13" s="21">
        <f t="shared" si="16"/>
        <v>-5585</v>
      </c>
      <c r="CJ13" s="21">
        <f t="shared" si="12"/>
        <v>1209</v>
      </c>
      <c r="CK13" s="21">
        <f t="shared" si="13"/>
        <v>10558</v>
      </c>
      <c r="CL13" s="21">
        <f t="shared" si="14"/>
        <v>-4915</v>
      </c>
      <c r="CM13" s="21">
        <f t="shared" si="15"/>
        <v>-918</v>
      </c>
      <c r="CN13" s="81"/>
      <c r="CO13" s="91"/>
    </row>
    <row r="14" spans="2:93">
      <c r="B14" t="s">
        <v>144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-6346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70">
        <v>0</v>
      </c>
      <c r="BO14" s="70">
        <v>0</v>
      </c>
      <c r="BP14" s="70">
        <v>0</v>
      </c>
      <c r="BQ14" s="70">
        <v>0</v>
      </c>
      <c r="BR14" s="70">
        <v>0</v>
      </c>
      <c r="BS14" s="70">
        <v>0</v>
      </c>
      <c r="BT14" s="70">
        <v>0</v>
      </c>
      <c r="BU14" s="70">
        <v>0</v>
      </c>
      <c r="BV14" s="21"/>
      <c r="BW14" s="2">
        <f t="shared" si="0"/>
        <v>0</v>
      </c>
      <c r="BX14" s="2">
        <f t="shared" si="1"/>
        <v>0</v>
      </c>
      <c r="BY14" s="2">
        <f t="shared" si="2"/>
        <v>0</v>
      </c>
      <c r="BZ14" s="2">
        <f t="shared" si="3"/>
        <v>0</v>
      </c>
      <c r="CA14" s="2">
        <f t="shared" si="4"/>
        <v>0</v>
      </c>
      <c r="CB14" s="2">
        <f t="shared" si="5"/>
        <v>0</v>
      </c>
      <c r="CC14" s="2">
        <f t="shared" si="6"/>
        <v>-6346</v>
      </c>
      <c r="CD14" s="2">
        <f t="shared" si="7"/>
        <v>0</v>
      </c>
      <c r="CE14" s="2">
        <f t="shared" si="8"/>
        <v>0</v>
      </c>
      <c r="CF14" s="69">
        <f t="shared" si="9"/>
        <v>0</v>
      </c>
      <c r="CG14" s="21">
        <f t="shared" si="10"/>
        <v>0</v>
      </c>
      <c r="CH14" s="21">
        <f t="shared" si="11"/>
        <v>0</v>
      </c>
      <c r="CI14" s="21">
        <f t="shared" si="16"/>
        <v>0</v>
      </c>
      <c r="CJ14" s="21">
        <f t="shared" si="12"/>
        <v>0</v>
      </c>
      <c r="CK14" s="21">
        <f t="shared" si="13"/>
        <v>0</v>
      </c>
      <c r="CL14" s="21">
        <f t="shared" si="14"/>
        <v>0</v>
      </c>
      <c r="CM14" s="21">
        <f t="shared" si="15"/>
        <v>0</v>
      </c>
      <c r="CN14" s="81"/>
    </row>
    <row r="15" spans="2:93">
      <c r="B15" t="s">
        <v>183</v>
      </c>
      <c r="C15" s="2">
        <v>0</v>
      </c>
      <c r="D15" s="2">
        <v>0</v>
      </c>
      <c r="E15" s="2">
        <v>0</v>
      </c>
      <c r="F15" s="69">
        <v>0</v>
      </c>
      <c r="G15" s="69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1">
        <v>0</v>
      </c>
      <c r="AR15" s="21">
        <v>0</v>
      </c>
      <c r="AS15" s="21">
        <f>-75140+4464</f>
        <v>-70676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70">
        <v>0</v>
      </c>
      <c r="BO15" s="70">
        <v>0</v>
      </c>
      <c r="BP15" s="70">
        <v>0</v>
      </c>
      <c r="BQ15" s="70">
        <v>0</v>
      </c>
      <c r="BR15" s="70">
        <v>0</v>
      </c>
      <c r="BS15" s="70">
        <v>0</v>
      </c>
      <c r="BT15" s="70">
        <v>0</v>
      </c>
      <c r="BU15" s="70">
        <v>0</v>
      </c>
      <c r="BV15" s="21"/>
      <c r="BW15" s="2"/>
      <c r="BX15" s="2">
        <f t="shared" si="1"/>
        <v>0</v>
      </c>
      <c r="BY15" s="2">
        <f t="shared" si="2"/>
        <v>0</v>
      </c>
      <c r="BZ15" s="2">
        <f t="shared" si="3"/>
        <v>0</v>
      </c>
      <c r="CA15" s="2">
        <f t="shared" si="4"/>
        <v>0</v>
      </c>
      <c r="CB15" s="2">
        <f t="shared" si="5"/>
        <v>0</v>
      </c>
      <c r="CC15" s="2">
        <f t="shared" si="6"/>
        <v>0</v>
      </c>
      <c r="CD15" s="2">
        <f t="shared" si="7"/>
        <v>0</v>
      </c>
      <c r="CE15" s="2">
        <f t="shared" si="8"/>
        <v>0</v>
      </c>
      <c r="CF15" s="69">
        <f t="shared" si="9"/>
        <v>0</v>
      </c>
      <c r="CG15" s="21">
        <f t="shared" si="10"/>
        <v>-70676</v>
      </c>
      <c r="CH15" s="21">
        <f t="shared" si="11"/>
        <v>0</v>
      </c>
      <c r="CI15" s="21">
        <f t="shared" si="16"/>
        <v>0</v>
      </c>
      <c r="CJ15" s="21">
        <f t="shared" si="12"/>
        <v>0</v>
      </c>
      <c r="CK15" s="21">
        <f t="shared" si="13"/>
        <v>0</v>
      </c>
      <c r="CL15" s="21">
        <f t="shared" si="14"/>
        <v>0</v>
      </c>
      <c r="CM15" s="21">
        <f t="shared" si="15"/>
        <v>0</v>
      </c>
      <c r="CN15" s="81"/>
    </row>
    <row r="16" spans="2:93">
      <c r="B16" t="s">
        <v>155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-11006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  <c r="BO16" s="70">
        <v>0</v>
      </c>
      <c r="BP16" s="70">
        <v>0</v>
      </c>
      <c r="BQ16" s="70">
        <v>0</v>
      </c>
      <c r="BR16" s="70">
        <v>0</v>
      </c>
      <c r="BS16" s="70">
        <v>0</v>
      </c>
      <c r="BT16" s="70">
        <v>0</v>
      </c>
      <c r="BU16" s="70">
        <v>0</v>
      </c>
      <c r="BV16" s="21"/>
      <c r="BW16" s="69">
        <f t="shared" si="0"/>
        <v>0</v>
      </c>
      <c r="BX16" s="69">
        <f t="shared" si="1"/>
        <v>0</v>
      </c>
      <c r="BY16" s="69">
        <f t="shared" si="2"/>
        <v>0</v>
      </c>
      <c r="BZ16" s="69">
        <f t="shared" si="3"/>
        <v>0</v>
      </c>
      <c r="CA16" s="69">
        <f t="shared" si="4"/>
        <v>0</v>
      </c>
      <c r="CB16" s="69">
        <f t="shared" si="5"/>
        <v>0</v>
      </c>
      <c r="CC16" s="69">
        <f t="shared" si="6"/>
        <v>0</v>
      </c>
      <c r="CD16" s="69">
        <f t="shared" si="7"/>
        <v>-11006</v>
      </c>
      <c r="CE16" s="2">
        <f t="shared" si="8"/>
        <v>0</v>
      </c>
      <c r="CF16" s="69">
        <f t="shared" si="9"/>
        <v>0</v>
      </c>
      <c r="CG16" s="21">
        <f t="shared" si="10"/>
        <v>0</v>
      </c>
      <c r="CH16" s="21">
        <f t="shared" si="11"/>
        <v>0</v>
      </c>
      <c r="CI16" s="21">
        <f t="shared" si="16"/>
        <v>0</v>
      </c>
      <c r="CJ16" s="21">
        <f t="shared" si="12"/>
        <v>0</v>
      </c>
      <c r="CK16" s="21">
        <f t="shared" si="13"/>
        <v>0</v>
      </c>
      <c r="CL16" s="21">
        <f t="shared" si="14"/>
        <v>0</v>
      </c>
      <c r="CM16" s="21">
        <f t="shared" si="15"/>
        <v>0</v>
      </c>
      <c r="CN16" s="81"/>
    </row>
    <row r="17" spans="2:93">
      <c r="B17" t="s">
        <v>232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70">
        <v>-94053</v>
      </c>
      <c r="AX17" s="70">
        <v>0</v>
      </c>
      <c r="AY17" s="70">
        <v>0</v>
      </c>
      <c r="AZ17" s="70">
        <v>0</v>
      </c>
      <c r="BA17" s="70">
        <v>0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  <c r="BO17" s="70">
        <v>0</v>
      </c>
      <c r="BP17" s="70">
        <v>-1304</v>
      </c>
      <c r="BQ17" s="70">
        <f>-12773-BP17-BO17</f>
        <v>-11469</v>
      </c>
      <c r="BR17" s="70">
        <v>-4394</v>
      </c>
      <c r="BS17" s="70">
        <v>-1504</v>
      </c>
      <c r="BT17" s="70">
        <v>0</v>
      </c>
      <c r="BU17" s="70">
        <v>0</v>
      </c>
      <c r="BV17" s="21"/>
      <c r="BW17" s="69"/>
      <c r="BX17" s="69"/>
      <c r="BY17" s="69"/>
      <c r="BZ17" s="69"/>
      <c r="CA17" s="69"/>
      <c r="CB17" s="69"/>
      <c r="CC17" s="69"/>
      <c r="CD17" s="69"/>
      <c r="CE17" s="2"/>
      <c r="CF17" s="69"/>
      <c r="CG17" s="21"/>
      <c r="CH17" s="21">
        <f t="shared" si="11"/>
        <v>-94053</v>
      </c>
      <c r="CI17" s="21">
        <f t="shared" si="16"/>
        <v>0</v>
      </c>
      <c r="CJ17" s="21">
        <f t="shared" si="12"/>
        <v>0</v>
      </c>
      <c r="CK17" s="21">
        <f t="shared" si="13"/>
        <v>0</v>
      </c>
      <c r="CL17" s="21">
        <f t="shared" si="14"/>
        <v>-17167</v>
      </c>
      <c r="CM17" s="21">
        <f t="shared" si="15"/>
        <v>-1504</v>
      </c>
      <c r="CN17" s="81"/>
      <c r="CO17" s="91"/>
    </row>
    <row r="18" spans="2:93">
      <c r="B18" t="s">
        <v>207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0</v>
      </c>
      <c r="AW18" s="70">
        <v>0</v>
      </c>
      <c r="AX18" s="70">
        <v>0</v>
      </c>
      <c r="AY18" s="70">
        <v>-631</v>
      </c>
      <c r="AZ18" s="70">
        <v>0</v>
      </c>
      <c r="BA18" s="70">
        <f>-870-909</f>
        <v>-1779</v>
      </c>
      <c r="BB18" s="21">
        <f>-2454-AY18-AZ18-BA18</f>
        <v>-44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-1451</v>
      </c>
      <c r="BI18" s="21">
        <f>-2575-BG18-BH18</f>
        <v>-1124</v>
      </c>
      <c r="BJ18" s="21">
        <v>-1574</v>
      </c>
      <c r="BK18" s="21">
        <v>0</v>
      </c>
      <c r="BL18" s="21">
        <v>0</v>
      </c>
      <c r="BM18" s="21">
        <v>0</v>
      </c>
      <c r="BN18" s="70">
        <v>0</v>
      </c>
      <c r="BO18" s="70">
        <v>0</v>
      </c>
      <c r="BP18" s="70">
        <v>0</v>
      </c>
      <c r="BQ18" s="70">
        <v>0</v>
      </c>
      <c r="BR18" s="70">
        <v>0</v>
      </c>
      <c r="BS18" s="70">
        <v>0</v>
      </c>
      <c r="BT18" s="70">
        <v>0</v>
      </c>
      <c r="BU18" s="70">
        <v>0</v>
      </c>
      <c r="BV18" s="21"/>
      <c r="BW18" s="69"/>
      <c r="BX18" s="69"/>
      <c r="BY18" s="69"/>
      <c r="BZ18" s="69"/>
      <c r="CA18" s="69"/>
      <c r="CB18" s="69"/>
      <c r="CC18" s="69"/>
      <c r="CD18" s="69"/>
      <c r="CE18" s="2"/>
      <c r="CF18" s="69"/>
      <c r="CG18" s="21"/>
      <c r="CH18" s="21">
        <f t="shared" si="11"/>
        <v>0</v>
      </c>
      <c r="CI18" s="21">
        <f t="shared" si="16"/>
        <v>-2454</v>
      </c>
      <c r="CJ18" s="21">
        <f t="shared" si="12"/>
        <v>0</v>
      </c>
      <c r="CK18" s="21">
        <f t="shared" si="13"/>
        <v>-4149</v>
      </c>
      <c r="CL18" s="21">
        <f t="shared" si="14"/>
        <v>0</v>
      </c>
      <c r="CM18" s="21">
        <f t="shared" si="15"/>
        <v>0</v>
      </c>
      <c r="CN18" s="81"/>
    </row>
    <row r="19" spans="2:93">
      <c r="B19" t="s">
        <v>215</v>
      </c>
      <c r="C19" s="21">
        <v>0</v>
      </c>
      <c r="D19" s="21">
        <v>0</v>
      </c>
      <c r="E19" s="21">
        <v>0</v>
      </c>
      <c r="F19" s="69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-22056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-3450</v>
      </c>
      <c r="BN19" s="21">
        <v>5029</v>
      </c>
      <c r="BO19" s="21">
        <v>1914</v>
      </c>
      <c r="BP19" s="21">
        <v>1914</v>
      </c>
      <c r="BQ19" s="21">
        <f>5746-BP19-BO19</f>
        <v>1918</v>
      </c>
      <c r="BR19" s="21">
        <v>-2256</v>
      </c>
      <c r="BS19" s="21">
        <v>2457</v>
      </c>
      <c r="BT19" s="21">
        <v>2457</v>
      </c>
      <c r="BU19" s="21">
        <v>-1464</v>
      </c>
      <c r="BV19" s="21"/>
      <c r="BW19" s="69"/>
      <c r="BX19" s="69"/>
      <c r="BY19" s="69"/>
      <c r="BZ19" s="69"/>
      <c r="CA19" s="69"/>
      <c r="CB19" s="69"/>
      <c r="CC19" s="69"/>
      <c r="CD19" s="69"/>
      <c r="CE19" s="2"/>
      <c r="CF19" s="69"/>
      <c r="CG19" s="21"/>
      <c r="CH19" s="21"/>
      <c r="CI19" s="21"/>
      <c r="CJ19" s="21"/>
      <c r="CK19" s="21">
        <f t="shared" si="13"/>
        <v>-22056</v>
      </c>
      <c r="CL19" s="21">
        <f t="shared" si="14"/>
        <v>3490</v>
      </c>
      <c r="CM19" s="21">
        <f t="shared" si="15"/>
        <v>3450</v>
      </c>
      <c r="CN19" s="81"/>
      <c r="CO19" s="91"/>
    </row>
    <row r="20" spans="2:93">
      <c r="B20" t="s">
        <v>227</v>
      </c>
      <c r="C20" s="2">
        <v>0</v>
      </c>
      <c r="D20" s="2">
        <v>0</v>
      </c>
      <c r="E20" s="2">
        <v>0</v>
      </c>
      <c r="F20" s="69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-10627</v>
      </c>
      <c r="BO20" s="2">
        <v>0</v>
      </c>
      <c r="BP20" s="2">
        <v>0</v>
      </c>
      <c r="BQ20" s="2">
        <v>0</v>
      </c>
      <c r="BR20" s="21">
        <v>0</v>
      </c>
      <c r="BS20" s="21">
        <v>0</v>
      </c>
      <c r="BT20" s="21">
        <v>0</v>
      </c>
      <c r="BU20" s="21">
        <v>0</v>
      </c>
      <c r="BV20" s="21"/>
      <c r="BW20" s="69"/>
      <c r="BX20" s="69"/>
      <c r="BY20" s="69"/>
      <c r="BZ20" s="69"/>
      <c r="CA20" s="69"/>
      <c r="CB20" s="69"/>
      <c r="CC20" s="69"/>
      <c r="CD20" s="69"/>
      <c r="CE20" s="2"/>
      <c r="CF20" s="69"/>
      <c r="CG20" s="21"/>
      <c r="CH20" s="21"/>
      <c r="CI20" s="21"/>
      <c r="CJ20" s="21"/>
      <c r="CK20" s="21">
        <f t="shared" ref="CK20:CK21" si="27">SUM(BG20:BJ20)</f>
        <v>0</v>
      </c>
      <c r="CL20" s="21">
        <f t="shared" si="14"/>
        <v>0</v>
      </c>
      <c r="CM20" s="21">
        <f t="shared" si="15"/>
        <v>0</v>
      </c>
      <c r="CN20" s="81"/>
    </row>
    <row r="21" spans="2:93">
      <c r="B21" t="s">
        <v>231</v>
      </c>
      <c r="C21" s="2">
        <v>0</v>
      </c>
      <c r="D21" s="2">
        <v>0</v>
      </c>
      <c r="E21" s="2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2">
        <v>0</v>
      </c>
      <c r="L21" s="69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3418</v>
      </c>
      <c r="BQ21" s="2">
        <f>8201-BP21-BO21</f>
        <v>4783</v>
      </c>
      <c r="BR21" s="21">
        <v>-8201</v>
      </c>
      <c r="BS21" s="21">
        <v>0</v>
      </c>
      <c r="BT21" s="21">
        <v>0</v>
      </c>
      <c r="BU21" s="21">
        <v>0</v>
      </c>
      <c r="BV21" s="21"/>
      <c r="BW21" s="69"/>
      <c r="BX21" s="69"/>
      <c r="BY21" s="69"/>
      <c r="BZ21" s="69"/>
      <c r="CA21" s="69"/>
      <c r="CB21" s="69"/>
      <c r="CC21" s="69"/>
      <c r="CD21" s="69"/>
      <c r="CE21" s="2"/>
      <c r="CF21" s="69"/>
      <c r="CG21" s="21"/>
      <c r="CH21" s="21"/>
      <c r="CI21" s="21"/>
      <c r="CJ21" s="21"/>
      <c r="CK21" s="21">
        <f t="shared" si="27"/>
        <v>0</v>
      </c>
      <c r="CL21" s="21">
        <f t="shared" si="14"/>
        <v>0</v>
      </c>
      <c r="CM21" s="21">
        <f t="shared" si="15"/>
        <v>0</v>
      </c>
      <c r="CN21" s="81"/>
      <c r="CO21" s="91"/>
    </row>
    <row r="22" spans="2:93">
      <c r="B22" t="s">
        <v>235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1">
        <v>8320</v>
      </c>
      <c r="BS22" s="21">
        <v>0</v>
      </c>
      <c r="BT22" s="21">
        <v>1680</v>
      </c>
      <c r="BU22" s="21">
        <v>0</v>
      </c>
      <c r="BV22" s="21"/>
      <c r="BW22" s="69"/>
      <c r="BX22" s="69"/>
      <c r="BY22" s="69"/>
      <c r="BZ22" s="69"/>
      <c r="CA22" s="69"/>
      <c r="CB22" s="69"/>
      <c r="CC22" s="69"/>
      <c r="CD22" s="69"/>
      <c r="CE22" s="2"/>
      <c r="CF22" s="69"/>
      <c r="CG22" s="21"/>
      <c r="CH22" s="21"/>
      <c r="CI22" s="21"/>
      <c r="CJ22" s="21"/>
      <c r="CK22" s="21"/>
      <c r="CL22" s="21">
        <f t="shared" si="14"/>
        <v>8320</v>
      </c>
      <c r="CM22" s="21">
        <f t="shared" si="15"/>
        <v>1680</v>
      </c>
      <c r="CN22" s="81"/>
      <c r="CO22" s="91"/>
    </row>
    <row r="23" spans="2:93" ht="15.75" thickBot="1">
      <c r="B23" t="s">
        <v>104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3172</v>
      </c>
      <c r="Y23" s="2">
        <v>3696</v>
      </c>
      <c r="Z23" s="2">
        <v>0</v>
      </c>
      <c r="AA23" s="2">
        <v>2314</v>
      </c>
      <c r="AB23" s="2">
        <v>8607</v>
      </c>
      <c r="AC23" s="2">
        <v>0</v>
      </c>
      <c r="AD23" s="2">
        <f>13576-10921</f>
        <v>2655</v>
      </c>
      <c r="AE23" s="2">
        <v>0</v>
      </c>
      <c r="AF23" s="2">
        <v>0</v>
      </c>
      <c r="AG23" s="2">
        <v>0</v>
      </c>
      <c r="AH23" s="2">
        <v>3228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70">
        <v>0</v>
      </c>
      <c r="BO23" s="70">
        <v>0</v>
      </c>
      <c r="BP23" s="70">
        <v>0</v>
      </c>
      <c r="BQ23" s="70">
        <v>0</v>
      </c>
      <c r="BR23" s="70">
        <v>0</v>
      </c>
      <c r="BS23" s="70">
        <v>0</v>
      </c>
      <c r="BT23" s="70">
        <v>0</v>
      </c>
      <c r="BU23" s="70"/>
      <c r="BV23" s="21"/>
      <c r="BW23" s="2">
        <f t="shared" si="0"/>
        <v>0</v>
      </c>
      <c r="BX23" s="2">
        <f t="shared" si="1"/>
        <v>0</v>
      </c>
      <c r="BY23" s="2">
        <f t="shared" si="2"/>
        <v>0</v>
      </c>
      <c r="BZ23" s="2">
        <f t="shared" si="3"/>
        <v>0</v>
      </c>
      <c r="CA23" s="2">
        <f t="shared" si="4"/>
        <v>0</v>
      </c>
      <c r="CB23" s="2">
        <f t="shared" si="5"/>
        <v>6868</v>
      </c>
      <c r="CC23" s="2">
        <f t="shared" si="6"/>
        <v>13576</v>
      </c>
      <c r="CD23" s="2">
        <f t="shared" si="7"/>
        <v>3228</v>
      </c>
      <c r="CE23" s="2">
        <f t="shared" si="8"/>
        <v>0</v>
      </c>
      <c r="CF23" s="69">
        <f t="shared" si="9"/>
        <v>0</v>
      </c>
      <c r="CG23" s="21">
        <f t="shared" si="10"/>
        <v>0</v>
      </c>
      <c r="CH23" s="21">
        <f t="shared" si="11"/>
        <v>0</v>
      </c>
      <c r="CI23" s="21">
        <f t="shared" si="16"/>
        <v>0</v>
      </c>
      <c r="CJ23" s="21">
        <f t="shared" si="12"/>
        <v>0</v>
      </c>
      <c r="CK23" s="21">
        <f t="shared" si="13"/>
        <v>0</v>
      </c>
      <c r="CL23" s="21">
        <f t="shared" si="14"/>
        <v>0</v>
      </c>
      <c r="CM23" s="21">
        <f t="shared" si="15"/>
        <v>0</v>
      </c>
      <c r="CN23" s="81"/>
    </row>
    <row r="24" spans="2:93" ht="15.75" thickBot="1">
      <c r="B24" s="9" t="s">
        <v>107</v>
      </c>
      <c r="C24" s="12">
        <f t="shared" ref="C24:AO24" si="28">SUM(C10:C23)</f>
        <v>53946</v>
      </c>
      <c r="D24" s="12">
        <f t="shared" si="28"/>
        <v>136514</v>
      </c>
      <c r="E24" s="12">
        <f t="shared" si="28"/>
        <v>129354</v>
      </c>
      <c r="F24" s="12">
        <f t="shared" si="28"/>
        <v>74809</v>
      </c>
      <c r="G24" s="12">
        <f t="shared" si="28"/>
        <v>25127</v>
      </c>
      <c r="H24" s="12">
        <f t="shared" si="28"/>
        <v>6173</v>
      </c>
      <c r="I24" s="12">
        <f t="shared" si="28"/>
        <v>-2526</v>
      </c>
      <c r="J24" s="12">
        <f t="shared" si="28"/>
        <v>-11209</v>
      </c>
      <c r="K24" s="12">
        <f t="shared" si="28"/>
        <v>21736</v>
      </c>
      <c r="L24" s="12">
        <f t="shared" si="28"/>
        <v>62880</v>
      </c>
      <c r="M24" s="12">
        <f t="shared" si="28"/>
        <v>41983</v>
      </c>
      <c r="N24" s="12">
        <f t="shared" si="28"/>
        <v>17964</v>
      </c>
      <c r="O24" s="12">
        <f t="shared" si="28"/>
        <v>42061</v>
      </c>
      <c r="P24" s="12">
        <f t="shared" si="28"/>
        <v>29971</v>
      </c>
      <c r="Q24" s="12">
        <f t="shared" si="28"/>
        <v>7376</v>
      </c>
      <c r="R24" s="12">
        <f t="shared" si="28"/>
        <v>16746</v>
      </c>
      <c r="S24" s="12">
        <f t="shared" si="28"/>
        <v>23925</v>
      </c>
      <c r="T24" s="12">
        <f t="shared" si="28"/>
        <v>32267</v>
      </c>
      <c r="U24" s="12">
        <f t="shared" si="28"/>
        <v>34483</v>
      </c>
      <c r="V24" s="12">
        <f t="shared" si="28"/>
        <v>21557</v>
      </c>
      <c r="W24" s="12">
        <f t="shared" si="28"/>
        <v>10768</v>
      </c>
      <c r="X24" s="12">
        <f t="shared" si="28"/>
        <v>35984</v>
      </c>
      <c r="Y24" s="12">
        <f t="shared" si="28"/>
        <v>36161</v>
      </c>
      <c r="Z24" s="12">
        <f t="shared" si="28"/>
        <v>30568</v>
      </c>
      <c r="AA24" s="12">
        <f t="shared" si="28"/>
        <v>43859</v>
      </c>
      <c r="AB24" s="12">
        <f t="shared" si="28"/>
        <v>50874</v>
      </c>
      <c r="AC24" s="12">
        <f t="shared" si="28"/>
        <v>28049</v>
      </c>
      <c r="AD24" s="12">
        <f t="shared" si="28"/>
        <v>13472</v>
      </c>
      <c r="AE24" s="12">
        <f t="shared" si="28"/>
        <v>60714</v>
      </c>
      <c r="AF24" s="12">
        <f t="shared" si="28"/>
        <v>86870</v>
      </c>
      <c r="AG24" s="12">
        <f t="shared" si="28"/>
        <v>62094</v>
      </c>
      <c r="AH24" s="12">
        <f t="shared" si="28"/>
        <v>40688</v>
      </c>
      <c r="AI24" s="12">
        <f t="shared" si="28"/>
        <v>54903</v>
      </c>
      <c r="AJ24" s="12">
        <f t="shared" si="28"/>
        <v>-13901</v>
      </c>
      <c r="AK24" s="12">
        <f t="shared" si="28"/>
        <v>-13693</v>
      </c>
      <c r="AL24" s="12">
        <f t="shared" si="28"/>
        <v>42688</v>
      </c>
      <c r="AM24" s="12">
        <f t="shared" si="28"/>
        <v>101724</v>
      </c>
      <c r="AN24" s="12">
        <f t="shared" si="28"/>
        <v>79530</v>
      </c>
      <c r="AO24" s="12">
        <f t="shared" si="28"/>
        <v>61935</v>
      </c>
      <c r="AP24" s="12">
        <f t="shared" ref="AP24:AR24" si="29">SUM(AP10:AP23)</f>
        <v>78092</v>
      </c>
      <c r="AQ24" s="12">
        <f t="shared" si="29"/>
        <v>94401</v>
      </c>
      <c r="AR24" s="12">
        <f t="shared" si="29"/>
        <v>128572</v>
      </c>
      <c r="AS24" s="12">
        <f t="shared" ref="AS24:AT24" si="30">SUM(AS10:AS23)</f>
        <v>152956</v>
      </c>
      <c r="AT24" s="12">
        <f t="shared" si="30"/>
        <v>54449</v>
      </c>
      <c r="AU24" s="12">
        <f t="shared" ref="AU24:AV24" si="31">SUM(AU10:AU23)</f>
        <v>89121</v>
      </c>
      <c r="AV24" s="12">
        <f t="shared" si="31"/>
        <v>74429</v>
      </c>
      <c r="AW24" s="12">
        <f t="shared" ref="AW24:AX24" si="32">SUM(AW10:AW23)</f>
        <v>43582</v>
      </c>
      <c r="AX24" s="12">
        <f t="shared" si="32"/>
        <v>34678</v>
      </c>
      <c r="AY24" s="12">
        <f t="shared" ref="AY24:AZ24" si="33">SUM(AY10:AY23)</f>
        <v>67929</v>
      </c>
      <c r="AZ24" s="12">
        <f t="shared" si="33"/>
        <v>132319</v>
      </c>
      <c r="BA24" s="12">
        <f t="shared" ref="BA24:BF24" si="34">SUM(BA10:BA23)</f>
        <v>107107</v>
      </c>
      <c r="BB24" s="12">
        <f t="shared" si="34"/>
        <v>99503</v>
      </c>
      <c r="BC24" s="12">
        <f t="shared" si="34"/>
        <v>151276</v>
      </c>
      <c r="BD24" s="12">
        <f t="shared" si="34"/>
        <v>203373</v>
      </c>
      <c r="BE24" s="12">
        <f t="shared" si="34"/>
        <v>267048</v>
      </c>
      <c r="BF24" s="12">
        <f t="shared" si="34"/>
        <v>314106</v>
      </c>
      <c r="BG24" s="12">
        <f t="shared" ref="BG24:BI24" si="35">SUM(BG10:BG23)</f>
        <v>325534</v>
      </c>
      <c r="BH24" s="12">
        <f t="shared" ref="BH24" si="36">SUM(BH10:BH23)</f>
        <v>447295</v>
      </c>
      <c r="BI24" s="12">
        <f t="shared" si="35"/>
        <v>322916</v>
      </c>
      <c r="BJ24" s="12">
        <f t="shared" ref="BJ24:BM24" si="37">SUM(BJ10:BJ23)</f>
        <v>189176</v>
      </c>
      <c r="BK24" s="12">
        <f t="shared" si="37"/>
        <v>187381</v>
      </c>
      <c r="BL24" s="12">
        <f t="shared" si="37"/>
        <v>144277</v>
      </c>
      <c r="BM24" s="12">
        <f t="shared" si="37"/>
        <v>75853</v>
      </c>
      <c r="BN24" s="12">
        <f t="shared" ref="BN24:BO24" si="38">SUM(BN10:BN23)</f>
        <v>46753</v>
      </c>
      <c r="BO24" s="12">
        <f t="shared" si="38"/>
        <v>78481</v>
      </c>
      <c r="BP24" s="12">
        <f t="shared" ref="BP24:BU24" si="39">SUM(BP10:BP23)</f>
        <v>99506</v>
      </c>
      <c r="BQ24" s="12">
        <f t="shared" si="39"/>
        <v>126930</v>
      </c>
      <c r="BR24" s="12">
        <f t="shared" si="39"/>
        <v>47067</v>
      </c>
      <c r="BS24" s="12">
        <f t="shared" si="39"/>
        <v>61136</v>
      </c>
      <c r="BT24" s="12">
        <f t="shared" si="39"/>
        <v>67595</v>
      </c>
      <c r="BU24" s="12">
        <f t="shared" si="39"/>
        <v>50762</v>
      </c>
      <c r="BV24" s="2"/>
      <c r="BW24" s="12">
        <f t="shared" ref="BW24:CB24" si="40">SUM(BW10:BW23)</f>
        <v>394623</v>
      </c>
      <c r="BX24" s="12">
        <f t="shared" si="40"/>
        <v>17565</v>
      </c>
      <c r="BY24" s="12">
        <f t="shared" si="40"/>
        <v>144563</v>
      </c>
      <c r="BZ24" s="12">
        <f t="shared" si="40"/>
        <v>96154</v>
      </c>
      <c r="CA24" s="12">
        <f t="shared" si="40"/>
        <v>112232</v>
      </c>
      <c r="CB24" s="12">
        <f t="shared" si="40"/>
        <v>113481</v>
      </c>
      <c r="CC24" s="12">
        <f t="shared" si="6"/>
        <v>136254</v>
      </c>
      <c r="CD24" s="12">
        <f t="shared" si="7"/>
        <v>250366</v>
      </c>
      <c r="CE24" s="57">
        <f t="shared" si="8"/>
        <v>69997</v>
      </c>
      <c r="CF24" s="57">
        <f t="shared" si="9"/>
        <v>321281</v>
      </c>
      <c r="CG24" s="57">
        <f t="shared" si="10"/>
        <v>430378</v>
      </c>
      <c r="CH24" s="57">
        <f t="shared" si="11"/>
        <v>241810</v>
      </c>
      <c r="CI24" s="57">
        <f>SUM(AY24:BB24)</f>
        <v>406858</v>
      </c>
      <c r="CJ24" s="57">
        <f>SUM(BC24:BF24)</f>
        <v>935803</v>
      </c>
      <c r="CK24" s="57">
        <f t="shared" si="13"/>
        <v>1284921</v>
      </c>
      <c r="CL24" s="57">
        <f t="shared" si="14"/>
        <v>351984</v>
      </c>
      <c r="CM24" s="57">
        <f>SUM(BS24:BU24)</f>
        <v>179493</v>
      </c>
      <c r="CN24" s="81"/>
    </row>
    <row r="25" spans="2:93"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</row>
    <row r="26" spans="2:93"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2:93">
      <c r="R27" s="29"/>
      <c r="S27" s="23"/>
      <c r="T27" s="29"/>
      <c r="U27" s="23"/>
      <c r="V27" s="29"/>
      <c r="W27" s="23"/>
      <c r="X27" s="29"/>
      <c r="Y27" s="23"/>
      <c r="Z27" s="29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2:93">
      <c r="R28" s="24"/>
      <c r="S28" s="15"/>
      <c r="T28" s="15"/>
      <c r="U28" s="24"/>
      <c r="V28" s="24"/>
      <c r="W28" s="24"/>
      <c r="X28" s="24"/>
      <c r="Y28" s="24"/>
      <c r="Z28" s="25"/>
      <c r="AA28" s="23"/>
      <c r="AF28" s="23"/>
      <c r="AG28" s="23"/>
      <c r="AH28" s="23"/>
      <c r="AI28" s="23"/>
      <c r="AJ28" s="23"/>
      <c r="AK28" s="23"/>
      <c r="AL28" s="23"/>
      <c r="AN28" s="16"/>
      <c r="AO28" s="16"/>
      <c r="AP28" s="16"/>
      <c r="AQ28" s="16"/>
    </row>
    <row r="29" spans="2:93">
      <c r="AQ29" s="16"/>
      <c r="AR29" s="16"/>
      <c r="AX29" s="15"/>
      <c r="BV29" s="91"/>
    </row>
    <row r="30" spans="2:93">
      <c r="W30" s="15"/>
      <c r="Y30" s="15"/>
      <c r="AR30" s="22"/>
      <c r="AX30" s="15"/>
    </row>
    <row r="31" spans="2:93">
      <c r="C31" s="27"/>
      <c r="D31" s="28"/>
      <c r="E31" s="28"/>
      <c r="H31" s="26"/>
      <c r="I31" s="26"/>
      <c r="J31" s="26"/>
      <c r="K31" s="26"/>
      <c r="AR31" s="15"/>
      <c r="AS31" s="15"/>
      <c r="AX31" s="15"/>
      <c r="BM31" s="16"/>
      <c r="BN31" s="16"/>
      <c r="BO31" s="16"/>
      <c r="BP31" s="16"/>
      <c r="BQ31" s="16"/>
      <c r="BR31" s="16"/>
      <c r="BS31" s="16"/>
      <c r="BT31" s="16"/>
      <c r="BU31" s="16"/>
      <c r="BV31" s="15"/>
    </row>
    <row r="32" spans="2:93">
      <c r="C32" s="27"/>
      <c r="D32" s="28"/>
      <c r="E32" s="28"/>
      <c r="H32" s="26"/>
      <c r="I32" s="26"/>
      <c r="J32" s="26"/>
      <c r="K32" s="26"/>
      <c r="BN32" s="16"/>
      <c r="BO32" s="16"/>
      <c r="BP32" s="16"/>
      <c r="BQ32" s="16"/>
      <c r="BR32" s="16"/>
      <c r="BS32" s="16"/>
      <c r="BT32" s="16"/>
      <c r="BU32" s="16"/>
    </row>
    <row r="33" spans="8:50">
      <c r="H33" s="16"/>
      <c r="I33" s="16"/>
      <c r="J33" s="16"/>
      <c r="K33" s="16"/>
      <c r="AX33" s="15"/>
    </row>
    <row r="34" spans="8:50">
      <c r="H34" s="16"/>
      <c r="I34" s="16"/>
      <c r="J34" s="16"/>
      <c r="K34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3" max="1048575" man="1"/>
  </colBreaks>
  <ignoredErrors>
    <ignoredError sqref="BW23:CF23 BW7:CF14 BW16:CF16 CG11:CH11 CG7:CH7 CG8:CH8 CG9:CH9 CG10:CH10 CG23:CH23 CG12:CH12 CG13:CH13 CG14:CH14 CG15:CH15 CG16:CH16 CG17:CH17 CL11:CL2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0"/>
  <dimension ref="B3:CC65"/>
  <sheetViews>
    <sheetView showGridLines="0" zoomScale="80" zoomScaleNormal="80" zoomScaleSheetLayoutView="85" workbookViewId="0">
      <pane xSplit="2" ySplit="6" topLeftCell="BF7" activePane="bottomRight" state="frozen"/>
      <selection activeCell="BV30" sqref="BV30"/>
      <selection pane="topRight" activeCell="BV30" sqref="BV30"/>
      <selection pane="bottomLeft" activeCell="BV30" sqref="BV30"/>
      <selection pane="bottomRight" activeCell="BV30" sqref="BV30"/>
    </sheetView>
  </sheetViews>
  <sheetFormatPr defaultColWidth="9.140625" defaultRowHeight="15"/>
  <cols>
    <col min="1" max="1" width="1.140625" customWidth="1"/>
    <col min="2" max="2" width="42" customWidth="1"/>
    <col min="3" max="9" width="10.7109375" customWidth="1"/>
    <col min="10" max="10" width="11.28515625" bestFit="1" customWidth="1"/>
    <col min="11" max="25" width="10.7109375" customWidth="1"/>
    <col min="26" max="26" width="12" customWidth="1"/>
    <col min="27" max="29" width="13" customWidth="1"/>
    <col min="30" max="30" width="12.5703125" bestFit="1" customWidth="1"/>
    <col min="31" max="31" width="13" customWidth="1"/>
    <col min="32" max="33" width="13" bestFit="1" customWidth="1"/>
    <col min="34" max="35" width="13" customWidth="1"/>
    <col min="36" max="38" width="12.5703125" customWidth="1"/>
    <col min="39" max="39" width="11.140625" bestFit="1" customWidth="1"/>
    <col min="40" max="43" width="11.140625" customWidth="1"/>
    <col min="44" max="51" width="11.140625" bestFit="1" customWidth="1"/>
    <col min="52" max="54" width="12.42578125" bestFit="1" customWidth="1"/>
    <col min="55" max="61" width="12.42578125" customWidth="1"/>
    <col min="62" max="62" width="12.42578125" bestFit="1" customWidth="1"/>
    <col min="63" max="65" width="12.42578125" hidden="1" customWidth="1"/>
    <col min="66" max="66" width="12.42578125" bestFit="1" customWidth="1"/>
    <col min="67" max="69" width="12.42578125" hidden="1" customWidth="1"/>
    <col min="70" max="73" width="12.42578125" customWidth="1"/>
    <col min="75" max="75" width="11.140625" bestFit="1" customWidth="1"/>
    <col min="77" max="77" width="11.140625" bestFit="1" customWidth="1"/>
    <col min="79" max="79" width="11.140625" bestFit="1" customWidth="1"/>
  </cols>
  <sheetData>
    <row r="3" spans="2:81" ht="25.5" customHeight="1">
      <c r="B3" s="6" t="s">
        <v>225</v>
      </c>
    </row>
    <row r="4" spans="2:81">
      <c r="B4" s="6" t="s">
        <v>167</v>
      </c>
    </row>
    <row r="5" spans="2:81" s="19" customFormat="1" ht="7.5" customHeight="1" thickBot="1"/>
    <row r="6" spans="2:81" ht="15.75" thickBot="1">
      <c r="B6" s="11" t="s">
        <v>131</v>
      </c>
      <c r="C6" s="8" t="s">
        <v>55</v>
      </c>
      <c r="D6" s="8" t="s">
        <v>56</v>
      </c>
      <c r="E6" s="8" t="s">
        <v>57</v>
      </c>
      <c r="F6" s="8">
        <v>2008</v>
      </c>
      <c r="G6" s="8" t="s">
        <v>59</v>
      </c>
      <c r="H6" s="8" t="s">
        <v>60</v>
      </c>
      <c r="I6" s="8" t="s">
        <v>61</v>
      </c>
      <c r="J6" s="8">
        <v>2009</v>
      </c>
      <c r="K6" s="8" t="s">
        <v>29</v>
      </c>
      <c r="L6" s="8" t="s">
        <v>30</v>
      </c>
      <c r="M6" s="8" t="s">
        <v>31</v>
      </c>
      <c r="N6" s="8">
        <v>2010</v>
      </c>
      <c r="O6" s="8" t="s">
        <v>33</v>
      </c>
      <c r="P6" s="8" t="s">
        <v>34</v>
      </c>
      <c r="Q6" s="8" t="s">
        <v>35</v>
      </c>
      <c r="R6" s="8">
        <v>2011</v>
      </c>
      <c r="S6" s="8" t="s">
        <v>37</v>
      </c>
      <c r="T6" s="8" t="s">
        <v>38</v>
      </c>
      <c r="U6" s="8" t="s">
        <v>39</v>
      </c>
      <c r="V6" s="8">
        <v>2012</v>
      </c>
      <c r="W6" s="8" t="s">
        <v>41</v>
      </c>
      <c r="X6" s="8" t="s">
        <v>42</v>
      </c>
      <c r="Y6" s="8" t="s">
        <v>43</v>
      </c>
      <c r="Z6" s="8">
        <v>2013</v>
      </c>
      <c r="AA6" s="8" t="s">
        <v>45</v>
      </c>
      <c r="AB6" s="8" t="s">
        <v>46</v>
      </c>
      <c r="AC6" s="8" t="s">
        <v>136</v>
      </c>
      <c r="AD6" s="8">
        <v>2014</v>
      </c>
      <c r="AE6" s="8" t="s">
        <v>151</v>
      </c>
      <c r="AF6" s="8" t="s">
        <v>153</v>
      </c>
      <c r="AG6" s="8" t="s">
        <v>154</v>
      </c>
      <c r="AH6" s="8">
        <v>2015</v>
      </c>
      <c r="AI6" s="8" t="s">
        <v>159</v>
      </c>
      <c r="AJ6" s="8" t="s">
        <v>161</v>
      </c>
      <c r="AK6" s="8" t="s">
        <v>162</v>
      </c>
      <c r="AL6" s="8">
        <v>2016</v>
      </c>
      <c r="AM6" s="8" t="s">
        <v>170</v>
      </c>
      <c r="AN6" s="8" t="s">
        <v>171</v>
      </c>
      <c r="AO6" s="8" t="s">
        <v>172</v>
      </c>
      <c r="AP6" s="8">
        <v>2017</v>
      </c>
      <c r="AQ6" s="8" t="s">
        <v>176</v>
      </c>
      <c r="AR6" s="8" t="s">
        <v>177</v>
      </c>
      <c r="AS6" s="8" t="s">
        <v>180</v>
      </c>
      <c r="AT6" s="8">
        <v>2018</v>
      </c>
      <c r="AU6" s="8" t="s">
        <v>189</v>
      </c>
      <c r="AV6" s="8" t="s">
        <v>191</v>
      </c>
      <c r="AW6" s="8" t="s">
        <v>192</v>
      </c>
      <c r="AX6" s="8">
        <v>2019</v>
      </c>
      <c r="AY6" s="8" t="s">
        <v>194</v>
      </c>
      <c r="AZ6" s="8" t="s">
        <v>199</v>
      </c>
      <c r="BA6" s="8" t="s">
        <v>201</v>
      </c>
      <c r="BB6" s="8">
        <v>2020</v>
      </c>
      <c r="BC6" s="8" t="s">
        <v>208</v>
      </c>
      <c r="BD6" s="8" t="s">
        <v>209</v>
      </c>
      <c r="BE6" s="8" t="s">
        <v>211</v>
      </c>
      <c r="BF6" s="8">
        <v>2021</v>
      </c>
      <c r="BG6" s="8" t="s">
        <v>214</v>
      </c>
      <c r="BH6" s="8" t="s">
        <v>216</v>
      </c>
      <c r="BI6" s="8" t="s">
        <v>218</v>
      </c>
      <c r="BJ6" s="8">
        <v>2022</v>
      </c>
      <c r="BK6" s="8" t="s">
        <v>220</v>
      </c>
      <c r="BL6" s="8" t="s">
        <v>221</v>
      </c>
      <c r="BM6" s="8" t="s">
        <v>222</v>
      </c>
      <c r="BN6" s="8">
        <v>2023</v>
      </c>
      <c r="BO6" s="8" t="s">
        <v>228</v>
      </c>
      <c r="BP6" s="8" t="s">
        <v>230</v>
      </c>
      <c r="BQ6" s="8" t="s">
        <v>233</v>
      </c>
      <c r="BR6" s="8">
        <v>2024</v>
      </c>
      <c r="BS6" s="8" t="s">
        <v>236</v>
      </c>
      <c r="BT6" s="8" t="s">
        <v>237</v>
      </c>
      <c r="BU6" s="8" t="s">
        <v>238</v>
      </c>
    </row>
    <row r="7" spans="2:81" ht="15.75" thickBot="1">
      <c r="B7" s="9" t="s">
        <v>2</v>
      </c>
      <c r="C7" s="9">
        <f t="shared" ref="C7:AH7" si="0">SUM(C8:C14)</f>
        <v>432544</v>
      </c>
      <c r="D7" s="9">
        <f t="shared" si="0"/>
        <v>545415</v>
      </c>
      <c r="E7" s="9">
        <f t="shared" si="0"/>
        <v>624618</v>
      </c>
      <c r="F7" s="9">
        <f t="shared" si="0"/>
        <v>665096</v>
      </c>
      <c r="G7" s="9">
        <f t="shared" si="0"/>
        <v>665438</v>
      </c>
      <c r="H7" s="9">
        <f t="shared" si="0"/>
        <v>604266</v>
      </c>
      <c r="I7" s="9">
        <f t="shared" si="0"/>
        <v>628704</v>
      </c>
      <c r="J7" s="9">
        <f t="shared" si="0"/>
        <v>623343</v>
      </c>
      <c r="K7" s="9">
        <f t="shared" si="0"/>
        <v>649960</v>
      </c>
      <c r="L7" s="9">
        <f t="shared" si="0"/>
        <v>686112</v>
      </c>
      <c r="M7" s="9">
        <f t="shared" si="0"/>
        <v>694357</v>
      </c>
      <c r="N7" s="9">
        <f t="shared" si="0"/>
        <v>697456</v>
      </c>
      <c r="O7" s="9">
        <f t="shared" si="0"/>
        <v>686900</v>
      </c>
      <c r="P7" s="9">
        <f t="shared" si="0"/>
        <v>681026</v>
      </c>
      <c r="Q7" s="9">
        <f t="shared" si="0"/>
        <v>710100</v>
      </c>
      <c r="R7" s="9">
        <f t="shared" si="0"/>
        <v>662887</v>
      </c>
      <c r="S7" s="9">
        <f t="shared" si="0"/>
        <v>636222</v>
      </c>
      <c r="T7" s="9">
        <f t="shared" si="0"/>
        <v>650879</v>
      </c>
      <c r="U7" s="9">
        <f t="shared" si="0"/>
        <v>633942</v>
      </c>
      <c r="V7" s="9">
        <f t="shared" si="0"/>
        <v>629037</v>
      </c>
      <c r="W7" s="9">
        <f t="shared" si="0"/>
        <v>607942</v>
      </c>
      <c r="X7" s="9">
        <f t="shared" si="0"/>
        <v>607955</v>
      </c>
      <c r="Y7" s="9">
        <f t="shared" si="0"/>
        <v>624535</v>
      </c>
      <c r="Z7" s="9">
        <f t="shared" si="0"/>
        <v>631020</v>
      </c>
      <c r="AA7" s="9">
        <f t="shared" si="0"/>
        <v>644349</v>
      </c>
      <c r="AB7" s="9">
        <f t="shared" si="0"/>
        <v>661210</v>
      </c>
      <c r="AC7" s="9">
        <f t="shared" si="0"/>
        <v>654570</v>
      </c>
      <c r="AD7" s="9">
        <f t="shared" si="0"/>
        <v>680824</v>
      </c>
      <c r="AE7" s="9">
        <f t="shared" si="0"/>
        <v>691350</v>
      </c>
      <c r="AF7" s="9">
        <f t="shared" si="0"/>
        <v>757628</v>
      </c>
      <c r="AG7" s="9">
        <f t="shared" si="0"/>
        <v>799428</v>
      </c>
      <c r="AH7" s="9">
        <f t="shared" si="0"/>
        <v>677454</v>
      </c>
      <c r="AI7" s="9">
        <f t="shared" ref="AI7:AY7" si="1">SUM(AI8:AI14)</f>
        <v>651091</v>
      </c>
      <c r="AJ7" s="9">
        <f t="shared" si="1"/>
        <v>630417</v>
      </c>
      <c r="AK7" s="9">
        <f t="shared" si="1"/>
        <v>621168</v>
      </c>
      <c r="AL7" s="9">
        <f t="shared" si="1"/>
        <v>658305</v>
      </c>
      <c r="AM7" s="9">
        <f t="shared" si="1"/>
        <v>722627</v>
      </c>
      <c r="AN7" s="9">
        <f t="shared" si="1"/>
        <v>793770</v>
      </c>
      <c r="AO7" s="9">
        <f t="shared" si="1"/>
        <v>830130</v>
      </c>
      <c r="AP7" s="9">
        <f t="shared" si="1"/>
        <v>888379</v>
      </c>
      <c r="AQ7" s="9">
        <f t="shared" si="1"/>
        <v>951786</v>
      </c>
      <c r="AR7" s="9">
        <f t="shared" si="1"/>
        <v>703603</v>
      </c>
      <c r="AS7" s="9">
        <f t="shared" si="1"/>
        <v>792321</v>
      </c>
      <c r="AT7" s="9">
        <f t="shared" si="1"/>
        <v>810408</v>
      </c>
      <c r="AU7" s="9">
        <f t="shared" si="1"/>
        <v>855438</v>
      </c>
      <c r="AV7" s="9">
        <f t="shared" si="1"/>
        <v>795552</v>
      </c>
      <c r="AW7" s="97">
        <f t="shared" si="1"/>
        <v>859558</v>
      </c>
      <c r="AX7" s="97">
        <f t="shared" si="1"/>
        <v>693753</v>
      </c>
      <c r="AY7" s="97">
        <f t="shared" si="1"/>
        <v>766199</v>
      </c>
      <c r="AZ7" s="97">
        <f t="shared" ref="AZ7:BA7" si="2">SUM(AZ8:AZ14)</f>
        <v>889824</v>
      </c>
      <c r="BA7" s="97">
        <f t="shared" si="2"/>
        <v>862795</v>
      </c>
      <c r="BB7" s="97">
        <f t="shared" ref="BB7:BC7" si="3">SUM(BB8:BB14)</f>
        <v>774743</v>
      </c>
      <c r="BC7" s="97">
        <f t="shared" si="3"/>
        <v>866930</v>
      </c>
      <c r="BD7" s="97">
        <f t="shared" ref="BD7:BE7" si="4">SUM(BD8:BD14)</f>
        <v>1026520</v>
      </c>
      <c r="BE7" s="97">
        <f t="shared" si="4"/>
        <v>1245422</v>
      </c>
      <c r="BF7" s="97">
        <f t="shared" ref="BF7:BK7" si="5">SUM(BF8:BF14)</f>
        <v>1401854</v>
      </c>
      <c r="BG7" s="97">
        <f t="shared" si="5"/>
        <v>1551311</v>
      </c>
      <c r="BH7" s="97">
        <f t="shared" si="5"/>
        <v>1674164</v>
      </c>
      <c r="BI7" s="97">
        <f t="shared" si="5"/>
        <v>1709441</v>
      </c>
      <c r="BJ7" s="97">
        <f t="shared" si="5"/>
        <v>1694947</v>
      </c>
      <c r="BK7" s="97">
        <f t="shared" si="5"/>
        <v>1823177</v>
      </c>
      <c r="BL7" s="97">
        <f t="shared" ref="BL7:BM7" si="6">SUM(BL8:BL14)</f>
        <v>1768903</v>
      </c>
      <c r="BM7" s="97">
        <f t="shared" si="6"/>
        <v>1686372</v>
      </c>
      <c r="BN7" s="97">
        <f t="shared" ref="BN7:BO7" si="7">SUM(BN8:BN14)</f>
        <v>1584250</v>
      </c>
      <c r="BO7" s="97">
        <f t="shared" si="7"/>
        <v>1516468</v>
      </c>
      <c r="BP7" s="97">
        <f t="shared" ref="BP7:BU7" si="8">SUM(BP8:BP14)</f>
        <v>1617572</v>
      </c>
      <c r="BQ7" s="97">
        <f t="shared" si="8"/>
        <v>1808627</v>
      </c>
      <c r="BR7" s="97">
        <f t="shared" si="8"/>
        <v>1745724</v>
      </c>
      <c r="BS7" s="97">
        <f t="shared" si="8"/>
        <v>1671967</v>
      </c>
      <c r="BT7" s="97">
        <f t="shared" si="8"/>
        <v>1797892</v>
      </c>
      <c r="BU7" s="97">
        <f t="shared" si="8"/>
        <v>1689216</v>
      </c>
    </row>
    <row r="8" spans="2:81">
      <c r="B8" s="3" t="s">
        <v>77</v>
      </c>
      <c r="C8" s="2">
        <v>209968</v>
      </c>
      <c r="D8" s="2">
        <v>254738</v>
      </c>
      <c r="E8" s="2">
        <v>379315</v>
      </c>
      <c r="F8" s="2">
        <v>360034</v>
      </c>
      <c r="G8" s="2">
        <v>337948</v>
      </c>
      <c r="H8" s="2">
        <v>279884</v>
      </c>
      <c r="I8" s="2">
        <v>358327</v>
      </c>
      <c r="J8" s="2">
        <v>382732</v>
      </c>
      <c r="K8" s="2">
        <v>380125</v>
      </c>
      <c r="L8" s="2">
        <v>331985</v>
      </c>
      <c r="M8" s="2">
        <v>306086</v>
      </c>
      <c r="N8" s="2">
        <v>266789</v>
      </c>
      <c r="O8" s="2">
        <v>285464</v>
      </c>
      <c r="P8" s="2">
        <v>299180</v>
      </c>
      <c r="Q8" s="2">
        <v>318558</v>
      </c>
      <c r="R8" s="2">
        <v>235410</v>
      </c>
      <c r="S8" s="2">
        <v>201831</v>
      </c>
      <c r="T8" s="2">
        <v>308253</v>
      </c>
      <c r="U8" s="2">
        <v>260566</v>
      </c>
      <c r="V8" s="2">
        <v>229682</v>
      </c>
      <c r="W8" s="2">
        <v>195169</v>
      </c>
      <c r="X8" s="2">
        <v>199580</v>
      </c>
      <c r="Y8" s="2">
        <v>97419</v>
      </c>
      <c r="Z8" s="2">
        <v>116492</v>
      </c>
      <c r="AA8" s="2">
        <v>82602</v>
      </c>
      <c r="AB8" s="2">
        <v>79432</v>
      </c>
      <c r="AC8" s="2">
        <v>32219</v>
      </c>
      <c r="AD8" s="2">
        <v>54680</v>
      </c>
      <c r="AE8" s="2">
        <v>44426</v>
      </c>
      <c r="AF8" s="2">
        <v>88543</v>
      </c>
      <c r="AG8" s="2">
        <v>76748</v>
      </c>
      <c r="AH8" s="2">
        <v>40641</v>
      </c>
      <c r="AI8" s="2">
        <v>83825</v>
      </c>
      <c r="AJ8" s="2">
        <v>116249</v>
      </c>
      <c r="AK8" s="2">
        <v>113942</v>
      </c>
      <c r="AL8" s="2">
        <v>192400</v>
      </c>
      <c r="AM8" s="21">
        <v>301426</v>
      </c>
      <c r="AN8" s="21">
        <v>374021</v>
      </c>
      <c r="AO8" s="21">
        <v>408960</v>
      </c>
      <c r="AP8" s="21">
        <v>92440</v>
      </c>
      <c r="AQ8" s="21">
        <v>372312</v>
      </c>
      <c r="AR8" s="21">
        <v>178915</v>
      </c>
      <c r="AS8" s="21">
        <v>233165</v>
      </c>
      <c r="AT8" s="21">
        <v>182113</v>
      </c>
      <c r="AU8" s="21">
        <v>153616</v>
      </c>
      <c r="AV8" s="21">
        <v>95961</v>
      </c>
      <c r="AW8" s="21">
        <v>112640</v>
      </c>
      <c r="AX8" s="21">
        <v>73721</v>
      </c>
      <c r="AY8" s="21">
        <v>120811</v>
      </c>
      <c r="AZ8" s="21">
        <v>168109</v>
      </c>
      <c r="BA8" s="21">
        <v>117158</v>
      </c>
      <c r="BB8" s="21">
        <v>90497</v>
      </c>
      <c r="BC8" s="21">
        <v>64307</v>
      </c>
      <c r="BD8" s="21">
        <v>164625</v>
      </c>
      <c r="BE8" s="21">
        <v>143602</v>
      </c>
      <c r="BF8" s="21">
        <v>216512</v>
      </c>
      <c r="BG8" s="21">
        <v>318374</v>
      </c>
      <c r="BH8" s="21">
        <v>431357</v>
      </c>
      <c r="BI8" s="100">
        <v>436062</v>
      </c>
      <c r="BJ8" s="100">
        <v>474102</v>
      </c>
      <c r="BK8" s="100">
        <v>580246</v>
      </c>
      <c r="BL8" s="100">
        <v>558524</v>
      </c>
      <c r="BM8" s="100">
        <v>475611</v>
      </c>
      <c r="BN8" s="100">
        <v>341787</v>
      </c>
      <c r="BO8" s="100">
        <v>290972</v>
      </c>
      <c r="BP8" s="100">
        <v>388908</v>
      </c>
      <c r="BQ8" s="100">
        <v>468338</v>
      </c>
      <c r="BR8" s="100">
        <v>464086</v>
      </c>
      <c r="BS8" s="100">
        <v>447285</v>
      </c>
      <c r="BT8" s="100">
        <v>390550</v>
      </c>
      <c r="BU8" s="100">
        <v>357038</v>
      </c>
    </row>
    <row r="9" spans="2:81">
      <c r="B9" s="3" t="s">
        <v>75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24167</v>
      </c>
      <c r="K9" s="2">
        <v>44463</v>
      </c>
      <c r="L9" s="2">
        <v>110283</v>
      </c>
      <c r="M9" s="2">
        <v>113548</v>
      </c>
      <c r="N9" s="2">
        <v>116785</v>
      </c>
      <c r="O9" s="2">
        <v>103541</v>
      </c>
      <c r="P9" s="2">
        <v>106711</v>
      </c>
      <c r="Q9" s="2">
        <v>106294</v>
      </c>
      <c r="R9" s="2">
        <v>109463</v>
      </c>
      <c r="S9" s="2">
        <v>112529</v>
      </c>
      <c r="T9" s="2">
        <v>26694</v>
      </c>
      <c r="U9" s="2">
        <v>27219</v>
      </c>
      <c r="V9" s="2">
        <v>27707</v>
      </c>
      <c r="W9" s="2">
        <v>0</v>
      </c>
      <c r="X9" s="2">
        <v>0</v>
      </c>
      <c r="Y9" s="2">
        <v>122694</v>
      </c>
      <c r="Z9" s="2">
        <v>115551</v>
      </c>
      <c r="AA9" s="2">
        <v>175730</v>
      </c>
      <c r="AB9" s="2">
        <v>222877</v>
      </c>
      <c r="AC9" s="2">
        <v>236232</v>
      </c>
      <c r="AD9" s="2">
        <v>193653</v>
      </c>
      <c r="AE9" s="2">
        <v>170975</v>
      </c>
      <c r="AF9" s="2">
        <v>149690</v>
      </c>
      <c r="AG9" s="2">
        <v>159689</v>
      </c>
      <c r="AH9" s="2">
        <v>42178</v>
      </c>
      <c r="AI9" s="2">
        <v>47529</v>
      </c>
      <c r="AJ9" s="2">
        <v>70064</v>
      </c>
      <c r="AK9" s="2">
        <v>106339</v>
      </c>
      <c r="AL9" s="2">
        <v>84260</v>
      </c>
      <c r="AM9" s="21">
        <v>88458</v>
      </c>
      <c r="AN9" s="21">
        <v>88808</v>
      </c>
      <c r="AO9" s="21">
        <v>82939</v>
      </c>
      <c r="AP9" s="21">
        <v>421571</v>
      </c>
      <c r="AQ9" s="21">
        <v>175757</v>
      </c>
      <c r="AR9" s="21">
        <v>78893</v>
      </c>
      <c r="AS9" s="21">
        <v>78961</v>
      </c>
      <c r="AT9" s="21">
        <v>110132</v>
      </c>
      <c r="AU9" s="21">
        <v>142492</v>
      </c>
      <c r="AV9" s="21">
        <v>118607</v>
      </c>
      <c r="AW9" s="21">
        <v>143500</v>
      </c>
      <c r="AX9" s="21">
        <v>100633</v>
      </c>
      <c r="AY9" s="21">
        <v>104229</v>
      </c>
      <c r="AZ9" s="21">
        <v>108702</v>
      </c>
      <c r="BA9" s="21">
        <v>190866</v>
      </c>
      <c r="BB9" s="21">
        <v>191837</v>
      </c>
      <c r="BC9" s="21">
        <v>179994</v>
      </c>
      <c r="BD9" s="21">
        <v>229307</v>
      </c>
      <c r="BE9" s="21">
        <v>326804</v>
      </c>
      <c r="BF9" s="21">
        <v>385730</v>
      </c>
      <c r="BG9" s="21">
        <v>454793</v>
      </c>
      <c r="BH9" s="21">
        <v>386427</v>
      </c>
      <c r="BI9" s="100">
        <v>393399</v>
      </c>
      <c r="BJ9" s="100">
        <v>393461</v>
      </c>
      <c r="BK9" s="100">
        <v>441555</v>
      </c>
      <c r="BL9" s="100">
        <v>473098</v>
      </c>
      <c r="BM9" s="100">
        <v>489214</v>
      </c>
      <c r="BN9" s="100">
        <v>463299</v>
      </c>
      <c r="BO9" s="100">
        <v>408252</v>
      </c>
      <c r="BP9" s="100">
        <v>366703</v>
      </c>
      <c r="BQ9" s="100">
        <v>362294</v>
      </c>
      <c r="BR9" s="100">
        <v>382660</v>
      </c>
      <c r="BS9" s="100">
        <v>391438</v>
      </c>
      <c r="BT9" s="100">
        <v>581368</v>
      </c>
      <c r="BU9" s="100">
        <v>523678</v>
      </c>
    </row>
    <row r="10" spans="2:81">
      <c r="B10" s="3" t="s">
        <v>4</v>
      </c>
      <c r="C10" s="2">
        <v>70346</v>
      </c>
      <c r="D10" s="2">
        <v>129753</v>
      </c>
      <c r="E10" s="2">
        <v>82177</v>
      </c>
      <c r="F10" s="2">
        <v>69552</v>
      </c>
      <c r="G10" s="2">
        <v>43173</v>
      </c>
      <c r="H10" s="2">
        <v>60688</v>
      </c>
      <c r="I10" s="2">
        <v>87232</v>
      </c>
      <c r="J10" s="2">
        <v>61991</v>
      </c>
      <c r="K10" s="2">
        <v>75171</v>
      </c>
      <c r="L10" s="2">
        <v>103978</v>
      </c>
      <c r="M10" s="2">
        <v>92105</v>
      </c>
      <c r="N10" s="2">
        <v>111478</v>
      </c>
      <c r="O10" s="2">
        <v>106674</v>
      </c>
      <c r="P10" s="2">
        <v>84503</v>
      </c>
      <c r="Q10" s="2">
        <v>83384</v>
      </c>
      <c r="R10" s="2">
        <v>86707</v>
      </c>
      <c r="S10" s="2">
        <v>118936</v>
      </c>
      <c r="T10" s="2">
        <v>115848</v>
      </c>
      <c r="U10" s="2">
        <v>115027</v>
      </c>
      <c r="V10" s="2">
        <v>118517</v>
      </c>
      <c r="W10" s="2">
        <v>154495</v>
      </c>
      <c r="X10" s="2">
        <v>142848</v>
      </c>
      <c r="Y10" s="2">
        <v>167967</v>
      </c>
      <c r="Z10" s="2">
        <v>163347</v>
      </c>
      <c r="AA10" s="2">
        <v>158600</v>
      </c>
      <c r="AB10" s="2">
        <v>123862</v>
      </c>
      <c r="AC10" s="2">
        <v>118741</v>
      </c>
      <c r="AD10" s="2">
        <v>103766</v>
      </c>
      <c r="AE10" s="2">
        <v>112301</v>
      </c>
      <c r="AF10" s="2">
        <v>119969</v>
      </c>
      <c r="AG10" s="2">
        <v>106518</v>
      </c>
      <c r="AH10" s="2">
        <v>153046</v>
      </c>
      <c r="AI10" s="2">
        <v>127847</v>
      </c>
      <c r="AJ10" s="2">
        <v>97116</v>
      </c>
      <c r="AK10" s="2">
        <v>110626</v>
      </c>
      <c r="AL10" s="2">
        <v>136061</v>
      </c>
      <c r="AM10" s="21">
        <v>108669</v>
      </c>
      <c r="AN10" s="21">
        <v>121142</v>
      </c>
      <c r="AO10" s="21">
        <v>127415</v>
      </c>
      <c r="AP10" s="21">
        <v>129315</v>
      </c>
      <c r="AQ10" s="21">
        <v>149493</v>
      </c>
      <c r="AR10" s="21">
        <v>164826</v>
      </c>
      <c r="AS10" s="21">
        <v>149605</v>
      </c>
      <c r="AT10" s="21">
        <v>135943</v>
      </c>
      <c r="AU10" s="21">
        <v>133358</v>
      </c>
      <c r="AV10" s="21">
        <v>115306</v>
      </c>
      <c r="AW10" s="21">
        <v>112004</v>
      </c>
      <c r="AX10" s="21">
        <v>97445</v>
      </c>
      <c r="AY10" s="21">
        <v>144780</v>
      </c>
      <c r="AZ10" s="21">
        <v>198435</v>
      </c>
      <c r="BA10" s="21">
        <v>118336</v>
      </c>
      <c r="BB10" s="21">
        <v>154729</v>
      </c>
      <c r="BC10" s="21">
        <v>202465</v>
      </c>
      <c r="BD10" s="21">
        <v>178844</v>
      </c>
      <c r="BE10" s="21">
        <v>260599</v>
      </c>
      <c r="BF10" s="21">
        <v>288003</v>
      </c>
      <c r="BG10" s="21">
        <v>266746</v>
      </c>
      <c r="BH10" s="21">
        <v>327247</v>
      </c>
      <c r="BI10" s="100">
        <v>268875</v>
      </c>
      <c r="BJ10" s="100">
        <v>211934</v>
      </c>
      <c r="BK10" s="100">
        <v>239805</v>
      </c>
      <c r="BL10" s="100">
        <v>195583</v>
      </c>
      <c r="BM10" s="100">
        <v>172193</v>
      </c>
      <c r="BN10" s="100">
        <v>197566</v>
      </c>
      <c r="BO10" s="100">
        <v>184444</v>
      </c>
      <c r="BP10" s="100">
        <v>175475</v>
      </c>
      <c r="BQ10" s="100">
        <v>235250</v>
      </c>
      <c r="BR10" s="100">
        <v>200707</v>
      </c>
      <c r="BS10" s="100">
        <v>184173</v>
      </c>
      <c r="BT10" s="100">
        <v>224176</v>
      </c>
      <c r="BU10" s="100">
        <v>183777</v>
      </c>
    </row>
    <row r="11" spans="2:81">
      <c r="B11" s="3" t="s">
        <v>5</v>
      </c>
      <c r="C11" s="2">
        <v>144045</v>
      </c>
      <c r="D11" s="2">
        <v>149633</v>
      </c>
      <c r="E11" s="2">
        <v>155108</v>
      </c>
      <c r="F11" s="2">
        <v>225398</v>
      </c>
      <c r="G11" s="2">
        <v>271071</v>
      </c>
      <c r="H11" s="2">
        <v>256891</v>
      </c>
      <c r="I11" s="2">
        <v>176113</v>
      </c>
      <c r="J11" s="2">
        <v>143689</v>
      </c>
      <c r="K11" s="2">
        <v>141275</v>
      </c>
      <c r="L11" s="2">
        <v>132162</v>
      </c>
      <c r="M11" s="2">
        <v>174788</v>
      </c>
      <c r="N11" s="2">
        <v>194860</v>
      </c>
      <c r="O11" s="2">
        <v>183379</v>
      </c>
      <c r="P11" s="2">
        <v>179258</v>
      </c>
      <c r="Q11" s="2">
        <v>194003</v>
      </c>
      <c r="R11" s="2">
        <v>215857</v>
      </c>
      <c r="S11" s="2">
        <v>184845</v>
      </c>
      <c r="T11" s="2">
        <v>181072</v>
      </c>
      <c r="U11" s="2">
        <v>209326</v>
      </c>
      <c r="V11" s="2">
        <v>229085</v>
      </c>
      <c r="W11" s="2">
        <v>228005</v>
      </c>
      <c r="X11" s="2">
        <v>233620</v>
      </c>
      <c r="Y11" s="2">
        <v>211628</v>
      </c>
      <c r="Z11" s="2">
        <v>211570</v>
      </c>
      <c r="AA11" s="2">
        <v>206386</v>
      </c>
      <c r="AB11" s="2">
        <v>219633</v>
      </c>
      <c r="AC11" s="2">
        <v>250347</v>
      </c>
      <c r="AD11" s="2">
        <v>299679</v>
      </c>
      <c r="AE11" s="2">
        <v>348550</v>
      </c>
      <c r="AF11" s="2">
        <v>385894</v>
      </c>
      <c r="AG11" s="2">
        <v>417729</v>
      </c>
      <c r="AH11" s="2">
        <v>411603</v>
      </c>
      <c r="AI11" s="2">
        <v>355596</v>
      </c>
      <c r="AJ11" s="2">
        <v>284554</v>
      </c>
      <c r="AK11" s="2">
        <v>227063</v>
      </c>
      <c r="AL11" s="2">
        <v>185009</v>
      </c>
      <c r="AM11" s="21">
        <v>181862</v>
      </c>
      <c r="AN11" s="21">
        <v>176863</v>
      </c>
      <c r="AO11" s="21">
        <v>171141</v>
      </c>
      <c r="AP11" s="21">
        <v>202087</v>
      </c>
      <c r="AQ11" s="21">
        <v>215371</v>
      </c>
      <c r="AR11" s="21">
        <v>243606</v>
      </c>
      <c r="AS11" s="21">
        <v>276152</v>
      </c>
      <c r="AT11" s="21">
        <v>313126</v>
      </c>
      <c r="AU11" s="21">
        <v>353473</v>
      </c>
      <c r="AV11" s="21">
        <v>376199</v>
      </c>
      <c r="AW11" s="21">
        <v>337089</v>
      </c>
      <c r="AX11" s="21">
        <v>338357</v>
      </c>
      <c r="AY11" s="21">
        <v>311384</v>
      </c>
      <c r="AZ11" s="21">
        <v>322363</v>
      </c>
      <c r="BA11" s="21">
        <v>356913</v>
      </c>
      <c r="BB11" s="21">
        <v>285987</v>
      </c>
      <c r="BC11" s="21">
        <v>287227</v>
      </c>
      <c r="BD11" s="21">
        <v>336981</v>
      </c>
      <c r="BE11" s="21">
        <v>365675</v>
      </c>
      <c r="BF11" s="21">
        <v>421404</v>
      </c>
      <c r="BG11" s="21">
        <v>458999</v>
      </c>
      <c r="BH11" s="21">
        <v>487965</v>
      </c>
      <c r="BI11" s="100">
        <v>579283</v>
      </c>
      <c r="BJ11" s="100">
        <v>579161</v>
      </c>
      <c r="BK11" s="100">
        <v>525668</v>
      </c>
      <c r="BL11" s="100">
        <v>509435</v>
      </c>
      <c r="BM11" s="100">
        <v>509805</v>
      </c>
      <c r="BN11" s="100">
        <v>519147</v>
      </c>
      <c r="BO11" s="100">
        <v>558588</v>
      </c>
      <c r="BP11" s="100">
        <v>603802</v>
      </c>
      <c r="BQ11" s="100">
        <v>653358</v>
      </c>
      <c r="BR11" s="100">
        <v>556125</v>
      </c>
      <c r="BS11" s="100">
        <v>562202</v>
      </c>
      <c r="BT11" s="100">
        <v>508502</v>
      </c>
      <c r="BU11" s="100">
        <v>530613</v>
      </c>
    </row>
    <row r="12" spans="2:81">
      <c r="B12" s="3" t="s">
        <v>6</v>
      </c>
      <c r="C12" s="2">
        <v>7321</v>
      </c>
      <c r="D12" s="2">
        <v>9990</v>
      </c>
      <c r="E12" s="2">
        <v>6644</v>
      </c>
      <c r="F12" s="2">
        <v>8190</v>
      </c>
      <c r="G12" s="2">
        <v>11370</v>
      </c>
      <c r="H12" s="2">
        <v>4748</v>
      </c>
      <c r="I12" s="2">
        <v>5575</v>
      </c>
      <c r="J12" s="2">
        <v>9675</v>
      </c>
      <c r="K12" s="2">
        <v>7583</v>
      </c>
      <c r="L12" s="2">
        <v>6556</v>
      </c>
      <c r="M12" s="2">
        <v>5725</v>
      </c>
      <c r="N12" s="2">
        <v>4800</v>
      </c>
      <c r="O12" s="2">
        <v>4914</v>
      </c>
      <c r="P12" s="2">
        <v>8703</v>
      </c>
      <c r="Q12" s="2">
        <v>5219</v>
      </c>
      <c r="R12" s="2">
        <v>13740</v>
      </c>
      <c r="S12" s="2">
        <v>16042</v>
      </c>
      <c r="T12" s="2">
        <v>17324</v>
      </c>
      <c r="U12" s="2">
        <v>18145</v>
      </c>
      <c r="V12" s="2">
        <v>20379</v>
      </c>
      <c r="W12" s="2">
        <v>26506</v>
      </c>
      <c r="X12" s="2">
        <v>28024</v>
      </c>
      <c r="Y12" s="2">
        <v>17498</v>
      </c>
      <c r="Z12" s="2">
        <v>16277</v>
      </c>
      <c r="AA12" s="2">
        <v>11779</v>
      </c>
      <c r="AB12" s="2">
        <v>9218</v>
      </c>
      <c r="AC12" s="2">
        <f>9706</f>
        <v>9706</v>
      </c>
      <c r="AD12" s="2">
        <v>24065</v>
      </c>
      <c r="AE12" s="2">
        <v>7466</v>
      </c>
      <c r="AF12" s="2">
        <v>5166</v>
      </c>
      <c r="AG12" s="2">
        <v>8221</v>
      </c>
      <c r="AH12" s="2">
        <v>7905</v>
      </c>
      <c r="AI12" s="2">
        <v>8333</v>
      </c>
      <c r="AJ12" s="2">
        <v>11883</v>
      </c>
      <c r="AK12" s="2">
        <v>10673</v>
      </c>
      <c r="AL12" s="2">
        <v>17749</v>
      </c>
      <c r="AM12" s="21">
        <v>10261</v>
      </c>
      <c r="AN12" s="21">
        <v>12260</v>
      </c>
      <c r="AO12" s="21">
        <v>18303</v>
      </c>
      <c r="AP12" s="21">
        <v>12235</v>
      </c>
      <c r="AQ12" s="21">
        <v>13926</v>
      </c>
      <c r="AR12" s="21">
        <v>13163</v>
      </c>
      <c r="AS12" s="21">
        <v>12776</v>
      </c>
      <c r="AT12" s="21">
        <v>18506</v>
      </c>
      <c r="AU12" s="21">
        <v>31317</v>
      </c>
      <c r="AV12" s="21">
        <v>32675</v>
      </c>
      <c r="AW12" s="21">
        <v>119661</v>
      </c>
      <c r="AX12" s="21">
        <v>52389</v>
      </c>
      <c r="AY12" s="21">
        <v>54856</v>
      </c>
      <c r="AZ12" s="21">
        <v>65413</v>
      </c>
      <c r="BA12" s="21">
        <v>52327</v>
      </c>
      <c r="BB12" s="21">
        <v>30073</v>
      </c>
      <c r="BC12" s="21">
        <v>110578</v>
      </c>
      <c r="BD12" s="21">
        <v>86218</v>
      </c>
      <c r="BE12" s="21">
        <v>130671</v>
      </c>
      <c r="BF12" s="21">
        <v>69150</v>
      </c>
      <c r="BG12" s="21">
        <v>27861</v>
      </c>
      <c r="BH12" s="21">
        <v>22685</v>
      </c>
      <c r="BI12" s="100">
        <v>13980</v>
      </c>
      <c r="BJ12" s="100">
        <v>18324</v>
      </c>
      <c r="BK12" s="100">
        <v>15550</v>
      </c>
      <c r="BL12" s="100">
        <v>19023</v>
      </c>
      <c r="BM12" s="100">
        <v>24328</v>
      </c>
      <c r="BN12" s="100">
        <v>44615</v>
      </c>
      <c r="BO12" s="100">
        <v>55334</v>
      </c>
      <c r="BP12" s="100">
        <v>60264</v>
      </c>
      <c r="BQ12" s="100">
        <v>57063</v>
      </c>
      <c r="BR12" s="100">
        <v>120949</v>
      </c>
      <c r="BS12" s="100">
        <v>65701</v>
      </c>
      <c r="BT12" s="100">
        <v>69780</v>
      </c>
      <c r="BU12" s="100">
        <v>66293</v>
      </c>
    </row>
    <row r="13" spans="2:81">
      <c r="B13" s="3" t="s">
        <v>210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26152</v>
      </c>
      <c r="AK13" s="2">
        <v>20169</v>
      </c>
      <c r="AL13" s="2">
        <v>16311</v>
      </c>
      <c r="AM13" s="21">
        <v>10029</v>
      </c>
      <c r="AN13" s="21">
        <v>1721</v>
      </c>
      <c r="AO13" s="21">
        <v>4034</v>
      </c>
      <c r="AP13" s="21">
        <v>993</v>
      </c>
      <c r="AQ13" s="21">
        <v>1642</v>
      </c>
      <c r="AR13" s="21">
        <v>0</v>
      </c>
      <c r="AS13" s="21">
        <v>0</v>
      </c>
      <c r="AT13" s="21">
        <v>25087</v>
      </c>
      <c r="AU13" s="21">
        <v>17086</v>
      </c>
      <c r="AV13" s="21">
        <v>28352</v>
      </c>
      <c r="AW13" s="21">
        <v>0</v>
      </c>
      <c r="AX13" s="21">
        <v>1742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141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</row>
    <row r="14" spans="2:81" ht="15.75" thickBot="1">
      <c r="B14" s="3" t="s">
        <v>8</v>
      </c>
      <c r="C14" s="2">
        <v>864</v>
      </c>
      <c r="D14" s="2">
        <v>1301</v>
      </c>
      <c r="E14" s="2">
        <v>1374</v>
      </c>
      <c r="F14" s="2">
        <v>1922</v>
      </c>
      <c r="G14" s="2">
        <v>1876</v>
      </c>
      <c r="H14" s="2">
        <v>2055</v>
      </c>
      <c r="I14" s="2">
        <v>1457</v>
      </c>
      <c r="J14" s="2">
        <v>1089</v>
      </c>
      <c r="K14" s="2">
        <v>1343</v>
      </c>
      <c r="L14" s="2">
        <v>1148</v>
      </c>
      <c r="M14" s="2">
        <v>2105</v>
      </c>
      <c r="N14" s="2">
        <v>2744</v>
      </c>
      <c r="O14" s="2">
        <v>2928</v>
      </c>
      <c r="P14" s="2">
        <v>2671</v>
      </c>
      <c r="Q14" s="2">
        <v>2642</v>
      </c>
      <c r="R14" s="2">
        <v>1710</v>
      </c>
      <c r="S14" s="2">
        <v>2039</v>
      </c>
      <c r="T14" s="2">
        <v>1688</v>
      </c>
      <c r="U14" s="2">
        <v>3659</v>
      </c>
      <c r="V14" s="2">
        <v>3667</v>
      </c>
      <c r="W14" s="2">
        <v>3767</v>
      </c>
      <c r="X14" s="2">
        <v>3883</v>
      </c>
      <c r="Y14" s="2">
        <v>7329</v>
      </c>
      <c r="Z14" s="2">
        <v>7783</v>
      </c>
      <c r="AA14" s="2">
        <v>9252</v>
      </c>
      <c r="AB14" s="2">
        <v>6188</v>
      </c>
      <c r="AC14" s="2">
        <f>5562+1763</f>
        <v>7325</v>
      </c>
      <c r="AD14" s="2">
        <v>4981</v>
      </c>
      <c r="AE14" s="2">
        <v>7632</v>
      </c>
      <c r="AF14" s="2">
        <v>8366</v>
      </c>
      <c r="AG14" s="2">
        <f>10555+19968</f>
        <v>30523</v>
      </c>
      <c r="AH14" s="2">
        <f>10818+10618+645</f>
        <v>22081</v>
      </c>
      <c r="AI14" s="2">
        <v>27961</v>
      </c>
      <c r="AJ14" s="2">
        <v>24399</v>
      </c>
      <c r="AK14" s="2">
        <v>32356</v>
      </c>
      <c r="AL14" s="2">
        <v>26515</v>
      </c>
      <c r="AM14" s="21">
        <v>21922</v>
      </c>
      <c r="AN14" s="21">
        <v>18955</v>
      </c>
      <c r="AO14" s="21">
        <v>17338</v>
      </c>
      <c r="AP14" s="21">
        <v>29738</v>
      </c>
      <c r="AQ14" s="21">
        <v>23285</v>
      </c>
      <c r="AR14" s="21">
        <f>13560+10640</f>
        <v>24200</v>
      </c>
      <c r="AS14" s="21">
        <f>20112+9274+7990+4286</f>
        <v>41662</v>
      </c>
      <c r="AT14" s="21">
        <v>25501</v>
      </c>
      <c r="AU14" s="21">
        <f>2246+13356+8494</f>
        <v>24096</v>
      </c>
      <c r="AV14" s="21">
        <f>2132+13356+12964</f>
        <v>28452</v>
      </c>
      <c r="AW14" s="21">
        <f>18333+14292+2039</f>
        <v>34664</v>
      </c>
      <c r="AX14" s="21">
        <v>29466</v>
      </c>
      <c r="AY14" s="21">
        <v>30139</v>
      </c>
      <c r="AZ14" s="21">
        <v>26802</v>
      </c>
      <c r="BA14" s="21">
        <f>1704+14656+10835</f>
        <v>27195</v>
      </c>
      <c r="BB14" s="21">
        <v>21620</v>
      </c>
      <c r="BC14" s="21">
        <v>22359</v>
      </c>
      <c r="BD14" s="21">
        <v>30545</v>
      </c>
      <c r="BE14" s="21">
        <v>18071</v>
      </c>
      <c r="BF14" s="21">
        <v>21055</v>
      </c>
      <c r="BG14" s="21">
        <f>13091+2000+9447</f>
        <v>24538</v>
      </c>
      <c r="BH14" s="21">
        <v>18483</v>
      </c>
      <c r="BI14" s="21">
        <v>17701</v>
      </c>
      <c r="BJ14" s="100">
        <v>17965</v>
      </c>
      <c r="BK14" s="100">
        <v>20353</v>
      </c>
      <c r="BL14" s="100">
        <f>1272+1167+10801</f>
        <v>13240</v>
      </c>
      <c r="BM14" s="100">
        <f>11296+667+3258</f>
        <v>15221</v>
      </c>
      <c r="BN14" s="100">
        <f>11631+167+6038</f>
        <v>17836</v>
      </c>
      <c r="BO14" s="100">
        <f>5089+13789</f>
        <v>18878</v>
      </c>
      <c r="BP14" s="100">
        <f>17258+5162</f>
        <v>22420</v>
      </c>
      <c r="BQ14" s="100">
        <f>5085+27239</f>
        <v>32324</v>
      </c>
      <c r="BR14" s="100">
        <f>2901+18296</f>
        <v>21197</v>
      </c>
      <c r="BS14" s="100">
        <f>5082+16086</f>
        <v>21168</v>
      </c>
      <c r="BT14" s="100">
        <f>19587+3929</f>
        <v>23516</v>
      </c>
      <c r="BU14" s="100">
        <f>8616+19201</f>
        <v>27817</v>
      </c>
    </row>
    <row r="15" spans="2:81" ht="15.75" thickBot="1">
      <c r="B15" s="9" t="s">
        <v>74</v>
      </c>
      <c r="C15" s="97">
        <f t="shared" ref="C15:AY15" si="9">SUM(C16:C26)</f>
        <v>268728</v>
      </c>
      <c r="D15" s="97">
        <f t="shared" si="9"/>
        <v>290034</v>
      </c>
      <c r="E15" s="97">
        <f t="shared" si="9"/>
        <v>303672</v>
      </c>
      <c r="F15" s="97">
        <f t="shared" si="9"/>
        <v>323645</v>
      </c>
      <c r="G15" s="97">
        <f t="shared" si="9"/>
        <v>326934</v>
      </c>
      <c r="H15" s="97">
        <f t="shared" si="9"/>
        <v>339064</v>
      </c>
      <c r="I15" s="97">
        <f t="shared" si="9"/>
        <v>341017</v>
      </c>
      <c r="J15" s="97">
        <f t="shared" si="9"/>
        <v>449781</v>
      </c>
      <c r="K15" s="97">
        <f t="shared" si="9"/>
        <v>459649</v>
      </c>
      <c r="L15" s="97">
        <f t="shared" si="9"/>
        <v>459274</v>
      </c>
      <c r="M15" s="97">
        <f t="shared" si="9"/>
        <v>459424</v>
      </c>
      <c r="N15" s="97">
        <f t="shared" si="9"/>
        <v>491387</v>
      </c>
      <c r="O15" s="97">
        <f t="shared" si="9"/>
        <v>508240</v>
      </c>
      <c r="P15" s="97">
        <f t="shared" si="9"/>
        <v>531228</v>
      </c>
      <c r="Q15" s="97">
        <f t="shared" si="9"/>
        <v>567956</v>
      </c>
      <c r="R15" s="97">
        <f t="shared" si="9"/>
        <v>591446</v>
      </c>
      <c r="S15" s="97">
        <f t="shared" si="9"/>
        <v>619020</v>
      </c>
      <c r="T15" s="97">
        <f t="shared" si="9"/>
        <v>648479</v>
      </c>
      <c r="U15" s="97">
        <f t="shared" si="9"/>
        <v>673149</v>
      </c>
      <c r="V15" s="97">
        <f t="shared" si="9"/>
        <v>677964</v>
      </c>
      <c r="W15" s="97">
        <f t="shared" si="9"/>
        <v>706041</v>
      </c>
      <c r="X15" s="97">
        <f t="shared" si="9"/>
        <v>721724</v>
      </c>
      <c r="Y15" s="97">
        <f t="shared" si="9"/>
        <v>735336</v>
      </c>
      <c r="Z15" s="97">
        <f t="shared" si="9"/>
        <v>750776</v>
      </c>
      <c r="AA15" s="97">
        <f t="shared" si="9"/>
        <v>756868</v>
      </c>
      <c r="AB15" s="97">
        <f t="shared" si="9"/>
        <v>761764</v>
      </c>
      <c r="AC15" s="97">
        <f t="shared" si="9"/>
        <v>775958</v>
      </c>
      <c r="AD15" s="97">
        <f t="shared" si="9"/>
        <v>780705</v>
      </c>
      <c r="AE15" s="97">
        <f t="shared" si="9"/>
        <v>802352</v>
      </c>
      <c r="AF15" s="97">
        <f t="shared" si="9"/>
        <v>809341</v>
      </c>
      <c r="AG15" s="97">
        <f t="shared" si="9"/>
        <v>848158</v>
      </c>
      <c r="AH15" s="97">
        <f t="shared" si="9"/>
        <v>967688</v>
      </c>
      <c r="AI15" s="97">
        <f t="shared" si="9"/>
        <v>951271</v>
      </c>
      <c r="AJ15" s="97">
        <f t="shared" si="9"/>
        <v>939877</v>
      </c>
      <c r="AK15" s="97">
        <f t="shared" si="9"/>
        <v>947461</v>
      </c>
      <c r="AL15" s="97">
        <f t="shared" si="9"/>
        <v>999315</v>
      </c>
      <c r="AM15" s="97">
        <f t="shared" si="9"/>
        <v>968251</v>
      </c>
      <c r="AN15" s="97">
        <f t="shared" si="9"/>
        <v>970036</v>
      </c>
      <c r="AO15" s="97">
        <f t="shared" si="9"/>
        <v>974748</v>
      </c>
      <c r="AP15" s="97">
        <f t="shared" si="9"/>
        <v>968082</v>
      </c>
      <c r="AQ15" s="97">
        <f t="shared" si="9"/>
        <v>967379</v>
      </c>
      <c r="AR15" s="97">
        <f t="shared" si="9"/>
        <v>1800534</v>
      </c>
      <c r="AS15" s="97">
        <f t="shared" si="9"/>
        <v>1863462</v>
      </c>
      <c r="AT15" s="97">
        <f t="shared" si="9"/>
        <v>1849502</v>
      </c>
      <c r="AU15" s="97">
        <f t="shared" si="9"/>
        <v>1858490</v>
      </c>
      <c r="AV15" s="97">
        <f t="shared" si="9"/>
        <v>1849386</v>
      </c>
      <c r="AW15" s="97">
        <f t="shared" si="9"/>
        <v>1946006</v>
      </c>
      <c r="AX15" s="97">
        <f t="shared" si="9"/>
        <v>2052691</v>
      </c>
      <c r="AY15" s="97">
        <f t="shared" si="9"/>
        <v>2072402</v>
      </c>
      <c r="AZ15" s="97">
        <f t="shared" ref="AZ15:BA15" si="10">SUM(AZ16:AZ26)</f>
        <v>2044278</v>
      </c>
      <c r="BA15" s="97">
        <f t="shared" si="10"/>
        <v>2028472</v>
      </c>
      <c r="BB15" s="97">
        <f t="shared" ref="BB15:BC15" si="11">SUM(BB16:BB26)</f>
        <v>2042444</v>
      </c>
      <c r="BC15" s="97">
        <f t="shared" si="11"/>
        <v>1964864</v>
      </c>
      <c r="BD15" s="97">
        <f t="shared" ref="BD15:BE15" si="12">SUM(BD16:BD26)</f>
        <v>1878118</v>
      </c>
      <c r="BE15" s="97">
        <f t="shared" si="12"/>
        <v>1881264</v>
      </c>
      <c r="BF15" s="97">
        <f t="shared" ref="BF15:BG15" si="13">SUM(BF16:BF26)</f>
        <v>1994728</v>
      </c>
      <c r="BG15" s="97">
        <f t="shared" si="13"/>
        <v>2031882</v>
      </c>
      <c r="BH15" s="97">
        <f t="shared" ref="BH15:BM15" si="14">SUM(BH16:BH26)</f>
        <v>2133918</v>
      </c>
      <c r="BI15" s="97">
        <f t="shared" si="14"/>
        <v>2262591</v>
      </c>
      <c r="BJ15" s="97">
        <f t="shared" si="14"/>
        <v>2372438</v>
      </c>
      <c r="BK15" s="97">
        <f t="shared" si="14"/>
        <v>2304564</v>
      </c>
      <c r="BL15" s="97">
        <f t="shared" si="14"/>
        <v>2362629</v>
      </c>
      <c r="BM15" s="97">
        <f t="shared" si="14"/>
        <v>2450437</v>
      </c>
      <c r="BN15" s="97">
        <f t="shared" ref="BN15:BO15" si="15">SUM(BN16:BN26)</f>
        <v>2526447</v>
      </c>
      <c r="BO15" s="97">
        <f t="shared" si="15"/>
        <v>2574375</v>
      </c>
      <c r="BP15" s="97">
        <f t="shared" ref="BP15:BU15" si="16">SUM(BP16:BP26)</f>
        <v>2558394</v>
      </c>
      <c r="BQ15" s="97">
        <f t="shared" si="16"/>
        <v>2531334</v>
      </c>
      <c r="BR15" s="97">
        <f t="shared" si="16"/>
        <v>2642156</v>
      </c>
      <c r="BS15" s="97">
        <f t="shared" si="16"/>
        <v>2662595</v>
      </c>
      <c r="BT15" s="97">
        <f t="shared" si="16"/>
        <v>2478542</v>
      </c>
      <c r="BU15" s="97">
        <f t="shared" si="16"/>
        <v>2542419</v>
      </c>
    </row>
    <row r="16" spans="2:81" s="101" customFormat="1">
      <c r="B16" s="3" t="s">
        <v>152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15500</v>
      </c>
      <c r="AF16" s="17">
        <v>15500</v>
      </c>
      <c r="AG16" s="17">
        <v>35610</v>
      </c>
      <c r="AH16" s="17">
        <v>65711</v>
      </c>
      <c r="AI16" s="17">
        <v>65377</v>
      </c>
      <c r="AJ16" s="17">
        <v>60044</v>
      </c>
      <c r="AK16" s="17">
        <v>59296</v>
      </c>
      <c r="AL16" s="17">
        <v>55869</v>
      </c>
      <c r="AM16" s="17">
        <v>52751</v>
      </c>
      <c r="AN16" s="17">
        <v>49329</v>
      </c>
      <c r="AO16" s="71">
        <v>47353</v>
      </c>
      <c r="AP16" s="71">
        <v>42165</v>
      </c>
      <c r="AQ16" s="71">
        <v>39225</v>
      </c>
      <c r="AR16" s="71">
        <v>35885</v>
      </c>
      <c r="AS16" s="71">
        <v>33939</v>
      </c>
      <c r="AT16" s="71">
        <v>30697</v>
      </c>
      <c r="AU16" s="71">
        <v>27506</v>
      </c>
      <c r="AV16" s="71">
        <v>24016</v>
      </c>
      <c r="AW16" s="71">
        <v>20256</v>
      </c>
      <c r="AX16" s="21">
        <v>16530</v>
      </c>
      <c r="AY16" s="21">
        <v>13230</v>
      </c>
      <c r="AZ16" s="21">
        <v>9582</v>
      </c>
      <c r="BA16" s="21">
        <v>5743</v>
      </c>
      <c r="BB16" s="21">
        <v>4993</v>
      </c>
      <c r="BC16" s="21">
        <v>3667</v>
      </c>
      <c r="BD16" s="21">
        <v>3167</v>
      </c>
      <c r="BE16" s="21">
        <v>2667</v>
      </c>
      <c r="BF16" s="21">
        <v>2167</v>
      </c>
      <c r="BG16" s="21">
        <v>1667</v>
      </c>
      <c r="BH16" s="21">
        <v>1167</v>
      </c>
      <c r="BI16" s="21">
        <v>667</v>
      </c>
      <c r="BJ16" s="21">
        <v>167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21">
        <v>0</v>
      </c>
      <c r="BU16" s="21">
        <v>0</v>
      </c>
      <c r="BV16"/>
      <c r="BW16"/>
      <c r="BX16"/>
      <c r="BY16"/>
      <c r="BZ16"/>
      <c r="CA16"/>
      <c r="CB16"/>
      <c r="CC16"/>
    </row>
    <row r="17" spans="2:81">
      <c r="B17" s="3" t="s">
        <v>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628</v>
      </c>
      <c r="S17" s="2">
        <v>643</v>
      </c>
      <c r="T17" s="2">
        <v>657</v>
      </c>
      <c r="U17" s="2">
        <v>670</v>
      </c>
      <c r="V17" s="2">
        <v>682</v>
      </c>
      <c r="W17" s="2">
        <v>693</v>
      </c>
      <c r="X17" s="2">
        <v>706</v>
      </c>
      <c r="Y17" s="2">
        <v>721</v>
      </c>
      <c r="Z17" s="2">
        <v>738</v>
      </c>
      <c r="AA17" s="2">
        <v>757</v>
      </c>
      <c r="AB17" s="2">
        <v>776</v>
      </c>
      <c r="AC17" s="2">
        <v>11854</v>
      </c>
      <c r="AD17" s="2">
        <v>12191</v>
      </c>
      <c r="AE17" s="2">
        <v>12543</v>
      </c>
      <c r="AF17" s="2">
        <v>12062</v>
      </c>
      <c r="AG17" s="2">
        <v>0</v>
      </c>
      <c r="AH17" s="2">
        <v>37386</v>
      </c>
      <c r="AI17" s="2">
        <v>38560</v>
      </c>
      <c r="AJ17" s="2">
        <v>19340</v>
      </c>
      <c r="AK17" s="2">
        <v>20062</v>
      </c>
      <c r="AL17" s="2">
        <v>44226</v>
      </c>
      <c r="AM17" s="2">
        <v>24019</v>
      </c>
      <c r="AN17" s="2">
        <v>24629</v>
      </c>
      <c r="AO17" s="2">
        <v>25644</v>
      </c>
      <c r="AP17" s="2">
        <v>26089</v>
      </c>
      <c r="AQ17" s="2">
        <v>40405</v>
      </c>
      <c r="AR17" s="2">
        <v>85397</v>
      </c>
      <c r="AS17" s="2">
        <v>82937</v>
      </c>
      <c r="AT17" s="2">
        <v>78930</v>
      </c>
      <c r="AU17" s="2">
        <v>72769</v>
      </c>
      <c r="AV17" s="2">
        <v>70594</v>
      </c>
      <c r="AW17" s="2">
        <v>67707</v>
      </c>
      <c r="AX17" s="21">
        <v>68649</v>
      </c>
      <c r="AY17" s="21">
        <v>70261</v>
      </c>
      <c r="AZ17" s="21">
        <v>77976</v>
      </c>
      <c r="BA17" s="21">
        <v>95082</v>
      </c>
      <c r="BB17" s="21">
        <v>129076</v>
      </c>
      <c r="BC17" s="21">
        <v>160973</v>
      </c>
      <c r="BD17" s="21">
        <v>97157</v>
      </c>
      <c r="BE17" s="21">
        <v>159984</v>
      </c>
      <c r="BF17" s="21">
        <v>211409</v>
      </c>
      <c r="BG17" s="21">
        <v>257155</v>
      </c>
      <c r="BH17" s="21">
        <v>330510</v>
      </c>
      <c r="BI17" s="21">
        <v>405408</v>
      </c>
      <c r="BJ17" s="21">
        <v>417569</v>
      </c>
      <c r="BK17" s="21">
        <v>373009</v>
      </c>
      <c r="BL17" s="21">
        <v>366345</v>
      </c>
      <c r="BM17" s="21">
        <v>388969</v>
      </c>
      <c r="BN17" s="21">
        <v>367541</v>
      </c>
      <c r="BO17" s="21">
        <v>350478</v>
      </c>
      <c r="BP17" s="21">
        <v>291374</v>
      </c>
      <c r="BQ17" s="21">
        <v>236327</v>
      </c>
      <c r="BR17" s="21">
        <v>286910</v>
      </c>
      <c r="BS17" s="21">
        <v>303161</v>
      </c>
      <c r="BT17" s="21">
        <v>92126</v>
      </c>
      <c r="BU17" s="21">
        <v>93165</v>
      </c>
    </row>
    <row r="18" spans="2:81">
      <c r="B18" s="3" t="s">
        <v>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6427</v>
      </c>
      <c r="K18" s="2">
        <v>6947</v>
      </c>
      <c r="L18" s="2">
        <v>7070</v>
      </c>
      <c r="M18" s="2">
        <v>6968</v>
      </c>
      <c r="N18" s="2">
        <v>7352</v>
      </c>
      <c r="O18" s="2">
        <v>7230</v>
      </c>
      <c r="P18" s="2">
        <v>7225</v>
      </c>
      <c r="Q18" s="2">
        <v>6495</v>
      </c>
      <c r="R18" s="2">
        <v>7868</v>
      </c>
      <c r="S18" s="2">
        <v>8305</v>
      </c>
      <c r="T18" s="2">
        <v>8938</v>
      </c>
      <c r="U18" s="2">
        <v>10028</v>
      </c>
      <c r="V18" s="2">
        <v>9616</v>
      </c>
      <c r="W18" s="2">
        <v>8895</v>
      </c>
      <c r="X18" s="2">
        <v>10231</v>
      </c>
      <c r="Y18" s="2">
        <v>10585</v>
      </c>
      <c r="Z18" s="2">
        <v>10764</v>
      </c>
      <c r="AA18" s="2">
        <v>10804</v>
      </c>
      <c r="AB18" s="2">
        <v>10817</v>
      </c>
      <c r="AC18" s="2">
        <v>10719</v>
      </c>
      <c r="AD18" s="2">
        <v>13369</v>
      </c>
      <c r="AE18" s="2">
        <v>13050</v>
      </c>
      <c r="AF18" s="2">
        <v>13046</v>
      </c>
      <c r="AG18" s="2">
        <v>13055</v>
      </c>
      <c r="AH18" s="2">
        <v>18082</v>
      </c>
      <c r="AI18" s="2">
        <v>19008</v>
      </c>
      <c r="AJ18" s="2">
        <v>18993</v>
      </c>
      <c r="AK18" s="2">
        <v>18983</v>
      </c>
      <c r="AL18" s="2">
        <v>20663</v>
      </c>
      <c r="AM18" s="2">
        <v>20662</v>
      </c>
      <c r="AN18" s="2">
        <v>20658</v>
      </c>
      <c r="AO18" s="2">
        <v>20657</v>
      </c>
      <c r="AP18" s="2">
        <v>3305</v>
      </c>
      <c r="AQ18" s="2">
        <v>3305</v>
      </c>
      <c r="AR18" s="2">
        <v>3305</v>
      </c>
      <c r="AS18" s="2">
        <v>3305</v>
      </c>
      <c r="AT18" s="2">
        <v>377</v>
      </c>
      <c r="AU18" s="2">
        <v>377</v>
      </c>
      <c r="AV18" s="2">
        <v>610</v>
      </c>
      <c r="AW18" s="2">
        <v>610</v>
      </c>
      <c r="AX18" s="21">
        <v>380</v>
      </c>
      <c r="AY18" s="21">
        <v>380</v>
      </c>
      <c r="AZ18" s="21">
        <v>380</v>
      </c>
      <c r="BA18" s="21">
        <v>380</v>
      </c>
      <c r="BB18" s="21">
        <v>4542</v>
      </c>
      <c r="BC18" s="21">
        <v>4542</v>
      </c>
      <c r="BD18" s="21">
        <v>4542</v>
      </c>
      <c r="BE18" s="21">
        <v>4542</v>
      </c>
      <c r="BF18" s="21">
        <v>6834</v>
      </c>
      <c r="BG18" s="21">
        <v>6834</v>
      </c>
      <c r="BH18" s="21">
        <v>5851</v>
      </c>
      <c r="BI18" s="21">
        <v>6015</v>
      </c>
      <c r="BJ18" s="21">
        <v>8738</v>
      </c>
      <c r="BK18" s="21">
        <v>8738</v>
      </c>
      <c r="BL18" s="21">
        <v>8738</v>
      </c>
      <c r="BM18" s="21">
        <v>8051</v>
      </c>
      <c r="BN18" s="21">
        <v>8051</v>
      </c>
      <c r="BO18" s="21">
        <v>8051</v>
      </c>
      <c r="BP18" s="21">
        <v>8051</v>
      </c>
      <c r="BQ18" s="21">
        <v>3396</v>
      </c>
      <c r="BR18" s="21">
        <v>3396</v>
      </c>
      <c r="BS18" s="21">
        <v>3396</v>
      </c>
      <c r="BT18" s="21">
        <v>3396</v>
      </c>
      <c r="BU18" s="21">
        <v>8987</v>
      </c>
    </row>
    <row r="19" spans="2:81">
      <c r="B19" s="3" t="s">
        <v>6</v>
      </c>
      <c r="C19" s="2">
        <v>14310</v>
      </c>
      <c r="D19" s="2">
        <v>12334</v>
      </c>
      <c r="E19" s="2">
        <v>12684</v>
      </c>
      <c r="F19" s="2">
        <v>15815</v>
      </c>
      <c r="G19" s="2">
        <v>11859</v>
      </c>
      <c r="H19" s="2">
        <v>15307</v>
      </c>
      <c r="I19" s="2">
        <v>9046</v>
      </c>
      <c r="J19" s="2">
        <v>8633</v>
      </c>
      <c r="K19" s="2">
        <v>8511</v>
      </c>
      <c r="L19" s="2">
        <v>8660</v>
      </c>
      <c r="M19" s="2">
        <v>8941</v>
      </c>
      <c r="N19" s="2">
        <v>8812</v>
      </c>
      <c r="O19" s="2">
        <v>8578</v>
      </c>
      <c r="P19" s="2">
        <v>9602</v>
      </c>
      <c r="Q19" s="2">
        <v>9423</v>
      </c>
      <c r="R19" s="2">
        <v>8827</v>
      </c>
      <c r="S19" s="2">
        <v>8493</v>
      </c>
      <c r="T19" s="2">
        <v>8783</v>
      </c>
      <c r="U19" s="2">
        <v>8940</v>
      </c>
      <c r="V19" s="2">
        <v>8319</v>
      </c>
      <c r="W19" s="2">
        <v>8940</v>
      </c>
      <c r="X19" s="2">
        <v>8599</v>
      </c>
      <c r="Y19" s="2">
        <v>8366</v>
      </c>
      <c r="Z19" s="2">
        <v>8161</v>
      </c>
      <c r="AA19" s="2">
        <v>9368</v>
      </c>
      <c r="AB19" s="2">
        <v>8808</v>
      </c>
      <c r="AC19" s="2">
        <v>8358</v>
      </c>
      <c r="AD19" s="2">
        <v>10367</v>
      </c>
      <c r="AE19" s="2">
        <v>9994</v>
      </c>
      <c r="AF19" s="2">
        <v>9416</v>
      </c>
      <c r="AG19" s="2">
        <v>8972</v>
      </c>
      <c r="AH19" s="2">
        <v>8965</v>
      </c>
      <c r="AI19" s="2">
        <v>8856</v>
      </c>
      <c r="AJ19" s="2">
        <v>7459</v>
      </c>
      <c r="AK19" s="2">
        <v>7348</v>
      </c>
      <c r="AL19" s="2">
        <v>6774</v>
      </c>
      <c r="AM19" s="2">
        <v>6175</v>
      </c>
      <c r="AN19" s="2">
        <v>6102</v>
      </c>
      <c r="AO19" s="2">
        <v>4669</v>
      </c>
      <c r="AP19" s="2">
        <v>5454</v>
      </c>
      <c r="AQ19" s="2">
        <v>5113</v>
      </c>
      <c r="AR19" s="2">
        <v>4894</v>
      </c>
      <c r="AS19" s="2">
        <v>5094</v>
      </c>
      <c r="AT19" s="2">
        <v>5422</v>
      </c>
      <c r="AU19" s="2">
        <v>5506</v>
      </c>
      <c r="AV19" s="2">
        <v>5285</v>
      </c>
      <c r="AW19" s="2">
        <v>104370</v>
      </c>
      <c r="AX19" s="21">
        <v>177324</v>
      </c>
      <c r="AY19" s="21">
        <v>176782</v>
      </c>
      <c r="AZ19" s="21">
        <v>176376</v>
      </c>
      <c r="BA19" s="21">
        <v>165348</v>
      </c>
      <c r="BB19" s="21">
        <v>165051</v>
      </c>
      <c r="BC19" s="21">
        <v>79698</v>
      </c>
      <c r="BD19" s="21">
        <v>79343</v>
      </c>
      <c r="BE19" s="21">
        <v>3754</v>
      </c>
      <c r="BF19" s="21">
        <v>3840</v>
      </c>
      <c r="BG19" s="21">
        <v>3907</v>
      </c>
      <c r="BH19" s="21">
        <v>4112</v>
      </c>
      <c r="BI19" s="21">
        <v>4642</v>
      </c>
      <c r="BJ19" s="21">
        <v>6662</v>
      </c>
      <c r="BK19" s="21">
        <v>6692</v>
      </c>
      <c r="BL19" s="21">
        <v>7093</v>
      </c>
      <c r="BM19" s="21">
        <v>7678</v>
      </c>
      <c r="BN19" s="21">
        <v>6932</v>
      </c>
      <c r="BO19" s="21">
        <v>6396</v>
      </c>
      <c r="BP19" s="21">
        <v>6039</v>
      </c>
      <c r="BQ19" s="21">
        <v>6018</v>
      </c>
      <c r="BR19" s="21">
        <v>7209</v>
      </c>
      <c r="BS19" s="21">
        <v>6819</v>
      </c>
      <c r="BT19" s="21">
        <v>7842</v>
      </c>
      <c r="BU19" s="21">
        <v>8914</v>
      </c>
    </row>
    <row r="20" spans="2:81" s="101" customFormat="1">
      <c r="B20" s="3" t="s">
        <v>76</v>
      </c>
      <c r="C20" s="17">
        <v>7006</v>
      </c>
      <c r="D20" s="17">
        <v>9031</v>
      </c>
      <c r="E20" s="17">
        <v>10514</v>
      </c>
      <c r="F20" s="17">
        <v>5750</v>
      </c>
      <c r="G20" s="17">
        <v>5827</v>
      </c>
      <c r="H20" s="17">
        <v>5802</v>
      </c>
      <c r="I20" s="17">
        <v>5612</v>
      </c>
      <c r="J20" s="17">
        <v>0</v>
      </c>
      <c r="K20" s="17">
        <v>0</v>
      </c>
      <c r="L20" s="17">
        <v>0</v>
      </c>
      <c r="M20" s="17">
        <v>0</v>
      </c>
      <c r="N20" s="17" t="s">
        <v>3</v>
      </c>
      <c r="O20" s="17" t="s">
        <v>3</v>
      </c>
      <c r="P20" s="17" t="s">
        <v>3</v>
      </c>
      <c r="Q20" s="17" t="s">
        <v>3</v>
      </c>
      <c r="R20" s="17" t="s">
        <v>3</v>
      </c>
      <c r="S20" s="17" t="s">
        <v>3</v>
      </c>
      <c r="T20" s="17" t="s">
        <v>3</v>
      </c>
      <c r="U20" s="17" t="s">
        <v>3</v>
      </c>
      <c r="V20" s="17" t="s">
        <v>3</v>
      </c>
      <c r="W20" s="17" t="s">
        <v>3</v>
      </c>
      <c r="X20" s="17" t="s">
        <v>3</v>
      </c>
      <c r="Y20" s="17" t="s">
        <v>3</v>
      </c>
      <c r="Z20" s="17" t="s">
        <v>3</v>
      </c>
      <c r="AA20" s="17" t="s">
        <v>3</v>
      </c>
      <c r="AB20" s="17" t="s">
        <v>3</v>
      </c>
      <c r="AC20" s="17" t="s">
        <v>3</v>
      </c>
      <c r="AD20" s="17">
        <v>0</v>
      </c>
      <c r="AE20" s="17">
        <v>0</v>
      </c>
      <c r="AF20" s="17">
        <v>0</v>
      </c>
      <c r="AG20" s="17">
        <v>26915</v>
      </c>
      <c r="AH20" s="17">
        <v>29559</v>
      </c>
      <c r="AI20" s="17">
        <v>0</v>
      </c>
      <c r="AJ20" s="17">
        <v>0</v>
      </c>
      <c r="AK20" s="17">
        <v>153</v>
      </c>
      <c r="AL20" s="2">
        <v>5965</v>
      </c>
      <c r="AM20" s="2">
        <v>0</v>
      </c>
      <c r="AN20" s="2">
        <v>0</v>
      </c>
      <c r="AO20" s="2">
        <v>0</v>
      </c>
      <c r="AP20" s="2">
        <v>5312</v>
      </c>
      <c r="AQ20" s="2">
        <v>0</v>
      </c>
      <c r="AR20" s="2">
        <v>3367</v>
      </c>
      <c r="AS20" s="2">
        <v>0</v>
      </c>
      <c r="AT20" s="2">
        <v>0</v>
      </c>
      <c r="AU20" s="2">
        <v>0</v>
      </c>
      <c r="AV20" s="2">
        <v>0</v>
      </c>
      <c r="AW20" s="2">
        <v>8663</v>
      </c>
      <c r="AX20" s="21"/>
      <c r="AY20" s="21">
        <v>48696</v>
      </c>
      <c r="AZ20" s="21">
        <v>44938</v>
      </c>
      <c r="BA20" s="21">
        <v>42946</v>
      </c>
      <c r="BB20" s="21">
        <v>14637</v>
      </c>
      <c r="BC20" s="21">
        <v>13002</v>
      </c>
      <c r="BD20" s="21">
        <v>0</v>
      </c>
      <c r="BE20" s="21">
        <v>17605</v>
      </c>
      <c r="BF20" s="21">
        <v>16982</v>
      </c>
      <c r="BG20" s="21">
        <v>0</v>
      </c>
      <c r="BH20" s="21">
        <v>1754</v>
      </c>
      <c r="BI20" s="21">
        <v>3076</v>
      </c>
      <c r="BJ20" s="21">
        <v>17845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/>
      <c r="BW20"/>
      <c r="BX20"/>
      <c r="BY20"/>
      <c r="BZ20"/>
      <c r="CA20"/>
      <c r="CB20"/>
      <c r="CC20"/>
    </row>
    <row r="21" spans="2:81">
      <c r="B21" s="3" t="s">
        <v>9</v>
      </c>
      <c r="C21" s="2">
        <v>3534</v>
      </c>
      <c r="D21" s="2">
        <v>4387</v>
      </c>
      <c r="E21" s="2">
        <v>2043</v>
      </c>
      <c r="F21" s="2">
        <v>1171</v>
      </c>
      <c r="G21" s="2">
        <v>1171</v>
      </c>
      <c r="H21" s="2">
        <v>1180</v>
      </c>
      <c r="I21" s="2">
        <v>1120</v>
      </c>
      <c r="J21" s="2">
        <v>4521</v>
      </c>
      <c r="K21" s="2">
        <v>4534</v>
      </c>
      <c r="L21" s="2">
        <v>4674</v>
      </c>
      <c r="M21" s="2">
        <v>4606</v>
      </c>
      <c r="N21" s="2">
        <v>4641</v>
      </c>
      <c r="O21" s="2">
        <v>4718</v>
      </c>
      <c r="P21" s="2">
        <v>4781</v>
      </c>
      <c r="Q21" s="2">
        <v>4781</v>
      </c>
      <c r="R21" s="2">
        <v>2565</v>
      </c>
      <c r="S21" s="2">
        <v>2565</v>
      </c>
      <c r="T21" s="2">
        <v>2799</v>
      </c>
      <c r="U21" s="2">
        <v>2798</v>
      </c>
      <c r="V21" s="2">
        <v>2816</v>
      </c>
      <c r="W21" s="2">
        <v>2869</v>
      </c>
      <c r="X21" s="2">
        <v>2966</v>
      </c>
      <c r="Y21" s="2">
        <v>3365</v>
      </c>
      <c r="Z21" s="2">
        <v>3317</v>
      </c>
      <c r="AA21" s="2">
        <v>3456</v>
      </c>
      <c r="AB21" s="2">
        <v>3610</v>
      </c>
      <c r="AC21" s="2">
        <v>3005</v>
      </c>
      <c r="AD21" s="2">
        <v>3084</v>
      </c>
      <c r="AE21" s="2">
        <v>3051</v>
      </c>
      <c r="AF21" s="2">
        <v>3169</v>
      </c>
      <c r="AG21" s="2">
        <v>3262</v>
      </c>
      <c r="AH21" s="2">
        <v>3327</v>
      </c>
      <c r="AI21" s="2">
        <v>3648</v>
      </c>
      <c r="AJ21" s="2">
        <v>4713</v>
      </c>
      <c r="AK21" s="2">
        <v>5098</v>
      </c>
      <c r="AL21" s="2">
        <v>5334</v>
      </c>
      <c r="AM21" s="2">
        <v>5311</v>
      </c>
      <c r="AN21" s="2">
        <v>5263</v>
      </c>
      <c r="AO21" s="2">
        <v>5547</v>
      </c>
      <c r="AP21" s="2">
        <v>5930</v>
      </c>
      <c r="AQ21" s="2">
        <v>5966</v>
      </c>
      <c r="AR21" s="2">
        <v>5976</v>
      </c>
      <c r="AS21" s="2">
        <v>6102</v>
      </c>
      <c r="AT21" s="2">
        <v>12041</v>
      </c>
      <c r="AU21" s="2">
        <v>10011</v>
      </c>
      <c r="AV21" s="2">
        <v>9382</v>
      </c>
      <c r="AW21" s="2">
        <v>9515</v>
      </c>
      <c r="AX21" s="21">
        <v>40844</v>
      </c>
      <c r="AY21" s="21">
        <v>40809</v>
      </c>
      <c r="AZ21" s="21">
        <v>40788</v>
      </c>
      <c r="BA21" s="21">
        <v>42951</v>
      </c>
      <c r="BB21" s="21">
        <v>43152</v>
      </c>
      <c r="BC21" s="21">
        <v>44399</v>
      </c>
      <c r="BD21" s="21">
        <v>44667</v>
      </c>
      <c r="BE21" s="21">
        <v>45116</v>
      </c>
      <c r="BF21" s="21">
        <v>45773</v>
      </c>
      <c r="BG21" s="21">
        <v>46381</v>
      </c>
      <c r="BH21" s="21">
        <v>39836</v>
      </c>
      <c r="BI21" s="21">
        <v>45117</v>
      </c>
      <c r="BJ21" s="21">
        <v>46544</v>
      </c>
      <c r="BK21" s="21">
        <v>8484</v>
      </c>
      <c r="BL21" s="21">
        <v>8741</v>
      </c>
      <c r="BM21" s="21">
        <v>9366</v>
      </c>
      <c r="BN21" s="21">
        <v>9520</v>
      </c>
      <c r="BO21" s="21">
        <v>9696</v>
      </c>
      <c r="BP21" s="21">
        <v>9323</v>
      </c>
      <c r="BQ21" s="21">
        <v>9484</v>
      </c>
      <c r="BR21" s="21">
        <v>9673</v>
      </c>
      <c r="BS21" s="21">
        <v>9819</v>
      </c>
      <c r="BT21" s="21">
        <v>10570</v>
      </c>
      <c r="BU21" s="21">
        <v>9792</v>
      </c>
    </row>
    <row r="22" spans="2:81">
      <c r="B22" s="3" t="s">
        <v>10</v>
      </c>
      <c r="C22" s="2">
        <v>269</v>
      </c>
      <c r="D22" s="2">
        <v>258</v>
      </c>
      <c r="E22" s="2">
        <v>468</v>
      </c>
      <c r="F22" s="2">
        <v>1492</v>
      </c>
      <c r="G22" s="2">
        <v>1535</v>
      </c>
      <c r="H22" s="2">
        <v>1570</v>
      </c>
      <c r="I22" s="2">
        <v>1580</v>
      </c>
      <c r="J22" s="2">
        <v>8108</v>
      </c>
      <c r="K22" s="2">
        <v>8256</v>
      </c>
      <c r="L22" s="2">
        <v>8348</v>
      </c>
      <c r="M22" s="2">
        <v>494</v>
      </c>
      <c r="N22" s="2">
        <v>519</v>
      </c>
      <c r="O22" s="2">
        <v>2402</v>
      </c>
      <c r="P22" s="2">
        <v>2371</v>
      </c>
      <c r="Q22" s="2">
        <v>2331</v>
      </c>
      <c r="R22" s="2">
        <v>2482</v>
      </c>
      <c r="S22" s="2">
        <v>2470</v>
      </c>
      <c r="T22" s="2">
        <v>2430</v>
      </c>
      <c r="U22" s="2">
        <v>3320</v>
      </c>
      <c r="V22" s="2">
        <v>3220</v>
      </c>
      <c r="W22" s="2">
        <v>4387</v>
      </c>
      <c r="X22" s="2">
        <v>4384</v>
      </c>
      <c r="Y22" s="2">
        <v>4503</v>
      </c>
      <c r="Z22" s="2">
        <v>4588</v>
      </c>
      <c r="AA22" s="2">
        <v>5756</v>
      </c>
      <c r="AB22" s="2">
        <v>5880</v>
      </c>
      <c r="AC22" s="2">
        <f>5820+206</f>
        <v>6026</v>
      </c>
      <c r="AD22" s="2">
        <f>1131+166</f>
        <v>1297</v>
      </c>
      <c r="AE22" s="2">
        <v>1803</v>
      </c>
      <c r="AF22" s="2">
        <v>3770</v>
      </c>
      <c r="AG22" s="2">
        <v>181</v>
      </c>
      <c r="AH22" s="2">
        <v>209</v>
      </c>
      <c r="AI22" s="2">
        <v>209</v>
      </c>
      <c r="AJ22" s="2">
        <v>209</v>
      </c>
      <c r="AK22" s="2">
        <v>209</v>
      </c>
      <c r="AL22" s="2">
        <v>8559</v>
      </c>
      <c r="AM22" s="2">
        <v>7753</v>
      </c>
      <c r="AN22" s="2">
        <v>12648</v>
      </c>
      <c r="AO22" s="2">
        <v>15997</v>
      </c>
      <c r="AP22" s="2">
        <v>442</v>
      </c>
      <c r="AQ22" s="2">
        <v>442</v>
      </c>
      <c r="AR22" s="2">
        <v>442</v>
      </c>
      <c r="AS22" s="2">
        <v>1325</v>
      </c>
      <c r="AT22" s="2">
        <v>545</v>
      </c>
      <c r="AU22" s="2">
        <v>545</v>
      </c>
      <c r="AV22" s="2">
        <v>545</v>
      </c>
      <c r="AW22" s="2">
        <v>545</v>
      </c>
      <c r="AX22" s="21">
        <v>2329</v>
      </c>
      <c r="AY22" s="21">
        <v>735</v>
      </c>
      <c r="AZ22" s="21">
        <v>734</v>
      </c>
      <c r="BA22" s="21">
        <v>735</v>
      </c>
      <c r="BB22" s="21">
        <v>708</v>
      </c>
      <c r="BC22" s="21">
        <v>708</v>
      </c>
      <c r="BD22" s="21">
        <v>708</v>
      </c>
      <c r="BE22" s="21">
        <v>708</v>
      </c>
      <c r="BF22" s="21">
        <v>632</v>
      </c>
      <c r="BG22" s="21">
        <v>632</v>
      </c>
      <c r="BH22" s="21">
        <v>632</v>
      </c>
      <c r="BI22" s="21">
        <v>632</v>
      </c>
      <c r="BJ22" s="21">
        <v>826</v>
      </c>
      <c r="BK22" s="21">
        <v>826</v>
      </c>
      <c r="BL22" s="21">
        <v>826</v>
      </c>
      <c r="BM22" s="21">
        <f>810+826</f>
        <v>1636</v>
      </c>
      <c r="BN22" s="21">
        <v>897</v>
      </c>
      <c r="BO22" s="21">
        <v>897</v>
      </c>
      <c r="BP22" s="21">
        <v>897</v>
      </c>
      <c r="BQ22" s="21">
        <v>897</v>
      </c>
      <c r="BR22" s="21">
        <v>724</v>
      </c>
      <c r="BS22" s="21">
        <v>724</v>
      </c>
      <c r="BT22" s="21">
        <v>724</v>
      </c>
      <c r="BU22" s="21">
        <v>724</v>
      </c>
    </row>
    <row r="23" spans="2:81">
      <c r="B23" s="3" t="s">
        <v>11</v>
      </c>
      <c r="C23" s="2">
        <v>125</v>
      </c>
      <c r="D23" s="2">
        <v>125</v>
      </c>
      <c r="E23" s="2">
        <v>125</v>
      </c>
      <c r="F23" s="2">
        <v>124</v>
      </c>
      <c r="G23" s="2">
        <v>124</v>
      </c>
      <c r="H23" s="2">
        <v>124</v>
      </c>
      <c r="I23" s="2">
        <v>124</v>
      </c>
      <c r="J23" s="2">
        <v>124</v>
      </c>
      <c r="K23" s="2">
        <v>124</v>
      </c>
      <c r="L23" s="2">
        <v>124</v>
      </c>
      <c r="M23" s="2">
        <v>124</v>
      </c>
      <c r="N23" s="2">
        <v>124</v>
      </c>
      <c r="O23" s="2">
        <v>124</v>
      </c>
      <c r="P23" s="2">
        <v>124</v>
      </c>
      <c r="Q23" s="2">
        <v>124</v>
      </c>
      <c r="R23" s="2">
        <v>124</v>
      </c>
      <c r="S23" s="2">
        <v>124</v>
      </c>
      <c r="T23" s="2">
        <v>124</v>
      </c>
      <c r="U23" s="2">
        <v>124</v>
      </c>
      <c r="V23" s="2">
        <v>124</v>
      </c>
      <c r="W23" s="2">
        <v>124</v>
      </c>
      <c r="X23" s="2">
        <v>124</v>
      </c>
      <c r="Y23" s="2">
        <v>124</v>
      </c>
      <c r="Z23" s="2">
        <v>124</v>
      </c>
      <c r="AA23" s="2">
        <v>124</v>
      </c>
      <c r="AB23" s="2">
        <v>124</v>
      </c>
      <c r="AC23" s="2">
        <v>124</v>
      </c>
      <c r="AD23" s="2">
        <v>124</v>
      </c>
      <c r="AE23" s="2">
        <v>124</v>
      </c>
      <c r="AF23" s="2">
        <v>124</v>
      </c>
      <c r="AG23" s="2">
        <v>124</v>
      </c>
      <c r="AH23" s="2">
        <v>124</v>
      </c>
      <c r="AI23" s="2">
        <v>124</v>
      </c>
      <c r="AJ23" s="2">
        <v>124</v>
      </c>
      <c r="AK23" s="2">
        <v>124</v>
      </c>
      <c r="AL23" s="2">
        <v>124</v>
      </c>
      <c r="AM23" s="2">
        <v>124</v>
      </c>
      <c r="AN23" s="2">
        <v>124</v>
      </c>
      <c r="AO23" s="2">
        <v>124</v>
      </c>
      <c r="AP23" s="2">
        <v>124</v>
      </c>
      <c r="AQ23" s="2">
        <v>124</v>
      </c>
      <c r="AR23" s="2">
        <v>124</v>
      </c>
      <c r="AS23" s="2">
        <v>77953</v>
      </c>
      <c r="AT23" s="2">
        <v>124</v>
      </c>
      <c r="AU23" s="2">
        <v>124</v>
      </c>
      <c r="AV23" s="2">
        <v>124</v>
      </c>
      <c r="AW23" s="2">
        <v>124</v>
      </c>
      <c r="AX23" s="21">
        <v>124</v>
      </c>
      <c r="AY23" s="21">
        <v>124</v>
      </c>
      <c r="AZ23" s="21">
        <v>124</v>
      </c>
      <c r="BA23" s="21">
        <v>124</v>
      </c>
      <c r="BB23" s="21">
        <v>124</v>
      </c>
      <c r="BC23" s="21">
        <v>124</v>
      </c>
      <c r="BD23" s="21">
        <v>124</v>
      </c>
      <c r="BE23" s="21">
        <v>124</v>
      </c>
      <c r="BF23" s="21">
        <v>124</v>
      </c>
      <c r="BG23" s="21">
        <v>124</v>
      </c>
      <c r="BH23" s="21">
        <v>124</v>
      </c>
      <c r="BI23" s="21">
        <v>124</v>
      </c>
      <c r="BJ23" s="21">
        <v>124</v>
      </c>
      <c r="BK23" s="21">
        <v>124</v>
      </c>
      <c r="BL23" s="21">
        <v>7624</v>
      </c>
      <c r="BM23" s="21">
        <v>15124</v>
      </c>
      <c r="BN23" s="21">
        <v>124</v>
      </c>
      <c r="BO23" s="21">
        <v>37946</v>
      </c>
      <c r="BP23" s="21">
        <v>39251</v>
      </c>
      <c r="BQ23" s="21">
        <v>39932</v>
      </c>
      <c r="BR23" s="21">
        <v>66886</v>
      </c>
      <c r="BS23" s="21">
        <v>84411</v>
      </c>
      <c r="BT23" s="21">
        <v>85183</v>
      </c>
      <c r="BU23" s="21">
        <v>85912</v>
      </c>
    </row>
    <row r="24" spans="2:81">
      <c r="B24" s="3" t="s">
        <v>12</v>
      </c>
      <c r="C24" s="2">
        <v>243484</v>
      </c>
      <c r="D24" s="2">
        <v>263899</v>
      </c>
      <c r="E24" s="2">
        <v>277838</v>
      </c>
      <c r="F24" s="2">
        <v>299293</v>
      </c>
      <c r="G24" s="2">
        <v>306418</v>
      </c>
      <c r="H24" s="2">
        <v>315081</v>
      </c>
      <c r="I24" s="2">
        <v>323535</v>
      </c>
      <c r="J24" s="2">
        <v>320146</v>
      </c>
      <c r="K24" s="2">
        <v>324143</v>
      </c>
      <c r="L24" s="2">
        <v>328461</v>
      </c>
      <c r="M24" s="2">
        <v>333819</v>
      </c>
      <c r="N24" s="2">
        <v>346418</v>
      </c>
      <c r="O24" s="2">
        <v>360330</v>
      </c>
      <c r="P24" s="2">
        <v>378434</v>
      </c>
      <c r="Q24" s="2">
        <v>403365</v>
      </c>
      <c r="R24" s="2">
        <v>428688</v>
      </c>
      <c r="S24" s="2">
        <v>450940</v>
      </c>
      <c r="T24" s="2">
        <v>468742</v>
      </c>
      <c r="U24" s="2">
        <v>488079</v>
      </c>
      <c r="V24" s="2">
        <v>501238</v>
      </c>
      <c r="W24" s="2">
        <v>522521</v>
      </c>
      <c r="X24" s="2">
        <v>532646</v>
      </c>
      <c r="Y24" s="2">
        <v>537592</v>
      </c>
      <c r="Z24" s="2">
        <v>547995</v>
      </c>
      <c r="AA24" s="2">
        <v>558700</v>
      </c>
      <c r="AB24" s="2">
        <v>565717</v>
      </c>
      <c r="AC24" s="2">
        <f>566683+1912</f>
        <v>568595</v>
      </c>
      <c r="AD24" s="2">
        <v>567334</v>
      </c>
      <c r="AE24" s="2">
        <v>570324</v>
      </c>
      <c r="AF24" s="2">
        <v>573406</v>
      </c>
      <c r="AG24" s="2">
        <v>577137</v>
      </c>
      <c r="AH24" s="2">
        <v>615423</v>
      </c>
      <c r="AI24" s="2">
        <v>625531</v>
      </c>
      <c r="AJ24" s="2">
        <v>635574</v>
      </c>
      <c r="AK24" s="2">
        <v>641387</v>
      </c>
      <c r="AL24" s="2">
        <v>653935</v>
      </c>
      <c r="AM24" s="2">
        <v>649198</v>
      </c>
      <c r="AN24" s="2">
        <v>647871</v>
      </c>
      <c r="AO24" s="2">
        <v>650659</v>
      </c>
      <c r="AP24" s="2">
        <v>666515</v>
      </c>
      <c r="AQ24" s="2">
        <v>662242</v>
      </c>
      <c r="AR24" s="2">
        <v>1454247</v>
      </c>
      <c r="AS24" s="2">
        <v>1443117</v>
      </c>
      <c r="AT24" s="2">
        <v>1521958</v>
      </c>
      <c r="AU24" s="2">
        <v>1513187</v>
      </c>
      <c r="AV24" s="2">
        <f>1514049+163</f>
        <v>1514212</v>
      </c>
      <c r="AW24" s="2">
        <v>1510163</v>
      </c>
      <c r="AX24" s="21">
        <v>1511799</v>
      </c>
      <c r="AY24" s="21">
        <v>1494698</v>
      </c>
      <c r="AZ24" s="21">
        <v>1474714</v>
      </c>
      <c r="BA24" s="21">
        <v>1459569</v>
      </c>
      <c r="BB24" s="100">
        <v>1444936</v>
      </c>
      <c r="BC24" s="21">
        <v>1424994</v>
      </c>
      <c r="BD24" s="21">
        <v>1410914</v>
      </c>
      <c r="BE24" s="21">
        <v>1404418</v>
      </c>
      <c r="BF24" s="21">
        <v>1455943</v>
      </c>
      <c r="BG24" s="21">
        <v>1451953</v>
      </c>
      <c r="BH24" s="21">
        <v>1454757</v>
      </c>
      <c r="BI24" s="21">
        <v>1480527</v>
      </c>
      <c r="BJ24" s="21">
        <v>1545738</v>
      </c>
      <c r="BK24" s="21">
        <v>1563491</v>
      </c>
      <c r="BL24" s="21">
        <v>1576798</v>
      </c>
      <c r="BM24" s="21">
        <v>1609520</v>
      </c>
      <c r="BN24" s="21">
        <v>1687877</v>
      </c>
      <c r="BO24" s="21">
        <v>1685612</v>
      </c>
      <c r="BP24" s="21">
        <v>1698086</v>
      </c>
      <c r="BQ24" s="21">
        <v>1752240</v>
      </c>
      <c r="BR24" s="21">
        <v>1751792</v>
      </c>
      <c r="BS24" s="21">
        <v>1749696</v>
      </c>
      <c r="BT24" s="21">
        <v>1765970</v>
      </c>
      <c r="BU24" s="21">
        <v>1780144</v>
      </c>
    </row>
    <row r="25" spans="2:81">
      <c r="B25" s="3" t="s">
        <v>193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34304</v>
      </c>
      <c r="AV25" s="2">
        <v>34154</v>
      </c>
      <c r="AW25" s="2">
        <v>42726</v>
      </c>
      <c r="AX25" s="21">
        <v>49552</v>
      </c>
      <c r="AY25" s="21">
        <v>46032</v>
      </c>
      <c r="AZ25" s="21">
        <v>42995</v>
      </c>
      <c r="BA25" s="21">
        <v>40161</v>
      </c>
      <c r="BB25" s="21">
        <v>42003</v>
      </c>
      <c r="BC25" s="21">
        <v>36641</v>
      </c>
      <c r="BD25" s="21">
        <v>32672</v>
      </c>
      <c r="BE25" s="21">
        <v>35958</v>
      </c>
      <c r="BF25" s="21">
        <v>27341</v>
      </c>
      <c r="BG25" s="21">
        <v>31575</v>
      </c>
      <c r="BH25" s="21">
        <v>47200</v>
      </c>
      <c r="BI25" s="21">
        <v>50011</v>
      </c>
      <c r="BJ25" s="21">
        <v>51946</v>
      </c>
      <c r="BK25" s="21">
        <v>61346</v>
      </c>
      <c r="BL25" s="21">
        <v>90781</v>
      </c>
      <c r="BM25" s="21">
        <v>90752</v>
      </c>
      <c r="BN25" s="21">
        <v>96952</v>
      </c>
      <c r="BO25" s="21">
        <v>123542</v>
      </c>
      <c r="BP25" s="21">
        <v>139009</v>
      </c>
      <c r="BQ25" s="21">
        <v>102496</v>
      </c>
      <c r="BR25" s="21">
        <v>89973</v>
      </c>
      <c r="BS25" s="21">
        <v>78534</v>
      </c>
      <c r="BT25" s="21">
        <v>73352</v>
      </c>
      <c r="BU25" s="21">
        <v>64240</v>
      </c>
    </row>
    <row r="26" spans="2:81" ht="15.75" thickBot="1">
      <c r="B26" s="3" t="s">
        <v>13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101822</v>
      </c>
      <c r="K26" s="2">
        <v>107134</v>
      </c>
      <c r="L26" s="2">
        <v>101937</v>
      </c>
      <c r="M26" s="2">
        <v>104472</v>
      </c>
      <c r="N26" s="2">
        <v>123521</v>
      </c>
      <c r="O26" s="2">
        <v>124858</v>
      </c>
      <c r="P26" s="2">
        <v>128691</v>
      </c>
      <c r="Q26" s="2">
        <v>141437</v>
      </c>
      <c r="R26" s="2">
        <v>140264</v>
      </c>
      <c r="S26" s="2">
        <v>145480</v>
      </c>
      <c r="T26" s="2">
        <v>156006</v>
      </c>
      <c r="U26" s="2">
        <v>159190</v>
      </c>
      <c r="V26" s="2">
        <v>151949</v>
      </c>
      <c r="W26" s="2">
        <v>157612</v>
      </c>
      <c r="X26" s="2">
        <v>162068</v>
      </c>
      <c r="Y26" s="2">
        <v>170080</v>
      </c>
      <c r="Z26" s="2">
        <v>175089</v>
      </c>
      <c r="AA26" s="2">
        <v>167903</v>
      </c>
      <c r="AB26" s="2">
        <v>166032</v>
      </c>
      <c r="AC26" s="2">
        <v>167277</v>
      </c>
      <c r="AD26" s="2">
        <v>172939</v>
      </c>
      <c r="AE26" s="2">
        <v>175963</v>
      </c>
      <c r="AF26" s="2">
        <v>178848</v>
      </c>
      <c r="AG26" s="2">
        <v>182902</v>
      </c>
      <c r="AH26" s="2">
        <v>188902</v>
      </c>
      <c r="AI26" s="2">
        <v>189958</v>
      </c>
      <c r="AJ26" s="2">
        <v>193421</v>
      </c>
      <c r="AK26" s="2">
        <v>194801</v>
      </c>
      <c r="AL26" s="2">
        <v>197866</v>
      </c>
      <c r="AM26" s="2">
        <v>202258</v>
      </c>
      <c r="AN26" s="2">
        <v>203412</v>
      </c>
      <c r="AO26" s="2">
        <v>204098</v>
      </c>
      <c r="AP26" s="2">
        <v>212746</v>
      </c>
      <c r="AQ26" s="2">
        <v>210557</v>
      </c>
      <c r="AR26" s="2">
        <v>206897</v>
      </c>
      <c r="AS26" s="2">
        <v>209690</v>
      </c>
      <c r="AT26" s="2">
        <v>199408</v>
      </c>
      <c r="AU26" s="2">
        <v>194161</v>
      </c>
      <c r="AV26" s="2">
        <v>190464</v>
      </c>
      <c r="AW26" s="2">
        <v>181327</v>
      </c>
      <c r="AX26" s="21">
        <v>185160</v>
      </c>
      <c r="AY26" s="21">
        <v>180655</v>
      </c>
      <c r="AZ26" s="21">
        <v>175671</v>
      </c>
      <c r="BA26" s="21">
        <v>175433</v>
      </c>
      <c r="BB26" s="21">
        <v>193222</v>
      </c>
      <c r="BC26" s="21">
        <v>196116</v>
      </c>
      <c r="BD26" s="21">
        <v>204824</v>
      </c>
      <c r="BE26" s="21">
        <v>206388</v>
      </c>
      <c r="BF26" s="21">
        <v>223683</v>
      </c>
      <c r="BG26" s="21">
        <v>231654</v>
      </c>
      <c r="BH26" s="21">
        <v>247975</v>
      </c>
      <c r="BI26" s="21">
        <v>266372</v>
      </c>
      <c r="BJ26" s="21">
        <v>276279</v>
      </c>
      <c r="BK26" s="21">
        <v>281854</v>
      </c>
      <c r="BL26" s="21">
        <v>295683</v>
      </c>
      <c r="BM26" s="21">
        <v>319341</v>
      </c>
      <c r="BN26" s="21">
        <v>348553</v>
      </c>
      <c r="BO26" s="21">
        <v>351757</v>
      </c>
      <c r="BP26" s="21">
        <v>366364</v>
      </c>
      <c r="BQ26" s="21">
        <v>380544</v>
      </c>
      <c r="BR26" s="21">
        <v>425593</v>
      </c>
      <c r="BS26" s="21">
        <v>426035</v>
      </c>
      <c r="BT26" s="21">
        <v>439379</v>
      </c>
      <c r="BU26" s="21">
        <v>490541</v>
      </c>
    </row>
    <row r="27" spans="2:81" ht="15.75" thickBot="1">
      <c r="B27" s="9" t="s">
        <v>73</v>
      </c>
      <c r="C27" s="9">
        <f t="shared" ref="C27:AH27" si="17">C7+C15</f>
        <v>701272</v>
      </c>
      <c r="D27" s="9">
        <f t="shared" si="17"/>
        <v>835449</v>
      </c>
      <c r="E27" s="9">
        <f t="shared" si="17"/>
        <v>928290</v>
      </c>
      <c r="F27" s="9">
        <f t="shared" si="17"/>
        <v>988741</v>
      </c>
      <c r="G27" s="9">
        <f t="shared" si="17"/>
        <v>992372</v>
      </c>
      <c r="H27" s="9">
        <f t="shared" si="17"/>
        <v>943330</v>
      </c>
      <c r="I27" s="9">
        <f t="shared" si="17"/>
        <v>969721</v>
      </c>
      <c r="J27" s="9">
        <f t="shared" si="17"/>
        <v>1073124</v>
      </c>
      <c r="K27" s="9">
        <f t="shared" si="17"/>
        <v>1109609</v>
      </c>
      <c r="L27" s="9">
        <f t="shared" si="17"/>
        <v>1145386</v>
      </c>
      <c r="M27" s="9">
        <f t="shared" si="17"/>
        <v>1153781</v>
      </c>
      <c r="N27" s="9">
        <f t="shared" si="17"/>
        <v>1188843</v>
      </c>
      <c r="O27" s="9">
        <f t="shared" si="17"/>
        <v>1195140</v>
      </c>
      <c r="P27" s="9">
        <f t="shared" si="17"/>
        <v>1212254</v>
      </c>
      <c r="Q27" s="9">
        <f t="shared" si="17"/>
        <v>1278056</v>
      </c>
      <c r="R27" s="9">
        <f t="shared" si="17"/>
        <v>1254333</v>
      </c>
      <c r="S27" s="9">
        <f t="shared" si="17"/>
        <v>1255242</v>
      </c>
      <c r="T27" s="9">
        <f t="shared" si="17"/>
        <v>1299358</v>
      </c>
      <c r="U27" s="9">
        <f t="shared" si="17"/>
        <v>1307091</v>
      </c>
      <c r="V27" s="9">
        <f t="shared" si="17"/>
        <v>1307001</v>
      </c>
      <c r="W27" s="9">
        <f t="shared" si="17"/>
        <v>1313983</v>
      </c>
      <c r="X27" s="9">
        <f t="shared" si="17"/>
        <v>1329679</v>
      </c>
      <c r="Y27" s="9">
        <f t="shared" si="17"/>
        <v>1359871</v>
      </c>
      <c r="Z27" s="9">
        <f t="shared" si="17"/>
        <v>1381796</v>
      </c>
      <c r="AA27" s="9">
        <f t="shared" si="17"/>
        <v>1401217</v>
      </c>
      <c r="AB27" s="9">
        <f t="shared" si="17"/>
        <v>1422974</v>
      </c>
      <c r="AC27" s="9">
        <f t="shared" si="17"/>
        <v>1430528</v>
      </c>
      <c r="AD27" s="9">
        <f t="shared" si="17"/>
        <v>1461529</v>
      </c>
      <c r="AE27" s="9">
        <f t="shared" si="17"/>
        <v>1493702</v>
      </c>
      <c r="AF27" s="9">
        <f t="shared" si="17"/>
        <v>1566969</v>
      </c>
      <c r="AG27" s="9">
        <f t="shared" si="17"/>
        <v>1647586</v>
      </c>
      <c r="AH27" s="9">
        <f t="shared" si="17"/>
        <v>1645142</v>
      </c>
      <c r="AI27" s="9">
        <f t="shared" ref="AI27:AY27" si="18">AI7+AI15</f>
        <v>1602362</v>
      </c>
      <c r="AJ27" s="9">
        <f t="shared" si="18"/>
        <v>1570294</v>
      </c>
      <c r="AK27" s="9">
        <f t="shared" si="18"/>
        <v>1568629</v>
      </c>
      <c r="AL27" s="9">
        <f t="shared" si="18"/>
        <v>1657620</v>
      </c>
      <c r="AM27" s="9">
        <f t="shared" si="18"/>
        <v>1690878</v>
      </c>
      <c r="AN27" s="9">
        <f t="shared" si="18"/>
        <v>1763806</v>
      </c>
      <c r="AO27" s="9">
        <f t="shared" si="18"/>
        <v>1804878</v>
      </c>
      <c r="AP27" s="9">
        <f t="shared" si="18"/>
        <v>1856461</v>
      </c>
      <c r="AQ27" s="9">
        <f t="shared" si="18"/>
        <v>1919165</v>
      </c>
      <c r="AR27" s="9">
        <f t="shared" si="18"/>
        <v>2504137</v>
      </c>
      <c r="AS27" s="9">
        <f t="shared" si="18"/>
        <v>2655783</v>
      </c>
      <c r="AT27" s="9">
        <f t="shared" si="18"/>
        <v>2659910</v>
      </c>
      <c r="AU27" s="9">
        <f t="shared" si="18"/>
        <v>2713928</v>
      </c>
      <c r="AV27" s="9">
        <f t="shared" si="18"/>
        <v>2644938</v>
      </c>
      <c r="AW27" s="12">
        <f t="shared" si="18"/>
        <v>2805564</v>
      </c>
      <c r="AX27" s="12">
        <f t="shared" si="18"/>
        <v>2746444</v>
      </c>
      <c r="AY27" s="12">
        <f t="shared" si="18"/>
        <v>2838601</v>
      </c>
      <c r="AZ27" s="12">
        <f t="shared" ref="AZ27:BA27" si="19">AZ7+AZ15</f>
        <v>2934102</v>
      </c>
      <c r="BA27" s="12">
        <f t="shared" si="19"/>
        <v>2891267</v>
      </c>
      <c r="BB27" s="12">
        <f t="shared" ref="BB27:BC27" si="20">BB7+BB15</f>
        <v>2817187</v>
      </c>
      <c r="BC27" s="12">
        <f t="shared" si="20"/>
        <v>2831794</v>
      </c>
      <c r="BD27" s="12">
        <f t="shared" ref="BD27:BE27" si="21">BD7+BD15</f>
        <v>2904638</v>
      </c>
      <c r="BE27" s="12">
        <f t="shared" si="21"/>
        <v>3126686</v>
      </c>
      <c r="BF27" s="12">
        <f t="shared" ref="BF27:BG27" si="22">BF7+BF15</f>
        <v>3396582</v>
      </c>
      <c r="BG27" s="12">
        <f t="shared" si="22"/>
        <v>3583193</v>
      </c>
      <c r="BH27" s="12">
        <f t="shared" ref="BH27:BI27" si="23">BH7+BH15</f>
        <v>3808082</v>
      </c>
      <c r="BI27" s="12">
        <f t="shared" si="23"/>
        <v>3972032</v>
      </c>
      <c r="BJ27" s="12">
        <f t="shared" ref="BJ27:BK27" si="24">BJ7+BJ15</f>
        <v>4067385</v>
      </c>
      <c r="BK27" s="12">
        <f t="shared" si="24"/>
        <v>4127741</v>
      </c>
      <c r="BL27" s="12">
        <f t="shared" ref="BL27:BM27" si="25">BL7+BL15</f>
        <v>4131532</v>
      </c>
      <c r="BM27" s="12">
        <f t="shared" si="25"/>
        <v>4136809</v>
      </c>
      <c r="BN27" s="12">
        <f t="shared" ref="BN27:BO27" si="26">BN7+BN15</f>
        <v>4110697</v>
      </c>
      <c r="BO27" s="12">
        <f t="shared" si="26"/>
        <v>4090843</v>
      </c>
      <c r="BP27" s="12">
        <f t="shared" ref="BP27:BU27" si="27">BP7+BP15</f>
        <v>4175966</v>
      </c>
      <c r="BQ27" s="12">
        <f t="shared" si="27"/>
        <v>4339961</v>
      </c>
      <c r="BR27" s="12">
        <f t="shared" si="27"/>
        <v>4387880</v>
      </c>
      <c r="BS27" s="57">
        <f t="shared" si="27"/>
        <v>4334562</v>
      </c>
      <c r="BT27" s="57">
        <f t="shared" si="27"/>
        <v>4276434</v>
      </c>
      <c r="BU27" s="57">
        <f t="shared" si="27"/>
        <v>4231635</v>
      </c>
    </row>
    <row r="29" spans="2:81" ht="15.75" thickBot="1"/>
    <row r="30" spans="2:81" ht="15.75" thickBot="1">
      <c r="B30" s="11" t="s">
        <v>132</v>
      </c>
      <c r="C30" s="8" t="s">
        <v>55</v>
      </c>
      <c r="D30" s="8" t="s">
        <v>56</v>
      </c>
      <c r="E30" s="8" t="s">
        <v>57</v>
      </c>
      <c r="F30" s="8">
        <v>2008</v>
      </c>
      <c r="G30" s="8" t="s">
        <v>59</v>
      </c>
      <c r="H30" s="8" t="s">
        <v>60</v>
      </c>
      <c r="I30" s="8" t="s">
        <v>61</v>
      </c>
      <c r="J30" s="8">
        <v>2009</v>
      </c>
      <c r="K30" s="8" t="s">
        <v>29</v>
      </c>
      <c r="L30" s="8" t="s">
        <v>30</v>
      </c>
      <c r="M30" s="8" t="s">
        <v>31</v>
      </c>
      <c r="N30" s="8">
        <v>2010</v>
      </c>
      <c r="O30" s="8" t="s">
        <v>33</v>
      </c>
      <c r="P30" s="8" t="s">
        <v>34</v>
      </c>
      <c r="Q30" s="8" t="s">
        <v>35</v>
      </c>
      <c r="R30" s="8">
        <v>2011</v>
      </c>
      <c r="S30" s="8" t="s">
        <v>37</v>
      </c>
      <c r="T30" s="8" t="s">
        <v>38</v>
      </c>
      <c r="U30" s="8" t="s">
        <v>39</v>
      </c>
      <c r="V30" s="8">
        <v>2012</v>
      </c>
      <c r="W30" s="8" t="s">
        <v>41</v>
      </c>
      <c r="X30" s="8" t="s">
        <v>42</v>
      </c>
      <c r="Y30" s="8" t="s">
        <v>43</v>
      </c>
      <c r="Z30" s="8">
        <v>2013</v>
      </c>
      <c r="AA30" s="8" t="s">
        <v>45</v>
      </c>
      <c r="AB30" s="8" t="s">
        <v>46</v>
      </c>
      <c r="AC30" s="8" t="s">
        <v>136</v>
      </c>
      <c r="AD30" s="8">
        <v>2014</v>
      </c>
      <c r="AE30" s="8" t="s">
        <v>151</v>
      </c>
      <c r="AF30" s="8" t="s">
        <v>153</v>
      </c>
      <c r="AG30" s="8" t="s">
        <v>154</v>
      </c>
      <c r="AH30" s="8">
        <v>2015</v>
      </c>
      <c r="AI30" s="8" t="s">
        <v>159</v>
      </c>
      <c r="AJ30" s="8" t="s">
        <v>161</v>
      </c>
      <c r="AK30" s="8" t="s">
        <v>162</v>
      </c>
      <c r="AL30" s="8">
        <v>2016</v>
      </c>
      <c r="AM30" s="8" t="s">
        <v>170</v>
      </c>
      <c r="AN30" s="8" t="s">
        <v>171</v>
      </c>
      <c r="AO30" s="8" t="s">
        <v>172</v>
      </c>
      <c r="AP30" s="8">
        <v>2017</v>
      </c>
      <c r="AQ30" s="8" t="s">
        <v>176</v>
      </c>
      <c r="AR30" s="8" t="s">
        <v>177</v>
      </c>
      <c r="AS30" s="8" t="s">
        <v>180</v>
      </c>
      <c r="AT30" s="8">
        <f t="shared" ref="AT30:AY30" si="28">AT6</f>
        <v>2018</v>
      </c>
      <c r="AU30" s="8" t="str">
        <f t="shared" si="28"/>
        <v>1T19</v>
      </c>
      <c r="AV30" s="8" t="str">
        <f t="shared" si="28"/>
        <v>2T19</v>
      </c>
      <c r="AW30" s="8" t="str">
        <f t="shared" si="28"/>
        <v>3T19</v>
      </c>
      <c r="AX30" s="8">
        <f t="shared" si="28"/>
        <v>2019</v>
      </c>
      <c r="AY30" s="8" t="str">
        <f t="shared" si="28"/>
        <v>1T20</v>
      </c>
      <c r="AZ30" s="8" t="str">
        <f t="shared" ref="AZ30:BA30" si="29">AZ6</f>
        <v>2T20</v>
      </c>
      <c r="BA30" s="8" t="str">
        <f t="shared" si="29"/>
        <v>3T20</v>
      </c>
      <c r="BB30" s="8">
        <f t="shared" ref="BB30:BC30" si="30">BB6</f>
        <v>2020</v>
      </c>
      <c r="BC30" s="8" t="str">
        <f t="shared" si="30"/>
        <v>1T21</v>
      </c>
      <c r="BD30" s="8" t="str">
        <f t="shared" ref="BD30:BE30" si="31">BD6</f>
        <v>2T21</v>
      </c>
      <c r="BE30" s="8" t="str">
        <f t="shared" si="31"/>
        <v>3T21</v>
      </c>
      <c r="BF30" s="8">
        <f t="shared" ref="BF30:BG30" si="32">BF6</f>
        <v>2021</v>
      </c>
      <c r="BG30" s="8" t="str">
        <f t="shared" si="32"/>
        <v>1T22</v>
      </c>
      <c r="BH30" s="8" t="str">
        <f t="shared" ref="BH30:BI30" si="33">BH6</f>
        <v>2T22</v>
      </c>
      <c r="BI30" s="8" t="str">
        <f t="shared" si="33"/>
        <v>3T22</v>
      </c>
      <c r="BJ30" s="8">
        <f t="shared" ref="BJ30:BK30" si="34">BJ6</f>
        <v>2022</v>
      </c>
      <c r="BK30" s="8" t="str">
        <f t="shared" si="34"/>
        <v>1T23</v>
      </c>
      <c r="BL30" s="8" t="str">
        <f t="shared" ref="BL30:BM30" si="35">BL6</f>
        <v>2T23</v>
      </c>
      <c r="BM30" s="8" t="str">
        <f t="shared" si="35"/>
        <v>3T23</v>
      </c>
      <c r="BN30" s="8">
        <f t="shared" ref="BN30:BO30" si="36">BN6</f>
        <v>2023</v>
      </c>
      <c r="BO30" s="8" t="str">
        <f t="shared" si="36"/>
        <v>1T24</v>
      </c>
      <c r="BP30" s="8" t="str">
        <f t="shared" ref="BP30:BQ30" si="37">BP6</f>
        <v>2T24</v>
      </c>
      <c r="BQ30" s="8" t="str">
        <f t="shared" si="37"/>
        <v>3T24</v>
      </c>
      <c r="BR30" s="8">
        <f>BR6</f>
        <v>2024</v>
      </c>
      <c r="BS30" s="8" t="s">
        <v>236</v>
      </c>
      <c r="BT30" s="8" t="s">
        <v>237</v>
      </c>
      <c r="BU30" s="8" t="s">
        <v>238</v>
      </c>
    </row>
    <row r="31" spans="2:81" ht="15.75" thickBot="1">
      <c r="B31" s="9" t="s">
        <v>2</v>
      </c>
      <c r="C31" s="9">
        <f t="shared" ref="C31:AY31" si="38">SUM(C32:C42)</f>
        <v>61782</v>
      </c>
      <c r="D31" s="9">
        <f t="shared" si="38"/>
        <v>75814</v>
      </c>
      <c r="E31" s="9">
        <f t="shared" si="38"/>
        <v>84732</v>
      </c>
      <c r="F31" s="9">
        <f t="shared" si="38"/>
        <v>123643</v>
      </c>
      <c r="G31" s="9">
        <f t="shared" si="38"/>
        <v>110164</v>
      </c>
      <c r="H31" s="9">
        <f t="shared" si="38"/>
        <v>51244</v>
      </c>
      <c r="I31" s="9">
        <f t="shared" si="38"/>
        <v>79523</v>
      </c>
      <c r="J31" s="9">
        <f t="shared" si="38"/>
        <v>98593</v>
      </c>
      <c r="K31" s="9">
        <f t="shared" si="38"/>
        <v>114362</v>
      </c>
      <c r="L31" s="9">
        <f t="shared" si="38"/>
        <v>102666</v>
      </c>
      <c r="M31" s="9">
        <f t="shared" si="38"/>
        <v>79326</v>
      </c>
      <c r="N31" s="9">
        <f t="shared" si="38"/>
        <v>110734</v>
      </c>
      <c r="O31" s="9">
        <f t="shared" si="38"/>
        <v>76361</v>
      </c>
      <c r="P31" s="9">
        <f t="shared" si="38"/>
        <v>70424</v>
      </c>
      <c r="Q31" s="9">
        <f t="shared" si="38"/>
        <v>124449</v>
      </c>
      <c r="R31" s="9">
        <f t="shared" si="38"/>
        <v>106313</v>
      </c>
      <c r="S31" s="9">
        <f t="shared" si="38"/>
        <v>82941</v>
      </c>
      <c r="T31" s="9">
        <f t="shared" si="38"/>
        <v>97135</v>
      </c>
      <c r="U31" s="9">
        <f t="shared" si="38"/>
        <v>76365</v>
      </c>
      <c r="V31" s="9">
        <f t="shared" si="38"/>
        <v>91164</v>
      </c>
      <c r="W31" s="9">
        <f t="shared" si="38"/>
        <v>84483</v>
      </c>
      <c r="X31" s="9">
        <f t="shared" si="38"/>
        <v>76999</v>
      </c>
      <c r="Y31" s="9">
        <f t="shared" si="38"/>
        <v>84843</v>
      </c>
      <c r="Z31" s="9">
        <f t="shared" si="38"/>
        <v>98928</v>
      </c>
      <c r="AA31" s="9">
        <f t="shared" si="38"/>
        <v>91618</v>
      </c>
      <c r="AB31" s="9">
        <f t="shared" si="38"/>
        <v>86101</v>
      </c>
      <c r="AC31" s="9">
        <f t="shared" si="38"/>
        <v>92193</v>
      </c>
      <c r="AD31" s="9">
        <f t="shared" si="38"/>
        <v>114270</v>
      </c>
      <c r="AE31" s="9">
        <f t="shared" si="38"/>
        <v>133939</v>
      </c>
      <c r="AF31" s="9">
        <f t="shared" si="38"/>
        <v>118304</v>
      </c>
      <c r="AG31" s="9">
        <f t="shared" si="38"/>
        <v>252695</v>
      </c>
      <c r="AH31" s="9">
        <f t="shared" si="38"/>
        <v>225931</v>
      </c>
      <c r="AI31" s="9">
        <f t="shared" si="38"/>
        <v>136935</v>
      </c>
      <c r="AJ31" s="9">
        <f t="shared" si="38"/>
        <v>102351</v>
      </c>
      <c r="AK31" s="9">
        <f t="shared" si="38"/>
        <v>97599</v>
      </c>
      <c r="AL31" s="9">
        <f t="shared" si="38"/>
        <v>173712</v>
      </c>
      <c r="AM31" s="9">
        <f t="shared" si="38"/>
        <v>121172</v>
      </c>
      <c r="AN31" s="9">
        <f t="shared" si="38"/>
        <v>126060</v>
      </c>
      <c r="AO31" s="9">
        <f t="shared" si="38"/>
        <v>139863</v>
      </c>
      <c r="AP31" s="9">
        <f t="shared" si="38"/>
        <v>169103</v>
      </c>
      <c r="AQ31" s="9">
        <f t="shared" si="38"/>
        <v>165885</v>
      </c>
      <c r="AR31" s="9">
        <f t="shared" si="38"/>
        <v>258617</v>
      </c>
      <c r="AS31" s="9">
        <f t="shared" si="38"/>
        <v>251870</v>
      </c>
      <c r="AT31" s="9">
        <f t="shared" si="38"/>
        <v>260073</v>
      </c>
      <c r="AU31" s="9">
        <f t="shared" si="38"/>
        <v>249738</v>
      </c>
      <c r="AV31" s="9">
        <f t="shared" si="38"/>
        <v>237154</v>
      </c>
      <c r="AW31" s="9">
        <f t="shared" si="38"/>
        <v>285728</v>
      </c>
      <c r="AX31" s="9">
        <f t="shared" si="38"/>
        <v>256051</v>
      </c>
      <c r="AY31" s="9">
        <f t="shared" si="38"/>
        <v>466283</v>
      </c>
      <c r="AZ31" s="9">
        <f t="shared" ref="AZ31:BA31" si="39">SUM(AZ32:AZ42)</f>
        <v>529727</v>
      </c>
      <c r="BA31" s="9">
        <f t="shared" si="39"/>
        <v>499536</v>
      </c>
      <c r="BB31" s="9">
        <f t="shared" ref="BB31:BC31" si="40">SUM(BB32:BB42)</f>
        <v>424239</v>
      </c>
      <c r="BC31" s="9">
        <f t="shared" si="40"/>
        <v>407636</v>
      </c>
      <c r="BD31" s="9">
        <f t="shared" ref="BD31:BE31" si="41">SUM(BD32:BD42)</f>
        <v>324550</v>
      </c>
      <c r="BE31" s="9">
        <f t="shared" si="41"/>
        <v>374123</v>
      </c>
      <c r="BF31" s="9">
        <f t="shared" ref="BF31:BG31" si="42">SUM(BF32:BF42)</f>
        <v>474737</v>
      </c>
      <c r="BG31" s="9">
        <f t="shared" si="42"/>
        <v>416880</v>
      </c>
      <c r="BH31" s="9">
        <f t="shared" ref="BH31:BI31" si="43">SUM(BH32:BH42)</f>
        <v>428484</v>
      </c>
      <c r="BI31" s="9">
        <f t="shared" si="43"/>
        <v>434079</v>
      </c>
      <c r="BJ31" s="9">
        <f t="shared" ref="BJ31:BK31" si="44">SUM(BJ32:BJ42)</f>
        <v>505951</v>
      </c>
      <c r="BK31" s="9">
        <f t="shared" si="44"/>
        <v>437323</v>
      </c>
      <c r="BL31" s="9">
        <f t="shared" ref="BL31:BM31" si="45">SUM(BL32:BL42)</f>
        <v>421105</v>
      </c>
      <c r="BM31" s="9">
        <f t="shared" si="45"/>
        <v>468214</v>
      </c>
      <c r="BN31" s="9">
        <f t="shared" ref="BN31:BO31" si="46">SUM(BN32:BN42)</f>
        <v>499147</v>
      </c>
      <c r="BO31" s="9">
        <f t="shared" si="46"/>
        <v>397416</v>
      </c>
      <c r="BP31" s="9">
        <f t="shared" ref="BP31:BU31" si="47">SUM(BP32:BP42)</f>
        <v>455223</v>
      </c>
      <c r="BQ31" s="9">
        <f t="shared" si="47"/>
        <v>557465</v>
      </c>
      <c r="BR31" s="9">
        <f t="shared" si="47"/>
        <v>652462</v>
      </c>
      <c r="BS31" s="97">
        <f t="shared" si="47"/>
        <v>541904</v>
      </c>
      <c r="BT31" s="97">
        <f t="shared" si="47"/>
        <v>519761</v>
      </c>
      <c r="BU31" s="97">
        <f t="shared" si="47"/>
        <v>448713</v>
      </c>
    </row>
    <row r="32" spans="2:81">
      <c r="B32" s="3" t="s">
        <v>78</v>
      </c>
      <c r="C32" s="2">
        <v>21396</v>
      </c>
      <c r="D32" s="2">
        <v>24430</v>
      </c>
      <c r="E32" s="2">
        <v>26455</v>
      </c>
      <c r="F32" s="2">
        <v>24927</v>
      </c>
      <c r="G32" s="2">
        <v>20844</v>
      </c>
      <c r="H32" s="2">
        <v>17641</v>
      </c>
      <c r="I32" s="2">
        <v>16099</v>
      </c>
      <c r="J32" s="2">
        <v>21730</v>
      </c>
      <c r="K32" s="2">
        <v>33266</v>
      </c>
      <c r="L32" s="2">
        <v>30043</v>
      </c>
      <c r="M32" s="2">
        <v>33979</v>
      </c>
      <c r="N32" s="2">
        <v>40766</v>
      </c>
      <c r="O32" s="2">
        <v>35840</v>
      </c>
      <c r="P32" s="2">
        <v>36002</v>
      </c>
      <c r="Q32" s="2">
        <v>34036</v>
      </c>
      <c r="R32" s="2">
        <v>33418</v>
      </c>
      <c r="S32" s="2">
        <v>30382</v>
      </c>
      <c r="T32" s="2">
        <v>30851</v>
      </c>
      <c r="U32" s="2">
        <v>29962</v>
      </c>
      <c r="V32" s="2">
        <v>29729</v>
      </c>
      <c r="W32" s="2">
        <v>34019</v>
      </c>
      <c r="X32" s="2">
        <v>32919</v>
      </c>
      <c r="Y32" s="2">
        <v>31366</v>
      </c>
      <c r="Z32" s="2">
        <v>30863</v>
      </c>
      <c r="AA32" s="2">
        <v>37998</v>
      </c>
      <c r="AB32" s="2">
        <v>34457</v>
      </c>
      <c r="AC32" s="2">
        <v>35098</v>
      </c>
      <c r="AD32" s="2">
        <v>45439</v>
      </c>
      <c r="AE32" s="2">
        <v>42031</v>
      </c>
      <c r="AF32" s="2">
        <v>38979</v>
      </c>
      <c r="AG32" s="21">
        <v>52061</v>
      </c>
      <c r="AH32" s="21">
        <v>67782</v>
      </c>
      <c r="AI32" s="21">
        <v>72466</v>
      </c>
      <c r="AJ32" s="21">
        <v>47752</v>
      </c>
      <c r="AK32" s="21">
        <v>41759</v>
      </c>
      <c r="AL32" s="21">
        <v>45188</v>
      </c>
      <c r="AM32" s="21">
        <v>44161</v>
      </c>
      <c r="AN32" s="21">
        <v>54075</v>
      </c>
      <c r="AO32" s="21">
        <v>52800</v>
      </c>
      <c r="AP32" s="21">
        <v>61125</v>
      </c>
      <c r="AQ32" s="21">
        <v>82705</v>
      </c>
      <c r="AR32" s="21">
        <v>66323</v>
      </c>
      <c r="AS32" s="21">
        <v>58854</v>
      </c>
      <c r="AT32" s="21">
        <v>61084</v>
      </c>
      <c r="AU32" s="21">
        <v>59189</v>
      </c>
      <c r="AV32" s="21">
        <v>60266</v>
      </c>
      <c r="AW32" s="21">
        <v>61110</v>
      </c>
      <c r="AX32" s="21">
        <v>69298</v>
      </c>
      <c r="AY32" s="21">
        <v>76367</v>
      </c>
      <c r="AZ32" s="21">
        <v>69491</v>
      </c>
      <c r="BA32" s="21">
        <v>69678</v>
      </c>
      <c r="BB32" s="100">
        <v>73890</v>
      </c>
      <c r="BC32" s="100">
        <v>84570</v>
      </c>
      <c r="BD32" s="100">
        <v>78279</v>
      </c>
      <c r="BE32" s="100">
        <v>94568</v>
      </c>
      <c r="BF32" s="100">
        <v>110710</v>
      </c>
      <c r="BG32" s="100">
        <v>112885</v>
      </c>
      <c r="BH32" s="100">
        <v>117748</v>
      </c>
      <c r="BI32" s="100">
        <v>124432</v>
      </c>
      <c r="BJ32" s="100">
        <v>129638</v>
      </c>
      <c r="BK32" s="100">
        <v>122903</v>
      </c>
      <c r="BL32" s="100">
        <v>123305</v>
      </c>
      <c r="BM32" s="100">
        <v>122306</v>
      </c>
      <c r="BN32" s="100">
        <v>147832</v>
      </c>
      <c r="BO32" s="100">
        <v>111982</v>
      </c>
      <c r="BP32" s="100">
        <v>124279</v>
      </c>
      <c r="BQ32" s="100">
        <v>132334</v>
      </c>
      <c r="BR32" s="21">
        <v>127104</v>
      </c>
      <c r="BS32" s="21">
        <v>134121</v>
      </c>
      <c r="BT32" s="21">
        <v>126358</v>
      </c>
      <c r="BU32" s="21">
        <v>132189</v>
      </c>
    </row>
    <row r="33" spans="2:73">
      <c r="B33" s="3" t="s">
        <v>87</v>
      </c>
      <c r="C33" s="2">
        <v>3071</v>
      </c>
      <c r="D33" s="2">
        <v>0</v>
      </c>
      <c r="E33" s="2">
        <v>0</v>
      </c>
      <c r="F33" s="2">
        <v>4454</v>
      </c>
      <c r="G33" s="2">
        <v>29571</v>
      </c>
      <c r="H33" s="2">
        <v>10387</v>
      </c>
      <c r="I33" s="2">
        <v>39810</v>
      </c>
      <c r="J33" s="2">
        <v>46555</v>
      </c>
      <c r="K33" s="2">
        <v>48364</v>
      </c>
      <c r="L33" s="2">
        <v>34235</v>
      </c>
      <c r="M33" s="2">
        <v>483</v>
      </c>
      <c r="N33" s="2">
        <v>0</v>
      </c>
      <c r="O33" s="2">
        <v>0</v>
      </c>
      <c r="P33" s="2">
        <v>0</v>
      </c>
      <c r="Q33" s="2">
        <v>47645</v>
      </c>
      <c r="R33" s="2">
        <v>13906</v>
      </c>
      <c r="S33" s="2">
        <v>11744</v>
      </c>
      <c r="T33" s="2">
        <v>25255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398</v>
      </c>
      <c r="AA33" s="2">
        <v>462</v>
      </c>
      <c r="AB33" s="2">
        <v>311</v>
      </c>
      <c r="AC33" s="2">
        <v>625</v>
      </c>
      <c r="AD33" s="2">
        <v>1426</v>
      </c>
      <c r="AE33" s="2">
        <v>972</v>
      </c>
      <c r="AF33" s="2">
        <v>513</v>
      </c>
      <c r="AG33" s="21">
        <f>2099+25302</f>
        <v>27401</v>
      </c>
      <c r="AH33" s="21">
        <v>1963</v>
      </c>
      <c r="AI33" s="21">
        <v>1997</v>
      </c>
      <c r="AJ33" s="21">
        <v>2101</v>
      </c>
      <c r="AK33" s="21">
        <v>2120</v>
      </c>
      <c r="AL33" s="21">
        <v>689</v>
      </c>
      <c r="AM33" s="21">
        <v>2031</v>
      </c>
      <c r="AN33" s="21">
        <v>1981</v>
      </c>
      <c r="AO33" s="21">
        <v>3817</v>
      </c>
      <c r="AP33" s="21">
        <v>6393</v>
      </c>
      <c r="AQ33" s="21">
        <v>8995</v>
      </c>
      <c r="AR33" s="21">
        <v>75468</v>
      </c>
      <c r="AS33" s="21">
        <v>40441</v>
      </c>
      <c r="AT33" s="21">
        <v>44071</v>
      </c>
      <c r="AU33" s="21">
        <v>44224</v>
      </c>
      <c r="AV33" s="21">
        <v>44465</v>
      </c>
      <c r="AW33" s="21">
        <f>46819-451</f>
        <v>46368</v>
      </c>
      <c r="AX33" s="21">
        <v>71920</v>
      </c>
      <c r="AY33" s="21">
        <v>121661</v>
      </c>
      <c r="AZ33" s="21">
        <v>158799</v>
      </c>
      <c r="BA33" s="21">
        <f>145949-455</f>
        <v>145494</v>
      </c>
      <c r="BB33" s="100">
        <v>132729</v>
      </c>
      <c r="BC33" s="100">
        <v>99854</v>
      </c>
      <c r="BD33" s="100">
        <v>89324</v>
      </c>
      <c r="BE33" s="100">
        <v>48944</v>
      </c>
      <c r="BF33" s="100">
        <v>75234</v>
      </c>
      <c r="BG33" s="100">
        <v>74943</v>
      </c>
      <c r="BH33" s="100">
        <v>69742</v>
      </c>
      <c r="BI33" s="100">
        <v>66236</v>
      </c>
      <c r="BJ33" s="100">
        <v>69829</v>
      </c>
      <c r="BK33" s="100">
        <v>71488</v>
      </c>
      <c r="BL33" s="100">
        <v>66755</v>
      </c>
      <c r="BM33" s="100">
        <v>68753</v>
      </c>
      <c r="BN33" s="100">
        <f>72676-455</f>
        <v>72221</v>
      </c>
      <c r="BO33" s="100">
        <f>73056-455</f>
        <v>72601</v>
      </c>
      <c r="BP33" s="100">
        <f>132512-455</f>
        <v>132057</v>
      </c>
      <c r="BQ33" s="100">
        <v>138757</v>
      </c>
      <c r="BR33" s="21">
        <f>261243-455</f>
        <v>260788</v>
      </c>
      <c r="BS33" s="21">
        <v>199033</v>
      </c>
      <c r="BT33" s="21">
        <f>151534-455</f>
        <v>151079</v>
      </c>
      <c r="BU33" s="21">
        <f>29632-455</f>
        <v>29177</v>
      </c>
    </row>
    <row r="34" spans="2:73">
      <c r="B34" s="3" t="s">
        <v>210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29546</v>
      </c>
      <c r="AF34" s="2">
        <v>7209</v>
      </c>
      <c r="AG34" s="21">
        <v>97339</v>
      </c>
      <c r="AH34" s="21">
        <v>85375</v>
      </c>
      <c r="AI34" s="21">
        <v>499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17804</v>
      </c>
      <c r="AS34" s="21">
        <v>10541</v>
      </c>
      <c r="AT34" s="21">
        <v>0</v>
      </c>
      <c r="AU34" s="21">
        <v>0</v>
      </c>
      <c r="AV34" s="21">
        <v>0</v>
      </c>
      <c r="AW34" s="21">
        <v>22076</v>
      </c>
      <c r="AX34" s="21">
        <v>0</v>
      </c>
      <c r="AY34" s="21">
        <v>175251</v>
      </c>
      <c r="AZ34" s="21">
        <v>176001</v>
      </c>
      <c r="BA34" s="21">
        <v>172136</v>
      </c>
      <c r="BB34" s="100">
        <v>73080</v>
      </c>
      <c r="BC34" s="100">
        <v>104386</v>
      </c>
      <c r="BD34" s="100">
        <v>21883</v>
      </c>
      <c r="BE34" s="100">
        <v>24557</v>
      </c>
      <c r="BF34" s="100">
        <v>9669</v>
      </c>
      <c r="BG34" s="100">
        <v>0</v>
      </c>
      <c r="BH34" s="100">
        <v>0</v>
      </c>
      <c r="BI34" s="100">
        <v>0</v>
      </c>
      <c r="BJ34" s="100">
        <v>0</v>
      </c>
      <c r="BK34" s="100">
        <v>0</v>
      </c>
      <c r="BL34" s="100">
        <v>0</v>
      </c>
      <c r="BM34" s="100">
        <v>0</v>
      </c>
      <c r="BN34" s="100">
        <v>0</v>
      </c>
      <c r="BO34" s="100">
        <v>0</v>
      </c>
      <c r="BP34" s="100">
        <v>0</v>
      </c>
      <c r="BQ34" s="100">
        <v>0</v>
      </c>
      <c r="BR34" s="100">
        <v>0</v>
      </c>
      <c r="BS34" s="100">
        <v>0</v>
      </c>
      <c r="BT34" s="100">
        <v>0</v>
      </c>
      <c r="BU34" s="100">
        <v>0</v>
      </c>
    </row>
    <row r="35" spans="2:73">
      <c r="B35" s="3" t="s">
        <v>115</v>
      </c>
      <c r="C35" s="2">
        <v>16586</v>
      </c>
      <c r="D35" s="2">
        <v>19549</v>
      </c>
      <c r="E35" s="2">
        <v>23594</v>
      </c>
      <c r="F35" s="2">
        <v>29960</v>
      </c>
      <c r="G35" s="2">
        <v>14317</v>
      </c>
      <c r="H35" s="2">
        <v>14147</v>
      </c>
      <c r="I35" s="2">
        <v>13723</v>
      </c>
      <c r="J35" s="2">
        <v>16643</v>
      </c>
      <c r="K35" s="2">
        <v>16319</v>
      </c>
      <c r="L35" s="2">
        <v>17424</v>
      </c>
      <c r="M35" s="2">
        <v>22775</v>
      </c>
      <c r="N35" s="2">
        <v>31049</v>
      </c>
      <c r="O35" s="2">
        <v>21238</v>
      </c>
      <c r="P35" s="2">
        <v>21013</v>
      </c>
      <c r="Q35" s="2">
        <v>28325</v>
      </c>
      <c r="R35" s="2">
        <v>30737</v>
      </c>
      <c r="S35" s="2">
        <v>27008</v>
      </c>
      <c r="T35" s="2">
        <v>26613</v>
      </c>
      <c r="U35" s="2">
        <v>32884</v>
      </c>
      <c r="V35" s="2">
        <v>37402</v>
      </c>
      <c r="W35" s="2">
        <v>39212</v>
      </c>
      <c r="X35" s="2">
        <v>31198</v>
      </c>
      <c r="Y35" s="2">
        <v>38891</v>
      </c>
      <c r="Z35" s="2">
        <v>39219</v>
      </c>
      <c r="AA35" s="2">
        <v>36964</v>
      </c>
      <c r="AB35" s="2">
        <v>36963</v>
      </c>
      <c r="AC35" s="2">
        <f>26047+17046</f>
        <v>43093</v>
      </c>
      <c r="AD35" s="2">
        <v>41222</v>
      </c>
      <c r="AE35" s="2">
        <v>40616</v>
      </c>
      <c r="AF35" s="21">
        <v>46875</v>
      </c>
      <c r="AG35" s="21">
        <v>56523</v>
      </c>
      <c r="AH35" s="21">
        <v>51384</v>
      </c>
      <c r="AI35" s="21">
        <v>41615</v>
      </c>
      <c r="AJ35" s="21">
        <v>35788</v>
      </c>
      <c r="AK35" s="21">
        <v>38487</v>
      </c>
      <c r="AL35" s="21">
        <v>39671</v>
      </c>
      <c r="AM35" s="21">
        <v>45614</v>
      </c>
      <c r="AN35" s="21">
        <v>49363</v>
      </c>
      <c r="AO35" s="21">
        <v>61991</v>
      </c>
      <c r="AP35" s="21">
        <v>67575</v>
      </c>
      <c r="AQ35" s="21">
        <v>49839</v>
      </c>
      <c r="AR35" s="21">
        <v>52969</v>
      </c>
      <c r="AS35" s="21">
        <v>74621</v>
      </c>
      <c r="AT35" s="21">
        <v>75131</v>
      </c>
      <c r="AU35" s="21">
        <v>48957</v>
      </c>
      <c r="AV35" s="21">
        <v>47960</v>
      </c>
      <c r="AW35" s="21">
        <v>69530</v>
      </c>
      <c r="AX35" s="21">
        <v>62273</v>
      </c>
      <c r="AY35" s="21">
        <v>39981</v>
      </c>
      <c r="AZ35" s="21">
        <v>54358</v>
      </c>
      <c r="BA35" s="21">
        <v>56947</v>
      </c>
      <c r="BB35" s="100">
        <v>47805</v>
      </c>
      <c r="BC35" s="100">
        <v>48846</v>
      </c>
      <c r="BD35" s="100">
        <v>61359</v>
      </c>
      <c r="BE35" s="100">
        <v>95780</v>
      </c>
      <c r="BF35" s="100">
        <v>113847</v>
      </c>
      <c r="BG35" s="100">
        <v>83487</v>
      </c>
      <c r="BH35" s="100">
        <v>102660</v>
      </c>
      <c r="BI35" s="100">
        <v>115282</v>
      </c>
      <c r="BJ35" s="100">
        <v>136180</v>
      </c>
      <c r="BK35" s="100">
        <v>80289</v>
      </c>
      <c r="BL35" s="100">
        <v>85517</v>
      </c>
      <c r="BM35" s="100">
        <v>106755</v>
      </c>
      <c r="BN35" s="100">
        <v>104064</v>
      </c>
      <c r="BO35" s="100">
        <v>72998</v>
      </c>
      <c r="BP35" s="100">
        <v>76036</v>
      </c>
      <c r="BQ35" s="100">
        <v>98793</v>
      </c>
      <c r="BR35" s="21">
        <v>101476</v>
      </c>
      <c r="BS35" s="21">
        <v>79424</v>
      </c>
      <c r="BT35" s="21">
        <v>67557</v>
      </c>
      <c r="BU35" s="21">
        <v>89722</v>
      </c>
    </row>
    <row r="36" spans="2:73">
      <c r="B36" s="3" t="s">
        <v>83</v>
      </c>
      <c r="C36" s="2">
        <v>11800</v>
      </c>
      <c r="D36" s="2">
        <v>30961</v>
      </c>
      <c r="E36" s="2">
        <v>33410</v>
      </c>
      <c r="F36" s="2">
        <v>26059</v>
      </c>
      <c r="G36" s="2">
        <v>7107</v>
      </c>
      <c r="H36" s="2">
        <v>7228</v>
      </c>
      <c r="I36" s="2">
        <v>8047</v>
      </c>
      <c r="J36" s="2">
        <v>3028</v>
      </c>
      <c r="K36" s="2">
        <v>13747</v>
      </c>
      <c r="L36" s="2">
        <v>17474</v>
      </c>
      <c r="M36" s="2">
        <v>19271</v>
      </c>
      <c r="N36" s="2">
        <v>9834</v>
      </c>
      <c r="O36" s="2">
        <v>12128</v>
      </c>
      <c r="P36" s="2">
        <v>10745</v>
      </c>
      <c r="Q36" s="2">
        <v>8794</v>
      </c>
      <c r="R36" s="2">
        <v>4623</v>
      </c>
      <c r="S36" s="2">
        <v>10435</v>
      </c>
      <c r="T36" s="2">
        <v>12870</v>
      </c>
      <c r="U36" s="2">
        <v>10865</v>
      </c>
      <c r="V36" s="2">
        <v>4617</v>
      </c>
      <c r="W36" s="2">
        <v>9434</v>
      </c>
      <c r="X36" s="2">
        <v>11339</v>
      </c>
      <c r="Y36" s="2">
        <v>9323</v>
      </c>
      <c r="Z36" s="2">
        <v>9488</v>
      </c>
      <c r="AA36" s="2">
        <v>10745</v>
      </c>
      <c r="AB36" s="2">
        <v>12427</v>
      </c>
      <c r="AC36" s="2">
        <v>10479</v>
      </c>
      <c r="AD36" s="2">
        <v>13472</v>
      </c>
      <c r="AE36" s="2">
        <v>15664</v>
      </c>
      <c r="AF36" s="21">
        <v>18535</v>
      </c>
      <c r="AG36" s="21">
        <v>9024</v>
      </c>
      <c r="AH36" s="21">
        <v>12687</v>
      </c>
      <c r="AI36" s="21">
        <v>12775</v>
      </c>
      <c r="AJ36" s="21">
        <v>10900</v>
      </c>
      <c r="AK36" s="21">
        <v>12318</v>
      </c>
      <c r="AL36" s="21">
        <v>11982</v>
      </c>
      <c r="AM36" s="21">
        <v>13173</v>
      </c>
      <c r="AN36" s="21">
        <v>16840</v>
      </c>
      <c r="AO36" s="21">
        <v>14926</v>
      </c>
      <c r="AP36" s="21">
        <v>6737</v>
      </c>
      <c r="AQ36" s="21">
        <v>17211</v>
      </c>
      <c r="AR36" s="21">
        <v>21009</v>
      </c>
      <c r="AS36" s="21">
        <v>16142</v>
      </c>
      <c r="AT36" s="21">
        <v>22968</v>
      </c>
      <c r="AU36" s="21">
        <v>29400</v>
      </c>
      <c r="AV36" s="21">
        <v>11031</v>
      </c>
      <c r="AW36" s="21">
        <v>54494</v>
      </c>
      <c r="AX36" s="21">
        <v>10787</v>
      </c>
      <c r="AY36" s="21">
        <v>18030</v>
      </c>
      <c r="AZ36" s="21">
        <v>19738</v>
      </c>
      <c r="BA36" s="21">
        <v>7699</v>
      </c>
      <c r="BB36" s="100">
        <v>15483</v>
      </c>
      <c r="BC36" s="100">
        <v>25668</v>
      </c>
      <c r="BD36" s="100">
        <v>27231</v>
      </c>
      <c r="BE36" s="100">
        <v>59674</v>
      </c>
      <c r="BF36" s="100">
        <v>69829</v>
      </c>
      <c r="BG36" s="100">
        <v>33172</v>
      </c>
      <c r="BH36" s="100">
        <v>66668</v>
      </c>
      <c r="BI36" s="100">
        <v>39904</v>
      </c>
      <c r="BJ36" s="100">
        <v>59084</v>
      </c>
      <c r="BK36" s="100">
        <v>34361</v>
      </c>
      <c r="BL36" s="100">
        <v>29965</v>
      </c>
      <c r="BM36" s="100">
        <v>24492</v>
      </c>
      <c r="BN36" s="100">
        <v>24138</v>
      </c>
      <c r="BO36" s="100">
        <v>24672</v>
      </c>
      <c r="BP36" s="100">
        <v>18578</v>
      </c>
      <c r="BQ36" s="100">
        <v>33444</v>
      </c>
      <c r="BR36" s="21">
        <v>39021</v>
      </c>
      <c r="BS36" s="21">
        <v>24849</v>
      </c>
      <c r="BT36" s="21">
        <v>32750</v>
      </c>
      <c r="BU36" s="21">
        <v>24228</v>
      </c>
    </row>
    <row r="37" spans="2:73">
      <c r="B37" s="3" t="s">
        <v>178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>
        <v>13216</v>
      </c>
      <c r="AS37" s="21">
        <v>3063</v>
      </c>
      <c r="AT37" s="21">
        <v>1002</v>
      </c>
      <c r="AU37" s="21">
        <v>5419</v>
      </c>
      <c r="AV37" s="21">
        <v>4873</v>
      </c>
      <c r="AW37" s="21">
        <v>2812</v>
      </c>
      <c r="AX37" s="21">
        <v>3343</v>
      </c>
      <c r="AY37" s="21">
        <v>5083</v>
      </c>
      <c r="AZ37" s="21">
        <v>20018</v>
      </c>
      <c r="BA37" s="21">
        <v>15770</v>
      </c>
      <c r="BB37" s="100">
        <v>19335</v>
      </c>
      <c r="BC37" s="100">
        <v>20213</v>
      </c>
      <c r="BD37" s="100">
        <v>22063</v>
      </c>
      <c r="BE37" s="100">
        <v>17655</v>
      </c>
      <c r="BF37" s="100">
        <v>24896</v>
      </c>
      <c r="BG37" s="100">
        <v>38963</v>
      </c>
      <c r="BH37" s="100">
        <v>33929</v>
      </c>
      <c r="BI37" s="100">
        <v>33802</v>
      </c>
      <c r="BJ37" s="100">
        <v>12870</v>
      </c>
      <c r="BK37" s="100">
        <v>29480</v>
      </c>
      <c r="BL37" s="100">
        <v>55928</v>
      </c>
      <c r="BM37" s="100">
        <v>73738</v>
      </c>
      <c r="BN37" s="100">
        <v>64841</v>
      </c>
      <c r="BO37" s="100">
        <v>47506</v>
      </c>
      <c r="BP37" s="100">
        <v>22466</v>
      </c>
      <c r="BQ37" s="100">
        <v>54096</v>
      </c>
      <c r="BR37" s="21">
        <v>54852</v>
      </c>
      <c r="BS37" s="21">
        <v>50243</v>
      </c>
      <c r="BT37" s="21">
        <v>85270</v>
      </c>
      <c r="BU37" s="21">
        <v>85409</v>
      </c>
    </row>
    <row r="38" spans="2:73">
      <c r="B38" s="3" t="s">
        <v>185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>
        <v>1656</v>
      </c>
      <c r="AU38" s="21">
        <v>1446</v>
      </c>
      <c r="AV38" s="21">
        <v>1234</v>
      </c>
      <c r="AW38" s="21">
        <v>1075</v>
      </c>
      <c r="AX38" s="21">
        <v>579</v>
      </c>
      <c r="AY38" s="21">
        <v>0</v>
      </c>
      <c r="AZ38" s="21">
        <v>0</v>
      </c>
      <c r="BA38" s="21">
        <v>0</v>
      </c>
      <c r="BB38" s="100">
        <v>0</v>
      </c>
      <c r="BC38" s="100">
        <v>0</v>
      </c>
      <c r="BD38" s="100">
        <v>0</v>
      </c>
      <c r="BE38" s="100">
        <v>0</v>
      </c>
      <c r="BF38" s="100">
        <v>0</v>
      </c>
      <c r="BG38" s="100"/>
      <c r="BH38" s="100">
        <v>0</v>
      </c>
      <c r="BI38" s="100">
        <v>0</v>
      </c>
      <c r="BJ38" s="100">
        <v>0</v>
      </c>
      <c r="BK38" s="100">
        <v>0</v>
      </c>
      <c r="BL38" s="100">
        <v>0</v>
      </c>
      <c r="BM38" s="100">
        <v>0</v>
      </c>
      <c r="BN38" s="100">
        <v>0</v>
      </c>
      <c r="BO38" s="100">
        <v>0</v>
      </c>
      <c r="BP38" s="100">
        <v>0</v>
      </c>
      <c r="BQ38" s="100">
        <v>0</v>
      </c>
      <c r="BR38" s="100">
        <v>0</v>
      </c>
      <c r="BS38" s="100">
        <v>0</v>
      </c>
      <c r="BT38" s="100">
        <v>0</v>
      </c>
      <c r="BU38" s="100">
        <v>0</v>
      </c>
    </row>
    <row r="39" spans="2:73">
      <c r="B39" s="3" t="s">
        <v>79</v>
      </c>
      <c r="C39" s="2">
        <v>8042</v>
      </c>
      <c r="D39" s="2">
        <v>0</v>
      </c>
      <c r="E39" s="2">
        <v>0</v>
      </c>
      <c r="F39" s="2">
        <v>33920</v>
      </c>
      <c r="G39" s="2">
        <v>33920</v>
      </c>
      <c r="H39" s="2">
        <v>0</v>
      </c>
      <c r="I39" s="2">
        <v>0</v>
      </c>
      <c r="J39" s="2">
        <v>8742</v>
      </c>
      <c r="K39" s="2">
        <v>0</v>
      </c>
      <c r="L39" s="2">
        <v>0</v>
      </c>
      <c r="M39" s="2">
        <v>0</v>
      </c>
      <c r="N39" s="2">
        <v>26221</v>
      </c>
      <c r="O39" s="2">
        <v>4565</v>
      </c>
      <c r="P39" s="2">
        <v>0</v>
      </c>
      <c r="Q39" s="2">
        <v>0</v>
      </c>
      <c r="R39" s="2">
        <v>21845</v>
      </c>
      <c r="S39" s="2">
        <v>0</v>
      </c>
      <c r="T39" s="2">
        <v>0</v>
      </c>
      <c r="U39" s="2">
        <v>0</v>
      </c>
      <c r="V39" s="2">
        <v>18841</v>
      </c>
      <c r="W39" s="2">
        <v>0</v>
      </c>
      <c r="X39" s="2">
        <v>0</v>
      </c>
      <c r="Y39" s="2">
        <v>0</v>
      </c>
      <c r="Z39" s="2">
        <v>16693</v>
      </c>
      <c r="AA39" s="2">
        <v>2851</v>
      </c>
      <c r="AB39" s="2">
        <v>0</v>
      </c>
      <c r="AC39" s="2">
        <v>0</v>
      </c>
      <c r="AD39" s="2">
        <v>6701</v>
      </c>
      <c r="AE39" s="2">
        <v>701</v>
      </c>
      <c r="AF39" s="2">
        <v>68</v>
      </c>
      <c r="AG39" s="21">
        <v>0</v>
      </c>
      <c r="AH39" s="21">
        <v>113</v>
      </c>
      <c r="AI39" s="21">
        <v>113</v>
      </c>
      <c r="AJ39" s="21">
        <v>113</v>
      </c>
      <c r="AK39" s="21">
        <v>0</v>
      </c>
      <c r="AL39" s="21">
        <v>72496</v>
      </c>
      <c r="AM39" s="21">
        <v>10873</v>
      </c>
      <c r="AN39" s="21">
        <v>124</v>
      </c>
      <c r="AO39" s="21">
        <v>0</v>
      </c>
      <c r="AP39" s="21">
        <v>20328</v>
      </c>
      <c r="AQ39" s="21">
        <v>0</v>
      </c>
      <c r="AR39" s="21">
        <v>97</v>
      </c>
      <c r="AS39" s="21">
        <v>0</v>
      </c>
      <c r="AT39" s="21">
        <v>8454</v>
      </c>
      <c r="AU39" s="21">
        <v>93</v>
      </c>
      <c r="AV39" s="21">
        <v>93</v>
      </c>
      <c r="AW39" s="21">
        <v>0</v>
      </c>
      <c r="AX39" s="21">
        <v>5308</v>
      </c>
      <c r="AY39" s="21">
        <v>85</v>
      </c>
      <c r="AZ39" s="21">
        <v>85</v>
      </c>
      <c r="BA39" s="21">
        <v>85</v>
      </c>
      <c r="BB39" s="100">
        <v>32884</v>
      </c>
      <c r="BC39" s="100">
        <v>58</v>
      </c>
      <c r="BD39" s="100">
        <v>0</v>
      </c>
      <c r="BE39" s="100">
        <v>0</v>
      </c>
      <c r="BF39" s="100">
        <v>48275</v>
      </c>
      <c r="BG39" s="100">
        <v>42800</v>
      </c>
      <c r="BH39" s="100">
        <v>7</v>
      </c>
      <c r="BI39" s="100">
        <v>0</v>
      </c>
      <c r="BJ39" s="100">
        <v>47</v>
      </c>
      <c r="BK39" s="100">
        <v>47</v>
      </c>
      <c r="BL39" s="100">
        <v>47</v>
      </c>
      <c r="BM39" s="100">
        <v>0</v>
      </c>
      <c r="BN39" s="100">
        <v>60</v>
      </c>
      <c r="BO39" s="100">
        <v>60</v>
      </c>
      <c r="BP39" s="100">
        <v>60</v>
      </c>
      <c r="BQ39" s="100">
        <v>0</v>
      </c>
      <c r="BR39" s="21">
        <v>62</v>
      </c>
      <c r="BS39" s="21">
        <v>62</v>
      </c>
      <c r="BT39" s="21">
        <v>62</v>
      </c>
      <c r="BU39" s="21">
        <v>0</v>
      </c>
    </row>
    <row r="40" spans="2:73">
      <c r="B40" s="3" t="s">
        <v>186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1">
        <v>39554</v>
      </c>
      <c r="AU40" s="21">
        <v>40277</v>
      </c>
      <c r="AV40" s="21">
        <v>48857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100">
        <v>0</v>
      </c>
      <c r="BC40" s="100">
        <v>0</v>
      </c>
      <c r="BD40" s="100">
        <v>0</v>
      </c>
      <c r="BE40" s="100">
        <v>0</v>
      </c>
      <c r="BF40" s="100">
        <v>0</v>
      </c>
      <c r="BG40" s="100">
        <v>0</v>
      </c>
      <c r="BH40" s="100">
        <v>0</v>
      </c>
      <c r="BI40" s="100">
        <v>0</v>
      </c>
      <c r="BJ40" s="100">
        <v>0</v>
      </c>
      <c r="BK40" s="100">
        <v>0</v>
      </c>
      <c r="BL40" s="100">
        <v>0</v>
      </c>
      <c r="BM40" s="100">
        <v>0</v>
      </c>
      <c r="BN40" s="100">
        <v>0</v>
      </c>
      <c r="BO40" s="100">
        <v>0</v>
      </c>
      <c r="BP40" s="100">
        <v>0</v>
      </c>
      <c r="BQ40" s="100">
        <v>0</v>
      </c>
      <c r="BR40" s="100">
        <v>0</v>
      </c>
      <c r="BS40" s="100">
        <v>0</v>
      </c>
      <c r="BT40" s="100">
        <v>0</v>
      </c>
      <c r="BU40" s="100">
        <v>0</v>
      </c>
    </row>
    <row r="41" spans="2:73">
      <c r="B41" s="3" t="s">
        <v>190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1">
        <v>11693</v>
      </c>
      <c r="AV41" s="21">
        <v>12155</v>
      </c>
      <c r="AW41" s="21">
        <v>17017</v>
      </c>
      <c r="AX41" s="21">
        <v>21179</v>
      </c>
      <c r="AY41" s="21">
        <v>20501</v>
      </c>
      <c r="AZ41" s="21">
        <v>20977</v>
      </c>
      <c r="BA41" s="21">
        <v>20824</v>
      </c>
      <c r="BB41" s="100">
        <v>21188</v>
      </c>
      <c r="BC41" s="100">
        <v>18456</v>
      </c>
      <c r="BD41" s="100">
        <v>15491</v>
      </c>
      <c r="BE41" s="100">
        <v>15152</v>
      </c>
      <c r="BF41" s="100">
        <v>12616</v>
      </c>
      <c r="BG41" s="100">
        <v>12720</v>
      </c>
      <c r="BH41" s="100">
        <v>20876</v>
      </c>
      <c r="BI41" s="100">
        <v>26791</v>
      </c>
      <c r="BJ41" s="100">
        <v>27417</v>
      </c>
      <c r="BK41" s="100">
        <v>35093</v>
      </c>
      <c r="BL41" s="100">
        <v>45952</v>
      </c>
      <c r="BM41" s="100">
        <v>51594</v>
      </c>
      <c r="BN41" s="100">
        <v>44634</v>
      </c>
      <c r="BO41" s="100">
        <v>45130</v>
      </c>
      <c r="BP41" s="100">
        <v>57628</v>
      </c>
      <c r="BQ41" s="100">
        <v>52657</v>
      </c>
      <c r="BR41" s="21">
        <v>43401</v>
      </c>
      <c r="BS41" s="21">
        <v>28277</v>
      </c>
      <c r="BT41" s="21">
        <v>32679</v>
      </c>
      <c r="BU41" s="21">
        <v>26424</v>
      </c>
    </row>
    <row r="42" spans="2:73" ht="15.75" thickBot="1">
      <c r="B42" s="3" t="s">
        <v>80</v>
      </c>
      <c r="C42" s="2">
        <v>887</v>
      </c>
      <c r="D42" s="2">
        <v>874</v>
      </c>
      <c r="E42" s="2">
        <v>1273</v>
      </c>
      <c r="F42" s="2">
        <v>4323</v>
      </c>
      <c r="G42" s="2">
        <v>4405</v>
      </c>
      <c r="H42" s="2">
        <v>1841</v>
      </c>
      <c r="I42" s="2">
        <v>1844</v>
      </c>
      <c r="J42" s="2">
        <v>1895</v>
      </c>
      <c r="K42" s="2">
        <v>2666</v>
      </c>
      <c r="L42" s="2">
        <v>3490</v>
      </c>
      <c r="M42" s="2">
        <v>2818</v>
      </c>
      <c r="N42" s="2">
        <v>2864</v>
      </c>
      <c r="O42" s="2">
        <v>2590</v>
      </c>
      <c r="P42" s="2">
        <v>2664</v>
      </c>
      <c r="Q42" s="2">
        <v>5649</v>
      </c>
      <c r="R42" s="2">
        <v>1784</v>
      </c>
      <c r="S42" s="2">
        <v>3372</v>
      </c>
      <c r="T42" s="2">
        <v>1546</v>
      </c>
      <c r="U42" s="2">
        <v>2654</v>
      </c>
      <c r="V42" s="2">
        <v>575</v>
      </c>
      <c r="W42" s="2">
        <v>1818</v>
      </c>
      <c r="X42" s="2">
        <v>1543</v>
      </c>
      <c r="Y42" s="2">
        <v>5263</v>
      </c>
      <c r="Z42" s="2">
        <v>2267</v>
      </c>
      <c r="AA42" s="2">
        <v>2598</v>
      </c>
      <c r="AB42" s="2">
        <v>1943</v>
      </c>
      <c r="AC42" s="2">
        <v>2898</v>
      </c>
      <c r="AD42" s="2">
        <v>6010</v>
      </c>
      <c r="AE42" s="2">
        <f>4409</f>
        <v>4409</v>
      </c>
      <c r="AF42" s="2">
        <v>6125</v>
      </c>
      <c r="AG42" s="21">
        <v>10347</v>
      </c>
      <c r="AH42" s="21">
        <v>6627</v>
      </c>
      <c r="AI42" s="21">
        <v>7470</v>
      </c>
      <c r="AJ42" s="21">
        <v>5697</v>
      </c>
      <c r="AK42" s="21">
        <v>2915</v>
      </c>
      <c r="AL42" s="21">
        <v>3686</v>
      </c>
      <c r="AM42" s="21">
        <v>5320</v>
      </c>
      <c r="AN42" s="21">
        <v>3677</v>
      </c>
      <c r="AO42" s="21">
        <v>6329</v>
      </c>
      <c r="AP42" s="21">
        <v>6945</v>
      </c>
      <c r="AQ42" s="21">
        <v>7135</v>
      </c>
      <c r="AR42" s="21">
        <v>11731</v>
      </c>
      <c r="AS42" s="21">
        <f>37493+8682+2033</f>
        <v>48208</v>
      </c>
      <c r="AT42" s="21">
        <v>6153</v>
      </c>
      <c r="AU42" s="21">
        <v>9040</v>
      </c>
      <c r="AV42" s="21">
        <v>6220</v>
      </c>
      <c r="AW42" s="21">
        <v>11246</v>
      </c>
      <c r="AX42" s="21">
        <v>11364</v>
      </c>
      <c r="AY42" s="21">
        <v>9324</v>
      </c>
      <c r="AZ42" s="21">
        <v>10260</v>
      </c>
      <c r="BA42" s="21">
        <v>10903</v>
      </c>
      <c r="BB42" s="100">
        <v>7845</v>
      </c>
      <c r="BC42" s="100">
        <v>5585</v>
      </c>
      <c r="BD42" s="100">
        <v>8920</v>
      </c>
      <c r="BE42" s="100">
        <v>17793</v>
      </c>
      <c r="BF42" s="100">
        <v>9661</v>
      </c>
      <c r="BG42" s="100">
        <v>17910</v>
      </c>
      <c r="BH42" s="100">
        <v>16854</v>
      </c>
      <c r="BI42" s="100">
        <v>27632</v>
      </c>
      <c r="BJ42" s="100">
        <v>70886</v>
      </c>
      <c r="BK42" s="100">
        <v>63662</v>
      </c>
      <c r="BL42" s="100">
        <f>9953+3683</f>
        <v>13636</v>
      </c>
      <c r="BM42" s="100">
        <f>10447+10129</f>
        <v>20576</v>
      </c>
      <c r="BN42" s="100">
        <f>11938+29419</f>
        <v>41357</v>
      </c>
      <c r="BO42" s="100">
        <f>11881+10586</f>
        <v>22467</v>
      </c>
      <c r="BP42" s="100">
        <f>12095+12024</f>
        <v>24119</v>
      </c>
      <c r="BQ42" s="100">
        <f>34113+13271</f>
        <v>47384</v>
      </c>
      <c r="BR42" s="21">
        <f>15296+10462</f>
        <v>25758</v>
      </c>
      <c r="BS42" s="21">
        <f>12484+13411</f>
        <v>25895</v>
      </c>
      <c r="BT42" s="21">
        <f>8910+15096</f>
        <v>24006</v>
      </c>
      <c r="BU42" s="21">
        <f>14402+47162</f>
        <v>61564</v>
      </c>
    </row>
    <row r="43" spans="2:73" ht="15.75" thickBot="1">
      <c r="B43" s="9" t="s">
        <v>74</v>
      </c>
      <c r="C43" s="9">
        <f t="shared" ref="C43:AH43" si="48">SUM(C44:C54)</f>
        <v>19294</v>
      </c>
      <c r="D43" s="9">
        <f t="shared" si="48"/>
        <v>25982</v>
      </c>
      <c r="E43" s="9">
        <f t="shared" si="48"/>
        <v>26578</v>
      </c>
      <c r="F43" s="9">
        <f t="shared" si="48"/>
        <v>19199</v>
      </c>
      <c r="G43" s="9">
        <f t="shared" si="48"/>
        <v>15139</v>
      </c>
      <c r="H43" s="9">
        <f t="shared" si="48"/>
        <v>15289</v>
      </c>
      <c r="I43" s="9">
        <f t="shared" si="48"/>
        <v>16651</v>
      </c>
      <c r="J43" s="9">
        <f t="shared" si="48"/>
        <v>50291</v>
      </c>
      <c r="K43" s="9">
        <f t="shared" si="48"/>
        <v>52583</v>
      </c>
      <c r="L43" s="9">
        <f t="shared" si="48"/>
        <v>52771</v>
      </c>
      <c r="M43" s="9">
        <f t="shared" si="48"/>
        <v>46575</v>
      </c>
      <c r="N43" s="9">
        <f t="shared" si="48"/>
        <v>47397</v>
      </c>
      <c r="O43" s="9">
        <f t="shared" si="48"/>
        <v>51827</v>
      </c>
      <c r="P43" s="9">
        <f t="shared" si="48"/>
        <v>52177</v>
      </c>
      <c r="Q43" s="9">
        <f t="shared" si="48"/>
        <v>52815</v>
      </c>
      <c r="R43" s="9">
        <f t="shared" si="48"/>
        <v>50914</v>
      </c>
      <c r="S43" s="9">
        <f t="shared" si="48"/>
        <v>54720</v>
      </c>
      <c r="T43" s="9">
        <f t="shared" si="48"/>
        <v>64306</v>
      </c>
      <c r="U43" s="9">
        <f t="shared" si="48"/>
        <v>62735</v>
      </c>
      <c r="V43" s="9">
        <f t="shared" si="48"/>
        <v>52908</v>
      </c>
      <c r="W43" s="9">
        <f t="shared" si="48"/>
        <v>57915</v>
      </c>
      <c r="X43" s="9">
        <f t="shared" si="48"/>
        <v>63835</v>
      </c>
      <c r="Y43" s="9">
        <f t="shared" si="48"/>
        <v>63931</v>
      </c>
      <c r="Z43" s="9">
        <f t="shared" si="48"/>
        <v>64719</v>
      </c>
      <c r="AA43" s="9">
        <f t="shared" si="48"/>
        <v>63191</v>
      </c>
      <c r="AB43" s="9">
        <f t="shared" si="48"/>
        <v>62570</v>
      </c>
      <c r="AC43" s="9">
        <f t="shared" si="48"/>
        <v>61782</v>
      </c>
      <c r="AD43" s="9">
        <f t="shared" si="48"/>
        <v>69377</v>
      </c>
      <c r="AE43" s="9">
        <f t="shared" si="48"/>
        <v>65329</v>
      </c>
      <c r="AF43" s="9">
        <f t="shared" si="48"/>
        <v>72221</v>
      </c>
      <c r="AG43" s="9">
        <f t="shared" si="48"/>
        <v>87236</v>
      </c>
      <c r="AH43" s="9">
        <f t="shared" si="48"/>
        <v>82940</v>
      </c>
      <c r="AI43" s="9">
        <f t="shared" ref="AI43:AY43" si="49">SUM(AI44:AI54)</f>
        <v>90399</v>
      </c>
      <c r="AJ43" s="9">
        <f t="shared" si="49"/>
        <v>96649</v>
      </c>
      <c r="AK43" s="9">
        <f t="shared" si="49"/>
        <v>97456</v>
      </c>
      <c r="AL43" s="9">
        <f t="shared" si="49"/>
        <v>126464</v>
      </c>
      <c r="AM43" s="9">
        <f t="shared" si="49"/>
        <v>136283</v>
      </c>
      <c r="AN43" s="9">
        <f t="shared" si="49"/>
        <v>148171</v>
      </c>
      <c r="AO43" s="9">
        <f t="shared" si="49"/>
        <v>156875</v>
      </c>
      <c r="AP43" s="9">
        <f t="shared" si="49"/>
        <v>164800</v>
      </c>
      <c r="AQ43" s="9">
        <f t="shared" si="49"/>
        <v>166801</v>
      </c>
      <c r="AR43" s="9">
        <f t="shared" si="49"/>
        <v>619702</v>
      </c>
      <c r="AS43" s="9">
        <f t="shared" si="49"/>
        <v>655036</v>
      </c>
      <c r="AT43" s="9">
        <f t="shared" si="49"/>
        <v>650722</v>
      </c>
      <c r="AU43" s="9">
        <f t="shared" si="49"/>
        <v>674588</v>
      </c>
      <c r="AV43" s="9">
        <f t="shared" si="49"/>
        <v>625555</v>
      </c>
      <c r="AW43" s="9">
        <f t="shared" si="49"/>
        <v>654924</v>
      </c>
      <c r="AX43" s="9">
        <f t="shared" si="49"/>
        <v>652220</v>
      </c>
      <c r="AY43" s="9">
        <f t="shared" si="49"/>
        <v>682557</v>
      </c>
      <c r="AZ43" s="9">
        <f t="shared" ref="AZ43:BA43" si="50">SUM(AZ44:AZ54)</f>
        <v>682219</v>
      </c>
      <c r="BA43" s="9">
        <f t="shared" si="50"/>
        <v>664915</v>
      </c>
      <c r="BB43" s="9">
        <f t="shared" ref="BB43:BC43" si="51">SUM(BB44:BB54)</f>
        <v>621123</v>
      </c>
      <c r="BC43" s="9">
        <f t="shared" si="51"/>
        <v>603502</v>
      </c>
      <c r="BD43" s="9">
        <f t="shared" ref="BD43:BE43" si="52">SUM(BD44:BD54)</f>
        <v>612490</v>
      </c>
      <c r="BE43" s="9">
        <f t="shared" si="52"/>
        <v>562993</v>
      </c>
      <c r="BF43" s="9">
        <f t="shared" ref="BF43:BK43" si="53">SUM(BF44:BF54)</f>
        <v>551566</v>
      </c>
      <c r="BG43" s="9">
        <f t="shared" si="53"/>
        <v>537366</v>
      </c>
      <c r="BH43" s="9">
        <f t="shared" si="53"/>
        <v>534976</v>
      </c>
      <c r="BI43" s="9">
        <f t="shared" si="53"/>
        <v>496021</v>
      </c>
      <c r="BJ43" s="9">
        <f t="shared" si="53"/>
        <v>520547</v>
      </c>
      <c r="BK43" s="9">
        <f t="shared" si="53"/>
        <v>517971</v>
      </c>
      <c r="BL43" s="9">
        <f t="shared" ref="BL43:BM43" si="54">SUM(BL44:BL54)</f>
        <v>488722</v>
      </c>
      <c r="BM43" s="9">
        <f t="shared" si="54"/>
        <v>418694</v>
      </c>
      <c r="BN43" s="9">
        <f t="shared" ref="BN43:BO43" si="55">SUM(BN44:BN54)</f>
        <v>420063</v>
      </c>
      <c r="BO43" s="9">
        <f t="shared" si="55"/>
        <v>460659</v>
      </c>
      <c r="BP43" s="9">
        <f t="shared" ref="BP43:BU43" si="56">SUM(BP44:BP54)</f>
        <v>448744</v>
      </c>
      <c r="BQ43" s="9">
        <f t="shared" si="56"/>
        <v>398560</v>
      </c>
      <c r="BR43" s="9">
        <f t="shared" si="56"/>
        <v>394645</v>
      </c>
      <c r="BS43" s="97">
        <f t="shared" si="56"/>
        <v>427637</v>
      </c>
      <c r="BT43" s="97">
        <f t="shared" si="56"/>
        <v>385761</v>
      </c>
      <c r="BU43" s="97">
        <f t="shared" si="56"/>
        <v>393372</v>
      </c>
    </row>
    <row r="44" spans="2:73">
      <c r="B44" s="3" t="s">
        <v>78</v>
      </c>
      <c r="C44" s="2">
        <v>7101</v>
      </c>
      <c r="D44" s="2">
        <v>4608</v>
      </c>
      <c r="E44" s="2">
        <v>4608</v>
      </c>
      <c r="F44" s="2">
        <v>6902</v>
      </c>
      <c r="G44" s="2">
        <v>7800</v>
      </c>
      <c r="H44" s="2">
        <v>8618</v>
      </c>
      <c r="I44" s="2">
        <v>9182</v>
      </c>
      <c r="J44" s="2">
        <v>5550</v>
      </c>
      <c r="K44" s="2">
        <v>7686</v>
      </c>
      <c r="L44" s="2">
        <v>7983</v>
      </c>
      <c r="M44" s="2">
        <v>6737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/>
      <c r="AJ44" s="2"/>
      <c r="AK44" s="2"/>
      <c r="AL44" s="2"/>
      <c r="AM44" s="2"/>
      <c r="AN44" s="2"/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  <c r="BS44" s="21">
        <v>0</v>
      </c>
      <c r="BT44" s="21">
        <v>0</v>
      </c>
      <c r="BU44" s="21">
        <v>0</v>
      </c>
    </row>
    <row r="45" spans="2:73">
      <c r="B45" s="3" t="s">
        <v>87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4373</v>
      </c>
      <c r="X45" s="2">
        <v>8334</v>
      </c>
      <c r="Y45" s="2">
        <v>8408</v>
      </c>
      <c r="Z45" s="2">
        <v>8090</v>
      </c>
      <c r="AA45" s="2">
        <v>7938</v>
      </c>
      <c r="AB45" s="2">
        <v>8379</v>
      </c>
      <c r="AC45" s="2">
        <v>8858</v>
      </c>
      <c r="AD45" s="2">
        <v>12251</v>
      </c>
      <c r="AE45" s="2">
        <v>13037</v>
      </c>
      <c r="AF45" s="2">
        <v>14808</v>
      </c>
      <c r="AG45" s="21">
        <v>16097</v>
      </c>
      <c r="AH45" s="21">
        <v>15865</v>
      </c>
      <c r="AI45" s="21">
        <v>17639</v>
      </c>
      <c r="AJ45" s="21">
        <v>19396</v>
      </c>
      <c r="AK45" s="21">
        <v>21534</v>
      </c>
      <c r="AL45" s="21">
        <v>38680</v>
      </c>
      <c r="AM45" s="21">
        <v>44651</v>
      </c>
      <c r="AN45" s="21">
        <v>52081</v>
      </c>
      <c r="AO45" s="21">
        <v>61245</v>
      </c>
      <c r="AP45" s="21">
        <v>59989</v>
      </c>
      <c r="AQ45" s="21">
        <v>57057</v>
      </c>
      <c r="AR45" s="21">
        <v>500121</v>
      </c>
      <c r="AS45" s="21">
        <v>371862</v>
      </c>
      <c r="AT45" s="21">
        <v>352744</v>
      </c>
      <c r="AU45" s="21">
        <v>343108</v>
      </c>
      <c r="AV45" s="21">
        <v>332304</v>
      </c>
      <c r="AW45" s="21">
        <f>461914-5072</f>
        <v>456842</v>
      </c>
      <c r="AX45" s="21">
        <v>422477</v>
      </c>
      <c r="AY45" s="21">
        <v>412950</v>
      </c>
      <c r="AZ45" s="21">
        <v>441860</v>
      </c>
      <c r="BA45" s="21">
        <f>436380-4612</f>
        <v>431768</v>
      </c>
      <c r="BB45" s="21">
        <v>395930</v>
      </c>
      <c r="BC45" s="21">
        <v>386820</v>
      </c>
      <c r="BD45" s="21">
        <v>370871</v>
      </c>
      <c r="BE45" s="21">
        <v>364028</v>
      </c>
      <c r="BF45" s="21">
        <v>330085</v>
      </c>
      <c r="BG45" s="21">
        <f>328800-3929</f>
        <v>324871</v>
      </c>
      <c r="BH45" s="21">
        <v>312713</v>
      </c>
      <c r="BI45" s="100">
        <v>275178</v>
      </c>
      <c r="BJ45" s="100">
        <v>268163</v>
      </c>
      <c r="BK45" s="100">
        <v>263474</v>
      </c>
      <c r="BL45" s="100">
        <v>250294</v>
      </c>
      <c r="BM45" s="100">
        <v>209047</v>
      </c>
      <c r="BN45" s="100">
        <f>202296-3132</f>
        <v>199164</v>
      </c>
      <c r="BO45" s="21">
        <f>195253-3018</f>
        <v>192235</v>
      </c>
      <c r="BP45" s="21">
        <f>176190-2904</f>
        <v>173286</v>
      </c>
      <c r="BQ45" s="90">
        <f>169103-2790</f>
        <v>166313</v>
      </c>
      <c r="BR45" s="21">
        <f>162444-2676</f>
        <v>159768</v>
      </c>
      <c r="BS45" s="21">
        <f>155761-2563</f>
        <v>153198</v>
      </c>
      <c r="BT45" s="21">
        <f>149121-2449</f>
        <v>146672</v>
      </c>
      <c r="BU45" s="21">
        <f>142498-2334</f>
        <v>140164</v>
      </c>
    </row>
    <row r="46" spans="2:73">
      <c r="B46" s="3" t="s">
        <v>210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1">
        <v>23989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442</v>
      </c>
      <c r="AV46" s="21">
        <v>0</v>
      </c>
      <c r="AW46" s="21">
        <v>331</v>
      </c>
      <c r="AX46" s="21">
        <v>0</v>
      </c>
      <c r="AY46" s="21">
        <v>43867</v>
      </c>
      <c r="AZ46" s="100">
        <v>23651</v>
      </c>
      <c r="BA46" s="100">
        <v>34010</v>
      </c>
      <c r="BB46" s="21">
        <v>14687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0</v>
      </c>
      <c r="BP46" s="21">
        <v>0</v>
      </c>
      <c r="BQ46" s="21">
        <v>0</v>
      </c>
      <c r="BR46" s="21">
        <v>0</v>
      </c>
      <c r="BS46" s="21">
        <v>0</v>
      </c>
      <c r="BT46" s="21">
        <v>0</v>
      </c>
      <c r="BU46" s="21">
        <v>0</v>
      </c>
    </row>
    <row r="47" spans="2:73">
      <c r="B47" s="3" t="s">
        <v>186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/>
      <c r="AR47" s="2"/>
      <c r="AS47" s="21">
        <v>136468</v>
      </c>
      <c r="AT47" s="21">
        <v>137182</v>
      </c>
      <c r="AU47" s="21">
        <v>139491</v>
      </c>
      <c r="AV47" s="21">
        <v>92941</v>
      </c>
      <c r="AW47" s="21">
        <v>7249</v>
      </c>
      <c r="AX47" s="21">
        <v>7262</v>
      </c>
      <c r="AY47" s="21">
        <v>7294</v>
      </c>
      <c r="AZ47" s="100">
        <v>7294</v>
      </c>
      <c r="BA47" s="100">
        <v>7294</v>
      </c>
      <c r="BB47" s="21">
        <v>4978</v>
      </c>
      <c r="BC47" s="21">
        <v>4978</v>
      </c>
      <c r="BD47" s="21">
        <v>4978</v>
      </c>
      <c r="BE47" s="21">
        <v>4978</v>
      </c>
      <c r="BF47" s="21">
        <v>4978</v>
      </c>
      <c r="BG47" s="21">
        <v>4978</v>
      </c>
      <c r="BH47" s="21">
        <v>4978</v>
      </c>
      <c r="BI47" s="21">
        <v>4978</v>
      </c>
      <c r="BJ47" s="21">
        <v>4978</v>
      </c>
      <c r="BK47" s="21">
        <v>4978</v>
      </c>
      <c r="BL47" s="21">
        <v>4978</v>
      </c>
      <c r="BM47" s="21">
        <v>4978</v>
      </c>
      <c r="BN47" s="21">
        <v>4978</v>
      </c>
      <c r="BO47" s="21">
        <v>4978</v>
      </c>
      <c r="BP47" s="21">
        <v>4978</v>
      </c>
      <c r="BQ47" s="21">
        <v>4978</v>
      </c>
      <c r="BR47" s="21">
        <v>4978</v>
      </c>
      <c r="BS47" s="21">
        <v>4978</v>
      </c>
      <c r="BT47" s="21">
        <v>4978</v>
      </c>
      <c r="BU47" s="21">
        <v>4978</v>
      </c>
    </row>
    <row r="48" spans="2:73">
      <c r="B48" s="3" t="s">
        <v>157</v>
      </c>
      <c r="C48" s="2">
        <v>6476</v>
      </c>
      <c r="D48" s="2">
        <v>6657</v>
      </c>
      <c r="E48" s="2">
        <v>6657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5807</v>
      </c>
      <c r="AE48" s="2">
        <v>5807</v>
      </c>
      <c r="AF48" s="2">
        <v>5807</v>
      </c>
      <c r="AG48" s="21">
        <v>6101</v>
      </c>
      <c r="AH48" s="21">
        <v>19502</v>
      </c>
      <c r="AI48" s="21">
        <v>14187</v>
      </c>
      <c r="AJ48" s="21">
        <v>14187</v>
      </c>
      <c r="AK48" s="21">
        <v>14187</v>
      </c>
      <c r="AL48" s="21">
        <v>25934</v>
      </c>
      <c r="AM48" s="21">
        <v>25934</v>
      </c>
      <c r="AN48" s="21">
        <v>25934</v>
      </c>
      <c r="AO48" s="21">
        <v>25934</v>
      </c>
      <c r="AP48" s="21">
        <v>41478</v>
      </c>
      <c r="AQ48" s="21">
        <v>41478</v>
      </c>
      <c r="AR48" s="21">
        <v>46523</v>
      </c>
      <c r="AS48" s="21">
        <v>49046</v>
      </c>
      <c r="AT48" s="21">
        <v>67586</v>
      </c>
      <c r="AU48" s="21">
        <v>70164</v>
      </c>
      <c r="AV48" s="21">
        <v>72742</v>
      </c>
      <c r="AW48" s="21">
        <v>82668</v>
      </c>
      <c r="AX48" s="21">
        <v>86723</v>
      </c>
      <c r="AY48" s="21">
        <v>89658</v>
      </c>
      <c r="AZ48" s="100">
        <v>92592</v>
      </c>
      <c r="BA48" s="100">
        <v>84595</v>
      </c>
      <c r="BB48" s="21">
        <v>94928</v>
      </c>
      <c r="BC48" s="21">
        <v>98036</v>
      </c>
      <c r="BD48" s="21">
        <v>101144</v>
      </c>
      <c r="BE48" s="21">
        <v>69416</v>
      </c>
      <c r="BF48" s="21">
        <v>65051</v>
      </c>
      <c r="BG48" s="21">
        <v>43158</v>
      </c>
      <c r="BH48" s="21">
        <v>45254</v>
      </c>
      <c r="BI48" s="100">
        <v>47350</v>
      </c>
      <c r="BJ48" s="100">
        <v>45962</v>
      </c>
      <c r="BK48" s="100">
        <v>47583</v>
      </c>
      <c r="BL48" s="100">
        <v>49204</v>
      </c>
      <c r="BM48" s="100">
        <v>53659</v>
      </c>
      <c r="BN48" s="100">
        <v>58552</v>
      </c>
      <c r="BO48" s="21">
        <v>60467</v>
      </c>
      <c r="BP48" s="21">
        <v>62382</v>
      </c>
      <c r="BQ48" s="21">
        <v>62052</v>
      </c>
      <c r="BR48" s="21">
        <v>70884</v>
      </c>
      <c r="BS48" s="21">
        <v>73341</v>
      </c>
      <c r="BT48" s="21">
        <v>75798</v>
      </c>
      <c r="BU48" s="21">
        <v>79289</v>
      </c>
    </row>
    <row r="49" spans="2:73">
      <c r="B49" s="3" t="s">
        <v>83</v>
      </c>
      <c r="C49" s="2">
        <v>1008</v>
      </c>
      <c r="D49" s="2">
        <v>8352</v>
      </c>
      <c r="E49" s="2">
        <v>7272</v>
      </c>
      <c r="F49" s="2">
        <v>5317</v>
      </c>
      <c r="G49" s="2">
        <v>403</v>
      </c>
      <c r="H49" s="2">
        <v>271</v>
      </c>
      <c r="I49" s="2">
        <v>296</v>
      </c>
      <c r="J49" s="2">
        <v>7130</v>
      </c>
      <c r="K49" s="2">
        <v>7469</v>
      </c>
      <c r="L49" s="2">
        <v>8067</v>
      </c>
      <c r="M49" s="2">
        <v>3767</v>
      </c>
      <c r="N49" s="2">
        <v>2377</v>
      </c>
      <c r="O49" s="2">
        <v>4275</v>
      </c>
      <c r="P49" s="2">
        <v>3795</v>
      </c>
      <c r="Q49" s="2">
        <v>3558</v>
      </c>
      <c r="R49" s="2">
        <v>4710</v>
      </c>
      <c r="S49" s="2">
        <v>4848</v>
      </c>
      <c r="T49" s="21">
        <v>11753</v>
      </c>
      <c r="U49" s="2">
        <v>13583</v>
      </c>
      <c r="V49" s="2">
        <v>6712</v>
      </c>
      <c r="W49" s="2">
        <v>7830</v>
      </c>
      <c r="X49" s="2">
        <v>8103</v>
      </c>
      <c r="Y49" s="2">
        <v>8292</v>
      </c>
      <c r="Z49" s="2">
        <v>2657</v>
      </c>
      <c r="AA49" s="2">
        <v>9094</v>
      </c>
      <c r="AB49" s="2">
        <v>9388</v>
      </c>
      <c r="AC49" s="2">
        <v>9712</v>
      </c>
      <c r="AD49" s="2">
        <v>87</v>
      </c>
      <c r="AE49" s="2">
        <v>266</v>
      </c>
      <c r="AF49" s="2">
        <v>292</v>
      </c>
      <c r="AG49" s="21">
        <v>0</v>
      </c>
      <c r="AH49" s="21">
        <v>87</v>
      </c>
      <c r="AI49" s="21">
        <f>108</f>
        <v>108</v>
      </c>
      <c r="AJ49" s="21">
        <v>148</v>
      </c>
      <c r="AK49" s="21">
        <v>513</v>
      </c>
      <c r="AL49" s="21">
        <v>397</v>
      </c>
      <c r="AM49" s="21">
        <v>229</v>
      </c>
      <c r="AN49" s="21">
        <v>414</v>
      </c>
      <c r="AO49" s="21">
        <v>87</v>
      </c>
      <c r="AP49" s="21">
        <v>87</v>
      </c>
      <c r="AQ49" s="21">
        <v>87</v>
      </c>
      <c r="AR49" s="21">
        <v>87</v>
      </c>
      <c r="AS49" s="21">
        <v>87</v>
      </c>
      <c r="AT49" s="21">
        <v>87</v>
      </c>
      <c r="AU49" s="21">
        <v>87</v>
      </c>
      <c r="AV49" s="21">
        <v>87</v>
      </c>
      <c r="AW49" s="21">
        <v>87</v>
      </c>
      <c r="AX49" s="21">
        <v>87</v>
      </c>
      <c r="AY49" s="21">
        <v>87</v>
      </c>
      <c r="AZ49" s="100">
        <v>87</v>
      </c>
      <c r="BA49" s="100">
        <v>87</v>
      </c>
      <c r="BB49" s="21">
        <v>87</v>
      </c>
      <c r="BC49" s="21">
        <v>87</v>
      </c>
      <c r="BD49" s="21">
        <v>87</v>
      </c>
      <c r="BE49" s="21">
        <v>87</v>
      </c>
      <c r="BF49" s="21">
        <v>87</v>
      </c>
      <c r="BG49" s="21">
        <v>7458</v>
      </c>
      <c r="BH49" s="21">
        <v>87</v>
      </c>
      <c r="BI49" s="21">
        <v>87</v>
      </c>
      <c r="BJ49" s="21">
        <v>87</v>
      </c>
      <c r="BK49" s="21">
        <v>3587</v>
      </c>
      <c r="BL49" s="21">
        <v>3587</v>
      </c>
      <c r="BM49" s="21">
        <v>3587</v>
      </c>
      <c r="BN49" s="21">
        <v>3587</v>
      </c>
      <c r="BO49" s="100">
        <v>3587</v>
      </c>
      <c r="BP49" s="100">
        <v>3587</v>
      </c>
      <c r="BQ49" s="100">
        <v>3587</v>
      </c>
      <c r="BR49" s="21">
        <v>3587</v>
      </c>
      <c r="BS49" s="21">
        <v>3587</v>
      </c>
      <c r="BT49" s="21">
        <v>3587</v>
      </c>
      <c r="BU49" s="21">
        <v>3587</v>
      </c>
    </row>
    <row r="50" spans="2:73">
      <c r="B50" s="3" t="s">
        <v>76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22578</v>
      </c>
      <c r="K50" s="2">
        <v>21815</v>
      </c>
      <c r="L50" s="2">
        <v>19972</v>
      </c>
      <c r="M50" s="2">
        <v>18684</v>
      </c>
      <c r="N50" s="2">
        <f>32937-12675</f>
        <v>20262</v>
      </c>
      <c r="O50" s="2">
        <v>23209</v>
      </c>
      <c r="P50" s="2">
        <v>23704</v>
      </c>
      <c r="Q50" s="2">
        <v>23388</v>
      </c>
      <c r="R50" s="2">
        <v>20170</v>
      </c>
      <c r="S50" s="2">
        <v>22828</v>
      </c>
      <c r="T50" s="2">
        <v>21850</v>
      </c>
      <c r="U50" s="2">
        <v>21576</v>
      </c>
      <c r="V50" s="2">
        <v>15935</v>
      </c>
      <c r="W50" s="2">
        <v>19666</v>
      </c>
      <c r="X50" s="2">
        <v>18953</v>
      </c>
      <c r="Y50" s="2">
        <v>19311</v>
      </c>
      <c r="Z50" s="2">
        <v>19874</v>
      </c>
      <c r="AA50" s="2">
        <v>19636</v>
      </c>
      <c r="AB50" s="2">
        <v>18105</v>
      </c>
      <c r="AC50" s="2">
        <v>16402</v>
      </c>
      <c r="AD50" s="2">
        <v>13838</v>
      </c>
      <c r="AE50" s="2">
        <v>8199</v>
      </c>
      <c r="AF50" s="2">
        <v>12586</v>
      </c>
      <c r="AG50" s="21">
        <v>1555</v>
      </c>
      <c r="AH50" s="21">
        <v>0</v>
      </c>
      <c r="AI50" s="21">
        <v>6770</v>
      </c>
      <c r="AJ50" s="21">
        <v>7135</v>
      </c>
      <c r="AK50" s="21">
        <v>1556</v>
      </c>
      <c r="AL50" s="21">
        <v>0</v>
      </c>
      <c r="AM50" s="21">
        <v>2774</v>
      </c>
      <c r="AN50" s="21">
        <v>5528</v>
      </c>
      <c r="AO50" s="21">
        <v>3891</v>
      </c>
      <c r="AP50" s="21">
        <v>0</v>
      </c>
      <c r="AQ50" s="21">
        <v>4082</v>
      </c>
      <c r="AR50" s="21">
        <v>0</v>
      </c>
      <c r="AS50" s="21">
        <v>15919</v>
      </c>
      <c r="AT50" s="21">
        <v>12210</v>
      </c>
      <c r="AU50" s="21">
        <v>18431</v>
      </c>
      <c r="AV50" s="21">
        <v>23221</v>
      </c>
      <c r="AW50" s="21">
        <v>0</v>
      </c>
      <c r="AX50" s="21">
        <v>19565</v>
      </c>
      <c r="AY50" s="21">
        <v>0</v>
      </c>
      <c r="AZ50" s="100">
        <v>0</v>
      </c>
      <c r="BA50" s="100">
        <v>1555</v>
      </c>
      <c r="BB50" s="21">
        <v>0</v>
      </c>
      <c r="BC50" s="21"/>
      <c r="BD50" s="21">
        <v>19202</v>
      </c>
      <c r="BE50" s="21">
        <v>0</v>
      </c>
      <c r="BF50" s="21">
        <v>0</v>
      </c>
      <c r="BG50" s="21">
        <v>0</v>
      </c>
      <c r="BH50" s="21">
        <v>921</v>
      </c>
      <c r="BI50" s="21">
        <v>975</v>
      </c>
      <c r="BJ50" s="21">
        <v>1022</v>
      </c>
      <c r="BK50" s="21">
        <v>7505</v>
      </c>
      <c r="BL50" s="21">
        <v>3645</v>
      </c>
      <c r="BM50" s="21">
        <v>6146</v>
      </c>
      <c r="BN50" s="21">
        <v>4321</v>
      </c>
      <c r="BO50" s="21">
        <v>20967</v>
      </c>
      <c r="BP50" s="21">
        <v>27454</v>
      </c>
      <c r="BQ50" s="21">
        <v>16266</v>
      </c>
      <c r="BR50" s="21">
        <v>8498</v>
      </c>
      <c r="BS50" s="21">
        <v>22025</v>
      </c>
      <c r="BT50" s="21">
        <v>21152</v>
      </c>
      <c r="BU50" s="21">
        <v>32525</v>
      </c>
    </row>
    <row r="51" spans="2:73">
      <c r="B51" s="3" t="s">
        <v>178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1">
        <v>6056</v>
      </c>
      <c r="AT51" s="21">
        <v>8334</v>
      </c>
      <c r="AU51" s="21">
        <v>7391</v>
      </c>
      <c r="AV51" s="21">
        <v>9298</v>
      </c>
      <c r="AW51" s="21">
        <v>7165</v>
      </c>
      <c r="AX51" s="21">
        <v>5447</v>
      </c>
      <c r="AY51" s="21">
        <v>19405</v>
      </c>
      <c r="AZ51" s="100">
        <v>10769</v>
      </c>
      <c r="BA51" s="100">
        <v>10795</v>
      </c>
      <c r="BB51" s="21">
        <v>12247</v>
      </c>
      <c r="BC51" s="21">
        <v>18047</v>
      </c>
      <c r="BD51" s="21">
        <v>22428</v>
      </c>
      <c r="BE51" s="21">
        <v>26165</v>
      </c>
      <c r="BF51" s="21">
        <v>24619</v>
      </c>
      <c r="BG51" s="21">
        <v>24619</v>
      </c>
      <c r="BH51" s="21">
        <v>34018</v>
      </c>
      <c r="BI51" s="21">
        <v>31866</v>
      </c>
      <c r="BJ51" s="21">
        <v>60645</v>
      </c>
      <c r="BK51" s="21">
        <v>49208</v>
      </c>
      <c r="BL51" s="21">
        <v>21807</v>
      </c>
      <c r="BM51" s="21">
        <v>0</v>
      </c>
      <c r="BN51" s="21">
        <v>2254</v>
      </c>
      <c r="BO51" s="21">
        <v>17868</v>
      </c>
      <c r="BP51" s="21">
        <v>42653</v>
      </c>
      <c r="BQ51" s="21">
        <v>15407</v>
      </c>
      <c r="BR51" s="21">
        <v>23983</v>
      </c>
      <c r="BS51" s="21">
        <v>43441</v>
      </c>
      <c r="BT51" s="21">
        <v>13911</v>
      </c>
      <c r="BU51" s="21">
        <v>13870</v>
      </c>
    </row>
    <row r="52" spans="2:73">
      <c r="B52" s="3" t="s">
        <v>82</v>
      </c>
      <c r="C52" s="2">
        <v>4709</v>
      </c>
      <c r="D52" s="2">
        <v>6365</v>
      </c>
      <c r="E52" s="2">
        <v>8041</v>
      </c>
      <c r="F52" s="2">
        <v>6980</v>
      </c>
      <c r="G52" s="2">
        <v>6936</v>
      </c>
      <c r="H52" s="2">
        <v>6400</v>
      </c>
      <c r="I52" s="2">
        <v>7173</v>
      </c>
      <c r="J52" s="2">
        <v>5228</v>
      </c>
      <c r="K52" s="2">
        <v>5524</v>
      </c>
      <c r="L52" s="2">
        <v>6376</v>
      </c>
      <c r="M52" s="2">
        <v>6730</v>
      </c>
      <c r="N52" s="2">
        <v>13818</v>
      </c>
      <c r="O52" s="2">
        <v>13137</v>
      </c>
      <c r="P52" s="2">
        <v>13394</v>
      </c>
      <c r="Q52" s="2">
        <v>14506</v>
      </c>
      <c r="R52" s="2">
        <v>14540</v>
      </c>
      <c r="S52" s="2">
        <v>15713</v>
      </c>
      <c r="T52" s="2">
        <v>19189</v>
      </c>
      <c r="U52" s="2">
        <v>15666</v>
      </c>
      <c r="V52" s="2">
        <v>18067</v>
      </c>
      <c r="W52" s="2">
        <v>13774</v>
      </c>
      <c r="X52" s="2">
        <v>16075</v>
      </c>
      <c r="Y52" s="2">
        <v>15308</v>
      </c>
      <c r="Z52" s="2">
        <v>20611</v>
      </c>
      <c r="AA52" s="2">
        <v>12691</v>
      </c>
      <c r="AB52" s="2">
        <v>12880</v>
      </c>
      <c r="AC52" s="2">
        <v>13091</v>
      </c>
      <c r="AD52" s="2">
        <v>23158</v>
      </c>
      <c r="AE52" s="2">
        <v>23622</v>
      </c>
      <c r="AF52" s="2">
        <v>24135</v>
      </c>
      <c r="AG52" s="21">
        <v>24820</v>
      </c>
      <c r="AH52" s="21">
        <v>32102</v>
      </c>
      <c r="AI52" s="21">
        <f>27151+8890</f>
        <v>36041</v>
      </c>
      <c r="AJ52" s="21">
        <v>39887</v>
      </c>
      <c r="AK52" s="21">
        <v>43736</v>
      </c>
      <c r="AL52" s="21">
        <v>45231</v>
      </c>
      <c r="AM52" s="21">
        <v>46489</v>
      </c>
      <c r="AN52" s="21">
        <v>48508</v>
      </c>
      <c r="AO52" s="21">
        <v>50156</v>
      </c>
      <c r="AP52" s="21">
        <v>52197</v>
      </c>
      <c r="AQ52" s="21">
        <v>53161</v>
      </c>
      <c r="AR52" s="21">
        <v>54124</v>
      </c>
      <c r="AS52" s="21">
        <v>56168</v>
      </c>
      <c r="AT52" s="21">
        <v>51445</v>
      </c>
      <c r="AU52" s="21">
        <v>52083</v>
      </c>
      <c r="AV52" s="21">
        <v>52602</v>
      </c>
      <c r="AW52" s="21">
        <v>53240</v>
      </c>
      <c r="AX52" s="21">
        <v>60553</v>
      </c>
      <c r="AY52" s="21">
        <v>61908</v>
      </c>
      <c r="AZ52" s="100">
        <v>63754</v>
      </c>
      <c r="BA52" s="100">
        <v>55169</v>
      </c>
      <c r="BB52" s="21">
        <v>55464</v>
      </c>
      <c r="BC52" s="21">
        <v>55138</v>
      </c>
      <c r="BD52" s="21">
        <v>54872</v>
      </c>
      <c r="BE52" s="21">
        <v>56289</v>
      </c>
      <c r="BF52" s="21">
        <v>56492</v>
      </c>
      <c r="BG52" s="21">
        <v>57008</v>
      </c>
      <c r="BH52" s="21">
        <v>54294</v>
      </c>
      <c r="BI52" s="21">
        <v>55612</v>
      </c>
      <c r="BJ52" s="21">
        <v>60717</v>
      </c>
      <c r="BK52" s="21">
        <v>60774</v>
      </c>
      <c r="BL52" s="21">
        <v>60831</v>
      </c>
      <c r="BM52" s="21">
        <v>60943</v>
      </c>
      <c r="BN52" s="21">
        <v>74403</v>
      </c>
      <c r="BO52" s="21">
        <v>72430</v>
      </c>
      <c r="BP52" s="21">
        <v>62557</v>
      </c>
      <c r="BQ52" s="21">
        <v>61534</v>
      </c>
      <c r="BR52" s="21">
        <v>62595</v>
      </c>
      <c r="BS52" s="21">
        <v>62688</v>
      </c>
      <c r="BT52" s="21">
        <v>62760</v>
      </c>
      <c r="BU52" s="21">
        <v>63382</v>
      </c>
    </row>
    <row r="53" spans="2:73">
      <c r="B53" s="3" t="s">
        <v>81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9805</v>
      </c>
      <c r="K53" s="2">
        <v>10089</v>
      </c>
      <c r="L53" s="2">
        <v>10373</v>
      </c>
      <c r="M53" s="2">
        <v>10657</v>
      </c>
      <c r="N53" s="2">
        <v>10940</v>
      </c>
      <c r="O53" s="2">
        <v>11206</v>
      </c>
      <c r="P53" s="2">
        <v>11284</v>
      </c>
      <c r="Q53" s="2">
        <v>11363</v>
      </c>
      <c r="R53" s="2">
        <v>11494</v>
      </c>
      <c r="S53" s="2">
        <v>11331</v>
      </c>
      <c r="T53" s="2">
        <v>11514</v>
      </c>
      <c r="U53" s="2">
        <v>11910</v>
      </c>
      <c r="V53" s="2">
        <v>12194</v>
      </c>
      <c r="W53" s="2">
        <v>12272</v>
      </c>
      <c r="X53" s="2">
        <v>12370</v>
      </c>
      <c r="Y53" s="2">
        <v>12612</v>
      </c>
      <c r="Z53" s="2">
        <v>13487</v>
      </c>
      <c r="AA53" s="2">
        <v>13832</v>
      </c>
      <c r="AB53" s="2">
        <v>13818</v>
      </c>
      <c r="AC53" s="2">
        <v>13719</v>
      </c>
      <c r="AD53" s="2">
        <v>14236</v>
      </c>
      <c r="AE53" s="2">
        <v>14398</v>
      </c>
      <c r="AF53" s="2">
        <v>14593</v>
      </c>
      <c r="AG53" s="21">
        <v>14674</v>
      </c>
      <c r="AH53" s="21">
        <v>15384</v>
      </c>
      <c r="AI53" s="21">
        <v>15654</v>
      </c>
      <c r="AJ53" s="21">
        <v>15896</v>
      </c>
      <c r="AK53" s="21">
        <v>15930</v>
      </c>
      <c r="AL53" s="21">
        <v>16222</v>
      </c>
      <c r="AM53" s="21">
        <v>16206</v>
      </c>
      <c r="AN53" s="21">
        <v>15706</v>
      </c>
      <c r="AO53" s="21">
        <v>15562</v>
      </c>
      <c r="AP53" s="21">
        <v>11049</v>
      </c>
      <c r="AQ53" s="21">
        <v>10936</v>
      </c>
      <c r="AR53" s="21">
        <v>18847</v>
      </c>
      <c r="AS53" s="21">
        <v>19430</v>
      </c>
      <c r="AT53" s="21">
        <v>21134</v>
      </c>
      <c r="AU53" s="21">
        <v>20935</v>
      </c>
      <c r="AV53" s="21">
        <v>21166</v>
      </c>
      <c r="AW53" s="21">
        <v>22727</v>
      </c>
      <c r="AX53" s="21">
        <v>22889</v>
      </c>
      <c r="AY53" s="21">
        <v>22875</v>
      </c>
      <c r="AZ53" s="100">
        <v>22021</v>
      </c>
      <c r="BA53" s="100">
        <v>21606</v>
      </c>
      <c r="BB53" s="21">
        <v>22848</v>
      </c>
      <c r="BC53" s="21">
        <v>23168</v>
      </c>
      <c r="BD53" s="21">
        <v>23426</v>
      </c>
      <c r="BE53" s="21">
        <v>22965</v>
      </c>
      <c r="BF53" s="21">
        <v>57415</v>
      </c>
      <c r="BG53" s="21">
        <v>58191</v>
      </c>
      <c r="BH53" s="21">
        <v>58541</v>
      </c>
      <c r="BI53" s="21">
        <v>58794</v>
      </c>
      <c r="BJ53" s="21">
        <v>56313</v>
      </c>
      <c r="BK53" s="21">
        <v>56704</v>
      </c>
      <c r="BL53" s="21">
        <v>58079</v>
      </c>
      <c r="BM53" s="21">
        <v>57526</v>
      </c>
      <c r="BN53" s="21">
        <v>46352</v>
      </c>
      <c r="BO53" s="21">
        <v>46058</v>
      </c>
      <c r="BP53" s="21">
        <v>46298</v>
      </c>
      <c r="BQ53" s="21">
        <v>46556</v>
      </c>
      <c r="BR53" s="21">
        <v>40809</v>
      </c>
      <c r="BS53" s="21">
        <v>41565</v>
      </c>
      <c r="BT53" s="21">
        <v>42960</v>
      </c>
      <c r="BU53" s="21">
        <v>43803</v>
      </c>
    </row>
    <row r="54" spans="2:73" ht="15.75" thickBot="1">
      <c r="B54" s="3" t="s">
        <v>190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22456</v>
      </c>
      <c r="AV54" s="21">
        <v>21194</v>
      </c>
      <c r="AW54" s="21">
        <v>24615</v>
      </c>
      <c r="AX54" s="21">
        <v>27217</v>
      </c>
      <c r="AY54" s="21">
        <v>24513</v>
      </c>
      <c r="AZ54" s="100">
        <v>20191</v>
      </c>
      <c r="BA54" s="100">
        <v>18036</v>
      </c>
      <c r="BB54" s="21">
        <v>19954</v>
      </c>
      <c r="BC54" s="21">
        <v>17228</v>
      </c>
      <c r="BD54" s="21">
        <v>15482</v>
      </c>
      <c r="BE54" s="21">
        <v>19065</v>
      </c>
      <c r="BF54" s="21">
        <v>12839</v>
      </c>
      <c r="BG54" s="21">
        <v>17083</v>
      </c>
      <c r="BH54" s="21">
        <v>24170</v>
      </c>
      <c r="BI54" s="21">
        <v>21181</v>
      </c>
      <c r="BJ54" s="21">
        <v>22660</v>
      </c>
      <c r="BK54" s="21">
        <v>24158</v>
      </c>
      <c r="BL54" s="21">
        <v>36297</v>
      </c>
      <c r="BM54" s="21">
        <v>22808</v>
      </c>
      <c r="BN54" s="21">
        <v>26452</v>
      </c>
      <c r="BO54" s="21">
        <v>42069</v>
      </c>
      <c r="BP54" s="21">
        <v>25549</v>
      </c>
      <c r="BQ54" s="21">
        <v>21867</v>
      </c>
      <c r="BR54" s="21">
        <v>19543</v>
      </c>
      <c r="BS54" s="21">
        <v>22814</v>
      </c>
      <c r="BT54" s="21">
        <v>13943</v>
      </c>
      <c r="BU54" s="21">
        <v>11774</v>
      </c>
    </row>
    <row r="55" spans="2:73" ht="15.75" thickBot="1">
      <c r="B55" s="9" t="s">
        <v>116</v>
      </c>
      <c r="C55" s="9">
        <f t="shared" ref="C55:AU55" si="57">SUM(C56:C62)</f>
        <v>620196</v>
      </c>
      <c r="D55" s="9">
        <f t="shared" si="57"/>
        <v>733653</v>
      </c>
      <c r="E55" s="9">
        <f t="shared" si="57"/>
        <v>816980</v>
      </c>
      <c r="F55" s="9">
        <f t="shared" si="57"/>
        <v>845899</v>
      </c>
      <c r="G55" s="9">
        <f t="shared" si="57"/>
        <v>867069</v>
      </c>
      <c r="H55" s="9">
        <f t="shared" si="57"/>
        <v>876797</v>
      </c>
      <c r="I55" s="9">
        <f t="shared" si="57"/>
        <v>873547</v>
      </c>
      <c r="J55" s="9">
        <f t="shared" si="57"/>
        <v>924240</v>
      </c>
      <c r="K55" s="9">
        <f t="shared" si="57"/>
        <v>942664</v>
      </c>
      <c r="L55" s="9">
        <f t="shared" si="57"/>
        <v>989949</v>
      </c>
      <c r="M55" s="9">
        <f t="shared" si="57"/>
        <v>1027880</v>
      </c>
      <c r="N55" s="9">
        <f t="shared" si="57"/>
        <v>1030712</v>
      </c>
      <c r="O55" s="9">
        <f t="shared" si="57"/>
        <v>1066952</v>
      </c>
      <c r="P55" s="9">
        <f t="shared" si="57"/>
        <v>1089653</v>
      </c>
      <c r="Q55" s="9">
        <f t="shared" si="57"/>
        <v>1100792</v>
      </c>
      <c r="R55" s="9">
        <f t="shared" si="57"/>
        <v>1097106</v>
      </c>
      <c r="S55" s="9">
        <f t="shared" si="57"/>
        <v>1117581</v>
      </c>
      <c r="T55" s="9">
        <f t="shared" si="57"/>
        <v>1137917</v>
      </c>
      <c r="U55" s="9">
        <f t="shared" si="57"/>
        <v>1167991</v>
      </c>
      <c r="V55" s="9">
        <f t="shared" si="57"/>
        <v>1162929</v>
      </c>
      <c r="W55" s="9">
        <f t="shared" si="57"/>
        <v>1171585</v>
      </c>
      <c r="X55" s="9">
        <f t="shared" si="57"/>
        <v>1188845</v>
      </c>
      <c r="Y55" s="9">
        <f t="shared" si="57"/>
        <v>1211097</v>
      </c>
      <c r="Z55" s="9">
        <f t="shared" si="57"/>
        <v>1218149</v>
      </c>
      <c r="AA55" s="9">
        <f t="shared" si="57"/>
        <v>1246408</v>
      </c>
      <c r="AB55" s="9">
        <f t="shared" si="57"/>
        <v>1274303</v>
      </c>
      <c r="AC55" s="9">
        <f t="shared" si="57"/>
        <v>1276553</v>
      </c>
      <c r="AD55" s="9">
        <f t="shared" si="57"/>
        <v>1277882</v>
      </c>
      <c r="AE55" s="9">
        <f t="shared" si="57"/>
        <v>1294434</v>
      </c>
      <c r="AF55" s="9">
        <f t="shared" si="57"/>
        <v>1376444</v>
      </c>
      <c r="AG55" s="9">
        <f t="shared" si="57"/>
        <v>1307655</v>
      </c>
      <c r="AH55" s="9">
        <f t="shared" si="57"/>
        <v>1336271</v>
      </c>
      <c r="AI55" s="9">
        <f t="shared" si="57"/>
        <v>1375028</v>
      </c>
      <c r="AJ55" s="9">
        <f t="shared" si="57"/>
        <v>1371294</v>
      </c>
      <c r="AK55" s="9">
        <f t="shared" si="57"/>
        <v>1373574</v>
      </c>
      <c r="AL55" s="9">
        <f t="shared" si="57"/>
        <v>1357444</v>
      </c>
      <c r="AM55" s="9">
        <f t="shared" si="57"/>
        <v>1433423</v>
      </c>
      <c r="AN55" s="9">
        <f t="shared" si="57"/>
        <v>1489575</v>
      </c>
      <c r="AO55" s="9">
        <f t="shared" si="57"/>
        <v>1508140</v>
      </c>
      <c r="AP55" s="9">
        <f t="shared" si="57"/>
        <v>1522558</v>
      </c>
      <c r="AQ55" s="9">
        <f t="shared" si="57"/>
        <v>1586479</v>
      </c>
      <c r="AR55" s="9">
        <f t="shared" si="57"/>
        <v>1625818</v>
      </c>
      <c r="AS55" s="9">
        <f t="shared" si="57"/>
        <v>1748877</v>
      </c>
      <c r="AT55" s="9">
        <f t="shared" si="57"/>
        <v>1749115</v>
      </c>
      <c r="AU55" s="9">
        <f t="shared" si="57"/>
        <v>1789602</v>
      </c>
      <c r="AV55" s="9">
        <f t="shared" ref="AV55:AY55" si="58">SUM(AV56:AV62)</f>
        <v>1782229</v>
      </c>
      <c r="AW55" s="9">
        <f t="shared" si="58"/>
        <v>1864912</v>
      </c>
      <c r="AX55" s="9">
        <f t="shared" si="58"/>
        <v>1838173</v>
      </c>
      <c r="AY55" s="9">
        <f t="shared" si="58"/>
        <v>1689761</v>
      </c>
      <c r="AZ55" s="9">
        <f t="shared" ref="AZ55:BA55" si="59">SUM(AZ56:AZ62)</f>
        <v>1722156</v>
      </c>
      <c r="BA55" s="9">
        <f t="shared" si="59"/>
        <v>1726816</v>
      </c>
      <c r="BB55" s="9">
        <f t="shared" ref="BB55:BC55" si="60">SUM(BB56:BB62)</f>
        <v>1771825</v>
      </c>
      <c r="BC55" s="9">
        <f t="shared" si="60"/>
        <v>1820656</v>
      </c>
      <c r="BD55" s="9">
        <f t="shared" ref="BD55:BE55" si="61">SUM(BD56:BD62)</f>
        <v>1967598</v>
      </c>
      <c r="BE55" s="9">
        <f t="shared" si="61"/>
        <v>2189570</v>
      </c>
      <c r="BF55" s="9">
        <f t="shared" ref="BF55:BK55" si="62">SUM(BF56:BF62)</f>
        <v>2370279</v>
      </c>
      <c r="BG55" s="9">
        <f t="shared" si="62"/>
        <v>2628947</v>
      </c>
      <c r="BH55" s="9">
        <f t="shared" si="62"/>
        <v>2844622</v>
      </c>
      <c r="BI55" s="9">
        <f t="shared" si="62"/>
        <v>3041932</v>
      </c>
      <c r="BJ55" s="9">
        <f t="shared" si="62"/>
        <v>3040887</v>
      </c>
      <c r="BK55" s="9">
        <f t="shared" si="62"/>
        <v>3172447</v>
      </c>
      <c r="BL55" s="9">
        <f t="shared" ref="BL55:BM55" si="63">SUM(BL56:BL62)</f>
        <v>3221705</v>
      </c>
      <c r="BM55" s="9">
        <f t="shared" si="63"/>
        <v>3249901</v>
      </c>
      <c r="BN55" s="9">
        <f t="shared" ref="BN55:BO55" si="64">SUM(BN56:BN62)</f>
        <v>3191487</v>
      </c>
      <c r="BO55" s="9">
        <f t="shared" si="64"/>
        <v>3232768</v>
      </c>
      <c r="BP55" s="9">
        <f t="shared" ref="BP55:BU55" si="65">SUM(BP56:BP62)</f>
        <v>3271999</v>
      </c>
      <c r="BQ55" s="9">
        <f t="shared" si="65"/>
        <v>3383936</v>
      </c>
      <c r="BR55" s="9">
        <f t="shared" si="65"/>
        <v>3340773</v>
      </c>
      <c r="BS55" s="97">
        <f t="shared" si="65"/>
        <v>3365021</v>
      </c>
      <c r="BT55" s="97">
        <f t="shared" si="65"/>
        <v>3370912</v>
      </c>
      <c r="BU55" s="97">
        <f t="shared" si="65"/>
        <v>3389550</v>
      </c>
    </row>
    <row r="56" spans="2:73">
      <c r="B56" s="3" t="s">
        <v>84</v>
      </c>
      <c r="C56" s="2">
        <v>497902</v>
      </c>
      <c r="D56" s="2">
        <v>543223</v>
      </c>
      <c r="E56" s="2">
        <v>543223</v>
      </c>
      <c r="F56" s="2">
        <v>543223</v>
      </c>
      <c r="G56" s="2">
        <v>543223</v>
      </c>
      <c r="H56" s="2">
        <v>645515</v>
      </c>
      <c r="I56" s="2">
        <v>645515</v>
      </c>
      <c r="J56" s="2">
        <v>645515</v>
      </c>
      <c r="K56" s="2">
        <v>645515</v>
      </c>
      <c r="L56" s="2">
        <v>706132</v>
      </c>
      <c r="M56" s="2">
        <v>706132</v>
      </c>
      <c r="N56" s="2">
        <v>706132</v>
      </c>
      <c r="O56" s="2">
        <v>706132</v>
      </c>
      <c r="P56" s="2">
        <v>772971</v>
      </c>
      <c r="Q56" s="2">
        <v>772971</v>
      </c>
      <c r="R56" s="2">
        <v>772971</v>
      </c>
      <c r="S56" s="2">
        <v>772971</v>
      </c>
      <c r="T56" s="2">
        <v>897735</v>
      </c>
      <c r="U56" s="2">
        <v>897735</v>
      </c>
      <c r="V56" s="2">
        <v>897735</v>
      </c>
      <c r="W56" s="2">
        <v>897735</v>
      </c>
      <c r="X56" s="2">
        <v>985205</v>
      </c>
      <c r="Y56" s="2">
        <v>985205</v>
      </c>
      <c r="Z56" s="2">
        <v>985205</v>
      </c>
      <c r="AA56" s="2">
        <v>985205</v>
      </c>
      <c r="AB56" s="2">
        <v>1045478</v>
      </c>
      <c r="AC56" s="2">
        <v>1045478</v>
      </c>
      <c r="AD56" s="2">
        <v>1045478</v>
      </c>
      <c r="AE56" s="2">
        <v>1102073</v>
      </c>
      <c r="AF56" s="2">
        <v>1102073</v>
      </c>
      <c r="AG56" s="2">
        <v>1102073</v>
      </c>
      <c r="AH56" s="2">
        <v>1102073</v>
      </c>
      <c r="AI56" s="2">
        <v>1116677</v>
      </c>
      <c r="AJ56" s="2">
        <v>1116677</v>
      </c>
      <c r="AK56" s="2">
        <v>1116677</v>
      </c>
      <c r="AL56" s="2">
        <v>1116677</v>
      </c>
      <c r="AM56" s="2">
        <v>1225444</v>
      </c>
      <c r="AN56" s="2">
        <v>1225444</v>
      </c>
      <c r="AO56" s="2">
        <v>1225444</v>
      </c>
      <c r="AP56" s="2">
        <v>1225444</v>
      </c>
      <c r="AQ56" s="2">
        <v>1225444</v>
      </c>
      <c r="AR56" s="2">
        <v>1225444</v>
      </c>
      <c r="AS56" s="2">
        <v>1225444</v>
      </c>
      <c r="AT56" s="2">
        <v>1225444</v>
      </c>
      <c r="AU56" s="2">
        <v>1225444</v>
      </c>
      <c r="AV56" s="2">
        <v>1225444</v>
      </c>
      <c r="AW56" s="2">
        <v>1225444</v>
      </c>
      <c r="AX56" s="21">
        <v>1225444</v>
      </c>
      <c r="AY56" s="21">
        <v>1225444</v>
      </c>
      <c r="AZ56" s="21">
        <v>1225444</v>
      </c>
      <c r="BA56" s="21">
        <v>1225444</v>
      </c>
      <c r="BB56" s="21">
        <v>1225444</v>
      </c>
      <c r="BC56" s="21">
        <v>1225444</v>
      </c>
      <c r="BD56" s="21">
        <v>1225444</v>
      </c>
      <c r="BE56" s="21">
        <v>1225444</v>
      </c>
      <c r="BF56" s="21">
        <v>1225444</v>
      </c>
      <c r="BG56" s="21">
        <v>1225444</v>
      </c>
      <c r="BH56" s="21">
        <v>1225444</v>
      </c>
      <c r="BI56" s="21">
        <v>1225444</v>
      </c>
      <c r="BJ56" s="21">
        <v>1225444</v>
      </c>
      <c r="BK56" s="21">
        <v>1225444</v>
      </c>
      <c r="BL56" s="21">
        <v>1225444</v>
      </c>
      <c r="BM56" s="21">
        <v>1470396</v>
      </c>
      <c r="BN56" s="21">
        <v>1470396</v>
      </c>
      <c r="BO56" s="113">
        <v>1470396</v>
      </c>
      <c r="BP56" s="113">
        <v>1470396</v>
      </c>
      <c r="BQ56" s="113">
        <v>1470396</v>
      </c>
      <c r="BR56" s="21">
        <v>1470396</v>
      </c>
      <c r="BS56" s="21">
        <v>1470396</v>
      </c>
      <c r="BT56" s="21">
        <v>1470396</v>
      </c>
      <c r="BU56" s="21">
        <v>1470396</v>
      </c>
    </row>
    <row r="57" spans="2:73">
      <c r="B57" s="3" t="s">
        <v>85</v>
      </c>
      <c r="C57" s="2">
        <v>77697</v>
      </c>
      <c r="D57" s="2">
        <v>32289</v>
      </c>
      <c r="E57" s="2">
        <v>32289</v>
      </c>
      <c r="F57" s="2">
        <v>298919</v>
      </c>
      <c r="G57" s="2">
        <v>298919</v>
      </c>
      <c r="H57" s="2">
        <v>196627</v>
      </c>
      <c r="I57" s="2">
        <v>196627</v>
      </c>
      <c r="J57" s="2">
        <v>232793</v>
      </c>
      <c r="K57" s="2">
        <v>232793</v>
      </c>
      <c r="L57" s="2">
        <v>172273</v>
      </c>
      <c r="M57" s="2">
        <v>172273</v>
      </c>
      <c r="N57" s="2">
        <v>275880</v>
      </c>
      <c r="O57" s="2">
        <v>275880</v>
      </c>
      <c r="P57" s="2">
        <v>209234</v>
      </c>
      <c r="Q57" s="2">
        <v>209041</v>
      </c>
      <c r="R57" s="2">
        <v>277804</v>
      </c>
      <c r="S57" s="2">
        <v>277237</v>
      </c>
      <c r="T57" s="2">
        <v>152473</v>
      </c>
      <c r="U57" s="2">
        <v>152474</v>
      </c>
      <c r="V57" s="2">
        <v>217448</v>
      </c>
      <c r="W57" s="2">
        <v>217448</v>
      </c>
      <c r="X57" s="2">
        <v>129978</v>
      </c>
      <c r="Y57" s="2">
        <v>129978</v>
      </c>
      <c r="Z57" s="2">
        <v>186089</v>
      </c>
      <c r="AA57" s="2">
        <v>186089</v>
      </c>
      <c r="AB57" s="2">
        <v>125816</v>
      </c>
      <c r="AC57" s="2">
        <v>125816</v>
      </c>
      <c r="AD57" s="2">
        <v>197371</v>
      </c>
      <c r="AE57" s="2">
        <v>140776</v>
      </c>
      <c r="AF57" s="2">
        <v>140776</v>
      </c>
      <c r="AG57" s="2">
        <v>140776</v>
      </c>
      <c r="AH57" s="2">
        <v>239149</v>
      </c>
      <c r="AI57" s="2">
        <f>239149-14604</f>
        <v>224545</v>
      </c>
      <c r="AJ57" s="2">
        <v>224317</v>
      </c>
      <c r="AK57" s="2">
        <v>224317</v>
      </c>
      <c r="AL57" s="2">
        <v>212093</v>
      </c>
      <c r="AM57" s="2">
        <v>103326</v>
      </c>
      <c r="AN57" s="2">
        <v>103326</v>
      </c>
      <c r="AO57" s="2">
        <v>103326</v>
      </c>
      <c r="AP57" s="2">
        <v>286696</v>
      </c>
      <c r="AQ57" s="2">
        <v>286696</v>
      </c>
      <c r="AR57" s="2">
        <v>286696</v>
      </c>
      <c r="AS57" s="2">
        <v>286696</v>
      </c>
      <c r="AT57" s="2">
        <v>498861</v>
      </c>
      <c r="AU57" s="2">
        <v>498861</v>
      </c>
      <c r="AV57" s="2">
        <v>478861</v>
      </c>
      <c r="AW57" s="2">
        <v>478861</v>
      </c>
      <c r="AX57" s="21">
        <v>608864</v>
      </c>
      <c r="AY57" s="21">
        <v>608864</v>
      </c>
      <c r="AZ57" s="21">
        <v>608864</v>
      </c>
      <c r="BA57" s="21">
        <v>608864</v>
      </c>
      <c r="BB57" s="21">
        <v>602490</v>
      </c>
      <c r="BC57" s="21">
        <v>602490</v>
      </c>
      <c r="BD57" s="21">
        <v>602490</v>
      </c>
      <c r="BE57" s="21">
        <v>602490</v>
      </c>
      <c r="BF57" s="21">
        <v>1129261</v>
      </c>
      <c r="BG57" s="21">
        <v>1129261</v>
      </c>
      <c r="BH57" s="100">
        <v>1042461</v>
      </c>
      <c r="BI57" s="100">
        <v>1042461</v>
      </c>
      <c r="BJ57" s="100">
        <v>1792591</v>
      </c>
      <c r="BK57" s="100">
        <v>1792591</v>
      </c>
      <c r="BL57" s="100">
        <v>1792591</v>
      </c>
      <c r="BM57" s="100">
        <v>1547639</v>
      </c>
      <c r="BN57" s="100">
        <v>1705095</v>
      </c>
      <c r="BO57" s="113">
        <v>1705095</v>
      </c>
      <c r="BP57" s="113">
        <v>1705095</v>
      </c>
      <c r="BQ57" s="113">
        <v>1705095</v>
      </c>
      <c r="BR57" s="21">
        <v>1859894</v>
      </c>
      <c r="BS57" s="21">
        <v>1859894</v>
      </c>
      <c r="BT57" s="21">
        <v>1859894</v>
      </c>
      <c r="BU57" s="21">
        <v>1859894</v>
      </c>
    </row>
    <row r="58" spans="2:73">
      <c r="B58" s="3" t="s">
        <v>88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41834</v>
      </c>
      <c r="K58" s="2">
        <v>41834</v>
      </c>
      <c r="L58" s="2">
        <v>41834</v>
      </c>
      <c r="M58" s="2">
        <v>41834</v>
      </c>
      <c r="N58" s="2">
        <v>41834</v>
      </c>
      <c r="O58" s="2">
        <v>41834</v>
      </c>
      <c r="P58" s="2">
        <v>41834</v>
      </c>
      <c r="Q58" s="2">
        <v>41834</v>
      </c>
      <c r="R58" s="2">
        <v>41834</v>
      </c>
      <c r="S58" s="2">
        <v>41834</v>
      </c>
      <c r="T58" s="2">
        <v>41834</v>
      </c>
      <c r="U58" s="2">
        <v>41834</v>
      </c>
      <c r="V58" s="2">
        <v>41834</v>
      </c>
      <c r="W58" s="2">
        <v>41834</v>
      </c>
      <c r="X58" s="2">
        <v>41834</v>
      </c>
      <c r="Y58" s="2">
        <v>41834</v>
      </c>
      <c r="Z58" s="2">
        <v>41834</v>
      </c>
      <c r="AA58" s="2">
        <v>41834</v>
      </c>
      <c r="AB58" s="2">
        <v>41834</v>
      </c>
      <c r="AC58" s="2">
        <v>41834</v>
      </c>
      <c r="AD58" s="2">
        <v>41834</v>
      </c>
      <c r="AE58" s="2">
        <v>30787</v>
      </c>
      <c r="AF58" s="2">
        <v>37261</v>
      </c>
      <c r="AG58" s="2">
        <v>-24247</v>
      </c>
      <c r="AH58" s="2">
        <v>-12664</v>
      </c>
      <c r="AI58" s="2">
        <v>42179</v>
      </c>
      <c r="AJ58" s="2">
        <v>59969</v>
      </c>
      <c r="AK58" s="2">
        <v>55693</v>
      </c>
      <c r="AL58" s="2">
        <v>47088</v>
      </c>
      <c r="AM58" s="2">
        <v>42942</v>
      </c>
      <c r="AN58" s="2">
        <v>37459</v>
      </c>
      <c r="AO58" s="2">
        <v>38986</v>
      </c>
      <c r="AP58" s="2">
        <v>30674</v>
      </c>
      <c r="AQ58" s="2">
        <v>31103</v>
      </c>
      <c r="AR58" s="2">
        <v>18268</v>
      </c>
      <c r="AS58" s="2">
        <v>23645</v>
      </c>
      <c r="AT58" s="2">
        <v>44770</v>
      </c>
      <c r="AU58" s="2">
        <v>39198</v>
      </c>
      <c r="AV58" s="2">
        <v>46925</v>
      </c>
      <c r="AW58" s="2">
        <v>8199</v>
      </c>
      <c r="AX58" s="21">
        <v>23553</v>
      </c>
      <c r="AY58" s="21">
        <v>-124293</v>
      </c>
      <c r="AZ58" s="21">
        <v>-113431</v>
      </c>
      <c r="BA58" s="21">
        <v>-106635</v>
      </c>
      <c r="BB58" s="21">
        <v>-36605</v>
      </c>
      <c r="BC58" s="21">
        <v>-47058</v>
      </c>
      <c r="BD58" s="21">
        <v>5604</v>
      </c>
      <c r="BE58" s="21">
        <v>25865</v>
      </c>
      <c r="BF58" s="21">
        <v>40268</v>
      </c>
      <c r="BG58" s="21">
        <v>46671</v>
      </c>
      <c r="BH58" s="100">
        <v>46671</v>
      </c>
      <c r="BI58" s="100">
        <v>46671</v>
      </c>
      <c r="BJ58" s="100">
        <v>47395</v>
      </c>
      <c r="BK58" s="100">
        <v>47395</v>
      </c>
      <c r="BL58" s="100">
        <v>47630</v>
      </c>
      <c r="BM58" s="100">
        <v>43094</v>
      </c>
      <c r="BN58" s="100">
        <v>40362</v>
      </c>
      <c r="BO58" s="113">
        <v>40438</v>
      </c>
      <c r="BP58" s="113">
        <v>40438</v>
      </c>
      <c r="BQ58" s="113">
        <v>41927</v>
      </c>
      <c r="BR58" s="21">
        <v>34573</v>
      </c>
      <c r="BS58" s="21">
        <v>34573</v>
      </c>
      <c r="BT58" s="21">
        <v>34573</v>
      </c>
      <c r="BU58" s="21">
        <v>31209</v>
      </c>
    </row>
    <row r="59" spans="2:73">
      <c r="B59" s="3" t="s">
        <v>86</v>
      </c>
      <c r="C59" s="2">
        <v>-28</v>
      </c>
      <c r="D59" s="2">
        <v>-28</v>
      </c>
      <c r="E59" s="2">
        <v>-28</v>
      </c>
      <c r="F59" s="2">
        <v>-28</v>
      </c>
      <c r="G59" s="2">
        <v>-28</v>
      </c>
      <c r="H59" s="2">
        <v>-28</v>
      </c>
      <c r="I59" s="2">
        <v>-28</v>
      </c>
      <c r="J59" s="2">
        <v>-28</v>
      </c>
      <c r="K59" s="2">
        <v>-28</v>
      </c>
      <c r="L59" s="2">
        <v>-28</v>
      </c>
      <c r="M59" s="2">
        <v>-28</v>
      </c>
      <c r="N59" s="2">
        <v>-28</v>
      </c>
      <c r="O59" s="2">
        <v>-28</v>
      </c>
      <c r="P59" s="2">
        <v>-28</v>
      </c>
      <c r="Q59" s="2">
        <v>-28</v>
      </c>
      <c r="R59" s="2">
        <v>-28</v>
      </c>
      <c r="S59" s="2">
        <v>-28</v>
      </c>
      <c r="T59" s="2">
        <v>-28</v>
      </c>
      <c r="U59" s="2">
        <v>-28</v>
      </c>
      <c r="V59" s="2">
        <v>-28</v>
      </c>
      <c r="W59" s="2">
        <v>-28</v>
      </c>
      <c r="X59" s="2">
        <v>-28</v>
      </c>
      <c r="Y59" s="2">
        <v>-28</v>
      </c>
      <c r="Z59" s="2">
        <v>-28</v>
      </c>
      <c r="AA59" s="2">
        <v>-28</v>
      </c>
      <c r="AB59" s="2">
        <v>-28</v>
      </c>
      <c r="AC59" s="2">
        <v>-4649</v>
      </c>
      <c r="AD59" s="2">
        <v>-11232</v>
      </c>
      <c r="AE59" s="2">
        <v>-17224</v>
      </c>
      <c r="AF59" s="2">
        <v>-21477</v>
      </c>
      <c r="AG59" s="2">
        <v>-23875</v>
      </c>
      <c r="AH59" s="2">
        <v>-25754</v>
      </c>
      <c r="AI59" s="2">
        <v>-25754</v>
      </c>
      <c r="AJ59" s="2">
        <v>-25754</v>
      </c>
      <c r="AK59" s="2">
        <v>-25754</v>
      </c>
      <c r="AL59" s="2">
        <v>-25754</v>
      </c>
      <c r="AM59" s="2">
        <v>-25754</v>
      </c>
      <c r="AN59" s="2">
        <v>-25754</v>
      </c>
      <c r="AO59" s="2">
        <v>-25754</v>
      </c>
      <c r="AP59" s="2">
        <v>-25754</v>
      </c>
      <c r="AQ59" s="2">
        <v>-25754</v>
      </c>
      <c r="AR59" s="2">
        <v>-25754</v>
      </c>
      <c r="AS59" s="2">
        <v>-25754</v>
      </c>
      <c r="AT59" s="2">
        <v>-25754</v>
      </c>
      <c r="AU59" s="2">
        <v>-25754</v>
      </c>
      <c r="AV59" s="2">
        <v>-25754</v>
      </c>
      <c r="AW59" s="2">
        <v>-25754</v>
      </c>
      <c r="AX59" s="21">
        <v>-25754</v>
      </c>
      <c r="AY59" s="21">
        <v>-25754</v>
      </c>
      <c r="AZ59" s="21">
        <v>-25754</v>
      </c>
      <c r="BA59" s="21">
        <v>-25754</v>
      </c>
      <c r="BB59" s="21">
        <v>-25754</v>
      </c>
      <c r="BC59" s="21">
        <v>-25754</v>
      </c>
      <c r="BD59" s="21">
        <v>-25754</v>
      </c>
      <c r="BE59" s="21">
        <v>-25754</v>
      </c>
      <c r="BF59" s="21">
        <v>-25754</v>
      </c>
      <c r="BG59" s="21">
        <v>-25754</v>
      </c>
      <c r="BH59" s="100">
        <v>-25754</v>
      </c>
      <c r="BI59" s="100">
        <v>-25754</v>
      </c>
      <c r="BJ59" s="100">
        <v>-25754</v>
      </c>
      <c r="BK59" s="100">
        <v>-25754</v>
      </c>
      <c r="BL59" s="100">
        <v>-25754</v>
      </c>
      <c r="BM59" s="100">
        <v>-25754</v>
      </c>
      <c r="BN59" s="100">
        <v>-25754</v>
      </c>
      <c r="BO59" s="113">
        <v>-25754</v>
      </c>
      <c r="BP59" s="113">
        <v>-25754</v>
      </c>
      <c r="BQ59" s="113">
        <v>-25754</v>
      </c>
      <c r="BR59" s="21">
        <v>-25606</v>
      </c>
      <c r="BS59" s="21">
        <v>-25606</v>
      </c>
      <c r="BT59" s="21">
        <v>-29404</v>
      </c>
      <c r="BU59" s="21">
        <v>-35799</v>
      </c>
    </row>
    <row r="60" spans="2:73">
      <c r="B60" s="3" t="s">
        <v>158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769</v>
      </c>
      <c r="K60" s="2">
        <v>769</v>
      </c>
      <c r="L60" s="2">
        <v>0</v>
      </c>
      <c r="M60" s="2">
        <v>0</v>
      </c>
      <c r="N60" s="2">
        <v>3296</v>
      </c>
      <c r="O60" s="2">
        <v>3296</v>
      </c>
      <c r="P60" s="2" t="s">
        <v>3</v>
      </c>
      <c r="Q60" s="2" t="s">
        <v>3</v>
      </c>
      <c r="R60" s="2">
        <v>666</v>
      </c>
      <c r="S60" s="2">
        <v>1233</v>
      </c>
      <c r="T60" s="2" t="s">
        <v>3</v>
      </c>
      <c r="U60" s="2" t="s">
        <v>3</v>
      </c>
      <c r="V60" s="2">
        <v>1914</v>
      </c>
      <c r="W60" s="2">
        <v>1914</v>
      </c>
      <c r="X60" s="2">
        <v>0</v>
      </c>
      <c r="Y60" s="2">
        <v>0</v>
      </c>
      <c r="Z60" s="2">
        <v>836</v>
      </c>
      <c r="AA60" s="2">
        <v>836</v>
      </c>
      <c r="AB60" s="2">
        <v>0</v>
      </c>
      <c r="AC60" s="2">
        <v>0</v>
      </c>
      <c r="AD60" s="21">
        <v>0</v>
      </c>
      <c r="AE60" s="21">
        <v>0</v>
      </c>
      <c r="AF60" s="21">
        <v>0</v>
      </c>
      <c r="AG60" s="21">
        <v>0</v>
      </c>
      <c r="AH60" s="16">
        <v>28675</v>
      </c>
      <c r="AI60" s="16">
        <v>0</v>
      </c>
      <c r="AJ60" s="16">
        <v>0</v>
      </c>
      <c r="AK60" s="16">
        <v>0</v>
      </c>
      <c r="AL60" s="16">
        <v>2150</v>
      </c>
      <c r="AM60" s="16">
        <v>2150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113">
        <v>0</v>
      </c>
      <c r="BP60" s="113">
        <v>0</v>
      </c>
      <c r="BQ60" s="113">
        <v>0</v>
      </c>
      <c r="BR60" s="115">
        <v>0</v>
      </c>
      <c r="BS60" s="115"/>
      <c r="BT60" s="115">
        <v>0</v>
      </c>
      <c r="BU60" s="115">
        <v>0</v>
      </c>
    </row>
    <row r="61" spans="2:73">
      <c r="B61" s="3" t="s">
        <v>198</v>
      </c>
      <c r="C61" s="2">
        <v>40820</v>
      </c>
      <c r="D61" s="2">
        <v>154318</v>
      </c>
      <c r="E61" s="2">
        <v>237602</v>
      </c>
      <c r="F61" s="2">
        <v>0</v>
      </c>
      <c r="G61" s="2">
        <v>22622</v>
      </c>
      <c r="H61" s="2">
        <v>31573</v>
      </c>
      <c r="I61" s="2">
        <v>28219</v>
      </c>
      <c r="J61" s="2">
        <v>0</v>
      </c>
      <c r="K61" s="2">
        <v>18360</v>
      </c>
      <c r="L61" s="2">
        <v>66240</v>
      </c>
      <c r="M61" s="2">
        <v>104081</v>
      </c>
      <c r="N61" s="2">
        <v>0</v>
      </c>
      <c r="O61" s="2">
        <v>36145</v>
      </c>
      <c r="P61" s="2">
        <v>61864</v>
      </c>
      <c r="Q61" s="2">
        <v>73136</v>
      </c>
      <c r="R61" s="2">
        <v>0</v>
      </c>
      <c r="S61" s="2">
        <v>20439</v>
      </c>
      <c r="T61" s="2">
        <v>41961</v>
      </c>
      <c r="U61" s="2">
        <v>71952</v>
      </c>
      <c r="V61" s="2">
        <v>0</v>
      </c>
      <c r="W61" s="2">
        <v>8608</v>
      </c>
      <c r="X61" s="2">
        <v>27736</v>
      </c>
      <c r="Y61" s="2">
        <v>49929</v>
      </c>
      <c r="Z61" s="2">
        <v>0</v>
      </c>
      <c r="AA61" s="2">
        <v>28208</v>
      </c>
      <c r="AB61" s="2">
        <v>56867</v>
      </c>
      <c r="AC61" s="2">
        <v>63650</v>
      </c>
      <c r="AD61" s="2">
        <v>0</v>
      </c>
      <c r="AE61" s="2">
        <v>33475</v>
      </c>
      <c r="AF61" s="2">
        <v>113166</v>
      </c>
      <c r="AG61" s="2">
        <v>108151</v>
      </c>
      <c r="AH61" s="2">
        <v>0</v>
      </c>
      <c r="AI61" s="2">
        <v>12478</v>
      </c>
      <c r="AJ61" s="2">
        <v>-8950</v>
      </c>
      <c r="AK61" s="2">
        <v>-2534</v>
      </c>
      <c r="AL61" s="2">
        <v>0</v>
      </c>
      <c r="AM61" s="2">
        <v>79999</v>
      </c>
      <c r="AN61" s="2">
        <v>143664</v>
      </c>
      <c r="AO61" s="2">
        <v>160585</v>
      </c>
      <c r="AP61" s="2">
        <v>0</v>
      </c>
      <c r="AQ61" s="2">
        <v>63404</v>
      </c>
      <c r="AR61" s="2">
        <v>115480</v>
      </c>
      <c r="AS61" s="2">
        <v>233061</v>
      </c>
      <c r="AT61" s="2">
        <v>0</v>
      </c>
      <c r="AU61" s="2">
        <v>45964</v>
      </c>
      <c r="AV61" s="2">
        <v>50772</v>
      </c>
      <c r="AW61" s="2">
        <v>172089</v>
      </c>
      <c r="AX61" s="21">
        <v>0</v>
      </c>
      <c r="AY61" s="21">
        <v>-637</v>
      </c>
      <c r="AZ61" s="21">
        <v>20835</v>
      </c>
      <c r="BA61" s="21">
        <v>18642</v>
      </c>
      <c r="BB61" s="21">
        <v>0</v>
      </c>
      <c r="BC61" s="21">
        <v>59238</v>
      </c>
      <c r="BD61" s="21">
        <v>156150</v>
      </c>
      <c r="BE61" s="21">
        <v>357796</v>
      </c>
      <c r="BF61" s="21">
        <v>0</v>
      </c>
      <c r="BG61" s="21">
        <v>252229</v>
      </c>
      <c r="BH61" s="21">
        <v>554650</v>
      </c>
      <c r="BI61" s="21">
        <v>751905</v>
      </c>
      <c r="BJ61" s="21">
        <v>0</v>
      </c>
      <c r="BK61" s="21">
        <v>131504</v>
      </c>
      <c r="BL61" s="21">
        <v>180469</v>
      </c>
      <c r="BM61" s="21">
        <v>213137</v>
      </c>
      <c r="BN61" s="21">
        <v>0</v>
      </c>
      <c r="BO61" s="114">
        <v>41146</v>
      </c>
      <c r="BP61" s="114">
        <v>80315</v>
      </c>
      <c r="BQ61" s="114">
        <v>165800</v>
      </c>
      <c r="BR61" s="116">
        <v>0</v>
      </c>
      <c r="BS61" s="116">
        <v>24183</v>
      </c>
      <c r="BT61" s="116">
        <v>33799</v>
      </c>
      <c r="BU61" s="116">
        <v>62180</v>
      </c>
    </row>
    <row r="62" spans="2:73" ht="15.75" thickBot="1">
      <c r="B62" s="3" t="s">
        <v>150</v>
      </c>
      <c r="C62" s="2">
        <v>3805</v>
      </c>
      <c r="D62" s="2">
        <v>3851</v>
      </c>
      <c r="E62" s="2">
        <v>3894</v>
      </c>
      <c r="F62" s="2">
        <v>3785</v>
      </c>
      <c r="G62" s="2">
        <v>2333</v>
      </c>
      <c r="H62" s="2">
        <v>3110</v>
      </c>
      <c r="I62" s="2">
        <v>3214</v>
      </c>
      <c r="J62" s="2">
        <v>3357</v>
      </c>
      <c r="K62" s="2">
        <v>3421</v>
      </c>
      <c r="L62" s="2">
        <v>3498</v>
      </c>
      <c r="M62" s="2">
        <v>3588</v>
      </c>
      <c r="N62" s="2">
        <v>3598</v>
      </c>
      <c r="O62" s="2">
        <v>3693</v>
      </c>
      <c r="P62" s="2">
        <v>3778</v>
      </c>
      <c r="Q62" s="2">
        <v>3838</v>
      </c>
      <c r="R62" s="2">
        <v>3859</v>
      </c>
      <c r="S62" s="2">
        <v>3895</v>
      </c>
      <c r="T62" s="2">
        <v>3942</v>
      </c>
      <c r="U62" s="2">
        <v>4024</v>
      </c>
      <c r="V62" s="2">
        <v>4026</v>
      </c>
      <c r="W62" s="2">
        <v>4074</v>
      </c>
      <c r="X62" s="2">
        <v>4120</v>
      </c>
      <c r="Y62" s="2">
        <v>4179</v>
      </c>
      <c r="Z62" s="2">
        <v>4213</v>
      </c>
      <c r="AA62" s="2">
        <v>4264</v>
      </c>
      <c r="AB62" s="2">
        <v>4336</v>
      </c>
      <c r="AC62" s="2">
        <v>4424</v>
      </c>
      <c r="AD62" s="2">
        <v>4431</v>
      </c>
      <c r="AE62" s="2">
        <v>4547</v>
      </c>
      <c r="AF62" s="2">
        <v>4645</v>
      </c>
      <c r="AG62" s="2">
        <v>4777</v>
      </c>
      <c r="AH62" s="2">
        <v>4792</v>
      </c>
      <c r="AI62" s="2">
        <v>4903</v>
      </c>
      <c r="AJ62" s="2">
        <v>5035</v>
      </c>
      <c r="AK62" s="2">
        <v>5175</v>
      </c>
      <c r="AL62" s="2">
        <v>5190</v>
      </c>
      <c r="AM62" s="2">
        <v>5316</v>
      </c>
      <c r="AN62" s="2">
        <v>5436</v>
      </c>
      <c r="AO62" s="2">
        <v>5553</v>
      </c>
      <c r="AP62" s="2">
        <v>5498</v>
      </c>
      <c r="AQ62" s="2">
        <v>5586</v>
      </c>
      <c r="AR62" s="2">
        <v>5684</v>
      </c>
      <c r="AS62" s="2">
        <v>5785</v>
      </c>
      <c r="AT62" s="2">
        <v>5794</v>
      </c>
      <c r="AU62" s="2">
        <v>5889</v>
      </c>
      <c r="AV62" s="2">
        <v>5981</v>
      </c>
      <c r="AW62" s="2">
        <v>6073</v>
      </c>
      <c r="AX62" s="21">
        <v>6066</v>
      </c>
      <c r="AY62" s="21">
        <v>6137</v>
      </c>
      <c r="AZ62" s="21">
        <v>6198</v>
      </c>
      <c r="BA62" s="21">
        <v>6255</v>
      </c>
      <c r="BB62" s="21">
        <v>6250</v>
      </c>
      <c r="BC62" s="21">
        <v>6296</v>
      </c>
      <c r="BD62" s="21">
        <v>3664</v>
      </c>
      <c r="BE62" s="21">
        <v>3729</v>
      </c>
      <c r="BF62" s="21">
        <v>1060</v>
      </c>
      <c r="BG62" s="21">
        <v>1096</v>
      </c>
      <c r="BH62" s="21">
        <v>1150</v>
      </c>
      <c r="BI62" s="21">
        <v>1205</v>
      </c>
      <c r="BJ62" s="21">
        <v>1211</v>
      </c>
      <c r="BK62" s="21">
        <v>1267</v>
      </c>
      <c r="BL62" s="21">
        <v>1325</v>
      </c>
      <c r="BM62" s="21">
        <v>1389</v>
      </c>
      <c r="BN62" s="21">
        <v>1388</v>
      </c>
      <c r="BO62" s="21">
        <v>1447</v>
      </c>
      <c r="BP62" s="21">
        <v>1509</v>
      </c>
      <c r="BQ62" s="21">
        <v>26472</v>
      </c>
      <c r="BR62" s="21">
        <v>1516</v>
      </c>
      <c r="BS62" s="21">
        <v>1581</v>
      </c>
      <c r="BT62" s="21">
        <v>1654</v>
      </c>
      <c r="BU62" s="21">
        <v>1670</v>
      </c>
    </row>
    <row r="63" spans="2:73" ht="15.75" thickBot="1">
      <c r="B63" s="9" t="s">
        <v>89</v>
      </c>
      <c r="C63" s="9">
        <f t="shared" ref="C63:AH63" si="66">C31+C43+C55</f>
        <v>701272</v>
      </c>
      <c r="D63" s="9">
        <f t="shared" si="66"/>
        <v>835449</v>
      </c>
      <c r="E63" s="9">
        <f t="shared" si="66"/>
        <v>928290</v>
      </c>
      <c r="F63" s="9">
        <f t="shared" si="66"/>
        <v>988741</v>
      </c>
      <c r="G63" s="9">
        <f t="shared" si="66"/>
        <v>992372</v>
      </c>
      <c r="H63" s="9">
        <f t="shared" si="66"/>
        <v>943330</v>
      </c>
      <c r="I63" s="9">
        <f t="shared" si="66"/>
        <v>969721</v>
      </c>
      <c r="J63" s="9">
        <f t="shared" si="66"/>
        <v>1073124</v>
      </c>
      <c r="K63" s="9">
        <f t="shared" si="66"/>
        <v>1109609</v>
      </c>
      <c r="L63" s="9">
        <f t="shared" si="66"/>
        <v>1145386</v>
      </c>
      <c r="M63" s="9">
        <f t="shared" si="66"/>
        <v>1153781</v>
      </c>
      <c r="N63" s="9">
        <f t="shared" si="66"/>
        <v>1188843</v>
      </c>
      <c r="O63" s="9">
        <f t="shared" si="66"/>
        <v>1195140</v>
      </c>
      <c r="P63" s="9">
        <f t="shared" si="66"/>
        <v>1212254</v>
      </c>
      <c r="Q63" s="9">
        <f t="shared" si="66"/>
        <v>1278056</v>
      </c>
      <c r="R63" s="9">
        <f t="shared" si="66"/>
        <v>1254333</v>
      </c>
      <c r="S63" s="9">
        <f t="shared" si="66"/>
        <v>1255242</v>
      </c>
      <c r="T63" s="9">
        <f t="shared" si="66"/>
        <v>1299358</v>
      </c>
      <c r="U63" s="9">
        <f t="shared" si="66"/>
        <v>1307091</v>
      </c>
      <c r="V63" s="9">
        <f t="shared" si="66"/>
        <v>1307001</v>
      </c>
      <c r="W63" s="9">
        <f t="shared" si="66"/>
        <v>1313983</v>
      </c>
      <c r="X63" s="9">
        <f t="shared" si="66"/>
        <v>1329679</v>
      </c>
      <c r="Y63" s="9">
        <f t="shared" si="66"/>
        <v>1359871</v>
      </c>
      <c r="Z63" s="9">
        <f t="shared" si="66"/>
        <v>1381796</v>
      </c>
      <c r="AA63" s="9">
        <f t="shared" si="66"/>
        <v>1401217</v>
      </c>
      <c r="AB63" s="9">
        <f t="shared" si="66"/>
        <v>1422974</v>
      </c>
      <c r="AC63" s="9">
        <f t="shared" si="66"/>
        <v>1430528</v>
      </c>
      <c r="AD63" s="9">
        <f t="shared" si="66"/>
        <v>1461529</v>
      </c>
      <c r="AE63" s="9">
        <f t="shared" si="66"/>
        <v>1493702</v>
      </c>
      <c r="AF63" s="9">
        <f t="shared" si="66"/>
        <v>1566969</v>
      </c>
      <c r="AG63" s="9">
        <f t="shared" si="66"/>
        <v>1647586</v>
      </c>
      <c r="AH63" s="9">
        <f t="shared" si="66"/>
        <v>1645142</v>
      </c>
      <c r="AI63" s="9">
        <f t="shared" ref="AI63:AY63" si="67">AI31+AI43+AI55</f>
        <v>1602362</v>
      </c>
      <c r="AJ63" s="9">
        <f t="shared" si="67"/>
        <v>1570294</v>
      </c>
      <c r="AK63" s="9">
        <f t="shared" si="67"/>
        <v>1568629</v>
      </c>
      <c r="AL63" s="9">
        <f t="shared" si="67"/>
        <v>1657620</v>
      </c>
      <c r="AM63" s="9">
        <f t="shared" si="67"/>
        <v>1690878</v>
      </c>
      <c r="AN63" s="9">
        <f t="shared" si="67"/>
        <v>1763806</v>
      </c>
      <c r="AO63" s="9">
        <f t="shared" si="67"/>
        <v>1804878</v>
      </c>
      <c r="AP63" s="9">
        <f t="shared" si="67"/>
        <v>1856461</v>
      </c>
      <c r="AQ63" s="9">
        <f t="shared" si="67"/>
        <v>1919165</v>
      </c>
      <c r="AR63" s="9">
        <f t="shared" si="67"/>
        <v>2504137</v>
      </c>
      <c r="AS63" s="9">
        <f t="shared" si="67"/>
        <v>2655783</v>
      </c>
      <c r="AT63" s="9">
        <f t="shared" si="67"/>
        <v>2659910</v>
      </c>
      <c r="AU63" s="9">
        <f t="shared" si="67"/>
        <v>2713928</v>
      </c>
      <c r="AV63" s="9">
        <f t="shared" si="67"/>
        <v>2644938</v>
      </c>
      <c r="AW63" s="9">
        <f t="shared" si="67"/>
        <v>2805564</v>
      </c>
      <c r="AX63" s="9">
        <f t="shared" si="67"/>
        <v>2746444</v>
      </c>
      <c r="AY63" s="9">
        <f t="shared" si="67"/>
        <v>2838601</v>
      </c>
      <c r="AZ63" s="9">
        <f t="shared" ref="AZ63:BA63" si="68">AZ31+AZ43+AZ55</f>
        <v>2934102</v>
      </c>
      <c r="BA63" s="9">
        <f t="shared" si="68"/>
        <v>2891267</v>
      </c>
      <c r="BB63" s="9">
        <f t="shared" ref="BB63:BC63" si="69">BB31+BB43+BB55</f>
        <v>2817187</v>
      </c>
      <c r="BC63" s="9">
        <f t="shared" si="69"/>
        <v>2831794</v>
      </c>
      <c r="BD63" s="9">
        <f t="shared" ref="BD63:BE63" si="70">BD31+BD43+BD55</f>
        <v>2904638</v>
      </c>
      <c r="BE63" s="9">
        <f t="shared" si="70"/>
        <v>3126686</v>
      </c>
      <c r="BF63" s="9">
        <f t="shared" ref="BF63:BG63" si="71">BF31+BF43+BF55</f>
        <v>3396582</v>
      </c>
      <c r="BG63" s="9">
        <f t="shared" si="71"/>
        <v>3583193</v>
      </c>
      <c r="BH63" s="9">
        <f t="shared" ref="BH63:BI63" si="72">BH31+BH43+BH55</f>
        <v>3808082</v>
      </c>
      <c r="BI63" s="9">
        <f t="shared" si="72"/>
        <v>3972032</v>
      </c>
      <c r="BJ63" s="9">
        <f t="shared" ref="BJ63:BK63" si="73">BJ31+BJ43+BJ55</f>
        <v>4067385</v>
      </c>
      <c r="BK63" s="9">
        <f t="shared" si="73"/>
        <v>4127741</v>
      </c>
      <c r="BL63" s="9">
        <f t="shared" ref="BL63:BM63" si="74">BL31+BL43+BL55</f>
        <v>4131532</v>
      </c>
      <c r="BM63" s="9">
        <f t="shared" si="74"/>
        <v>4136809</v>
      </c>
      <c r="BN63" s="9">
        <f t="shared" ref="BN63:BO63" si="75">BN31+BN43+BN55</f>
        <v>4110697</v>
      </c>
      <c r="BO63" s="9">
        <f t="shared" si="75"/>
        <v>4090843</v>
      </c>
      <c r="BP63" s="9">
        <f t="shared" ref="BP63:BU63" si="76">BP31+BP43+BP55</f>
        <v>4175966</v>
      </c>
      <c r="BQ63" s="9">
        <f t="shared" si="76"/>
        <v>4339961</v>
      </c>
      <c r="BR63" s="9">
        <f t="shared" si="76"/>
        <v>4387880</v>
      </c>
      <c r="BS63" s="97">
        <f t="shared" si="76"/>
        <v>4334562</v>
      </c>
      <c r="BT63" s="97">
        <f t="shared" si="76"/>
        <v>4276434</v>
      </c>
      <c r="BU63" s="97">
        <f t="shared" si="76"/>
        <v>4231635</v>
      </c>
    </row>
    <row r="65" spans="3:73"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E65" s="18"/>
      <c r="AF65" s="18"/>
      <c r="AG65" s="18"/>
      <c r="AH65" s="18"/>
      <c r="AI65" s="18"/>
      <c r="AJ65" s="18"/>
      <c r="AK65" s="18"/>
      <c r="AL65" s="18"/>
      <c r="AO65" s="18"/>
      <c r="AP65" s="1">
        <f>AP63-AP27</f>
        <v>0</v>
      </c>
      <c r="AQ65" s="1"/>
      <c r="AR65" s="1"/>
      <c r="AS65" s="1"/>
      <c r="AT65" s="1">
        <f t="shared" ref="AT65:AY65" si="77">AT63-AT27</f>
        <v>0</v>
      </c>
      <c r="AU65" s="1">
        <f t="shared" si="77"/>
        <v>0</v>
      </c>
      <c r="AV65" s="1">
        <f t="shared" si="77"/>
        <v>0</v>
      </c>
      <c r="AW65" s="1">
        <f t="shared" si="77"/>
        <v>0</v>
      </c>
      <c r="AX65" s="1">
        <f t="shared" si="77"/>
        <v>0</v>
      </c>
      <c r="AY65" s="1">
        <f t="shared" si="77"/>
        <v>0</v>
      </c>
      <c r="AZ65" s="1">
        <f t="shared" ref="AZ65:BA65" si="78">AZ63-AZ27</f>
        <v>0</v>
      </c>
      <c r="BA65" s="1">
        <f t="shared" si="78"/>
        <v>0</v>
      </c>
      <c r="BB65" s="1">
        <f t="shared" ref="BB65:BC65" si="79">BB63-BB27</f>
        <v>0</v>
      </c>
      <c r="BC65" s="1">
        <f t="shared" si="79"/>
        <v>0</v>
      </c>
      <c r="BD65" s="1">
        <f t="shared" ref="BD65:BE65" si="80">BD63-BD27</f>
        <v>0</v>
      </c>
      <c r="BE65" s="1">
        <f t="shared" si="80"/>
        <v>0</v>
      </c>
      <c r="BF65" s="1">
        <f t="shared" ref="BF65" si="81">BF63-BF27</f>
        <v>0</v>
      </c>
      <c r="BG65" s="1">
        <f t="shared" ref="BG65:BL65" si="82">BG63-BG27</f>
        <v>0</v>
      </c>
      <c r="BH65" s="1">
        <f t="shared" si="82"/>
        <v>0</v>
      </c>
      <c r="BI65" s="1">
        <f t="shared" si="82"/>
        <v>0</v>
      </c>
      <c r="BJ65" s="1">
        <f t="shared" si="82"/>
        <v>0</v>
      </c>
      <c r="BK65" s="1">
        <f t="shared" si="82"/>
        <v>0</v>
      </c>
      <c r="BL65" s="1">
        <f t="shared" si="82"/>
        <v>0</v>
      </c>
      <c r="BM65" s="1">
        <f t="shared" ref="BM65:BN65" si="83">BM63-BM27</f>
        <v>0</v>
      </c>
      <c r="BN65" s="1">
        <f t="shared" si="83"/>
        <v>0</v>
      </c>
      <c r="BO65" s="1">
        <f t="shared" ref="BO65:BP65" si="84">BO63-BO27</f>
        <v>0</v>
      </c>
      <c r="BP65" s="1">
        <f t="shared" si="84"/>
        <v>0</v>
      </c>
      <c r="BQ65" s="1">
        <f t="shared" ref="BQ65:BU65" si="85">BQ63-BQ27</f>
        <v>0</v>
      </c>
      <c r="BR65" s="1">
        <f t="shared" si="85"/>
        <v>0</v>
      </c>
      <c r="BS65" s="1">
        <f t="shared" si="85"/>
        <v>0</v>
      </c>
      <c r="BT65" s="1">
        <f t="shared" si="85"/>
        <v>0</v>
      </c>
      <c r="BU65" s="1">
        <f t="shared" si="85"/>
        <v>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rowBreaks count="1" manualBreakCount="1">
    <brk id="28" max="16383" man="1"/>
  </rowBreaks>
  <colBreaks count="4" manualBreakCount="4">
    <brk id="10" max="1048575" man="1"/>
    <brk id="18" max="1048575" man="1"/>
    <brk id="26" max="1048575" man="1"/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B2:CO32"/>
  <sheetViews>
    <sheetView showGridLines="0" zoomScale="80" zoomScaleNormal="80" zoomScaleSheetLayoutView="85" workbookViewId="0">
      <pane xSplit="2" ySplit="5" topLeftCell="BI6" activePane="bottomRight" state="frozen"/>
      <selection activeCell="BV30" sqref="BV30"/>
      <selection pane="topRight" activeCell="BV30" sqref="BV30"/>
      <selection pane="bottomLeft" activeCell="BV30" sqref="BV30"/>
      <selection pane="bottomRight" activeCell="BV30" sqref="BV30"/>
    </sheetView>
  </sheetViews>
  <sheetFormatPr defaultRowHeight="15"/>
  <cols>
    <col min="1" max="1" width="1.140625" customWidth="1"/>
    <col min="2" max="2" width="45" customWidth="1"/>
    <col min="3" max="28" width="10.7109375" customWidth="1"/>
    <col min="29" max="30" width="10.85546875" bestFit="1" customWidth="1"/>
    <col min="31" max="31" width="12.7109375" customWidth="1"/>
    <col min="32" max="32" width="13.28515625" bestFit="1" customWidth="1"/>
    <col min="33" max="43" width="13.28515625" customWidth="1"/>
    <col min="44" max="46" width="12.28515625" customWidth="1"/>
    <col min="47" max="49" width="12.28515625" bestFit="1" customWidth="1"/>
    <col min="50" max="60" width="12.28515625" customWidth="1"/>
    <col min="61" max="62" width="12.28515625" hidden="1" customWidth="1"/>
    <col min="63" max="63" width="10.140625" hidden="1" customWidth="1"/>
    <col min="64" max="68" width="12.28515625" hidden="1" customWidth="1"/>
    <col min="69" max="73" width="12.28515625" customWidth="1"/>
    <col min="74" max="74" width="11.28515625" customWidth="1"/>
    <col min="75" max="78" width="12.28515625" hidden="1" customWidth="1"/>
    <col min="79" max="79" width="11.28515625" hidden="1" customWidth="1"/>
    <col min="80" max="80" width="11" hidden="1" customWidth="1"/>
    <col min="81" max="81" width="10.85546875" hidden="1" customWidth="1"/>
    <col min="82" max="82" width="12.28515625" hidden="1" customWidth="1"/>
    <col min="83" max="84" width="11.140625" hidden="1" customWidth="1"/>
    <col min="85" max="85" width="10.5703125" hidden="1" customWidth="1"/>
    <col min="86" max="87" width="11.28515625" hidden="1" customWidth="1"/>
    <col min="88" max="88" width="5.140625" hidden="1" customWidth="1"/>
    <col min="89" max="89" width="11.5703125" hidden="1" customWidth="1"/>
    <col min="90" max="91" width="11.5703125" bestFit="1" customWidth="1"/>
  </cols>
  <sheetData>
    <row r="2" spans="2:91" ht="18.75">
      <c r="B2" s="43" t="s">
        <v>133</v>
      </c>
    </row>
    <row r="3" spans="2:91" ht="15.75">
      <c r="B3" s="63" t="s">
        <v>169</v>
      </c>
      <c r="BV3" s="63" t="s">
        <v>167</v>
      </c>
    </row>
    <row r="4" spans="2:91" s="19" customFormat="1" ht="7.5" customHeight="1" thickBot="1"/>
    <row r="5" spans="2:91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W5" s="8">
        <v>2008</v>
      </c>
      <c r="BX5" s="8">
        <v>2009</v>
      </c>
      <c r="BY5" s="8">
        <v>2010</v>
      </c>
      <c r="BZ5" s="8">
        <v>2011</v>
      </c>
      <c r="CA5" s="8">
        <v>2012</v>
      </c>
      <c r="CB5" s="8">
        <v>2013</v>
      </c>
      <c r="CC5" s="8">
        <v>2014</v>
      </c>
      <c r="CD5" s="8">
        <v>2015</v>
      </c>
      <c r="CE5" s="8">
        <v>2016</v>
      </c>
      <c r="CF5" s="8">
        <v>2017</v>
      </c>
      <c r="CG5" s="8">
        <v>2018</v>
      </c>
      <c r="CH5" s="8">
        <v>2019</v>
      </c>
      <c r="CI5" s="8">
        <v>2020</v>
      </c>
      <c r="CJ5" s="8">
        <v>2021</v>
      </c>
      <c r="CK5" s="8">
        <v>2022</v>
      </c>
      <c r="CL5" s="8">
        <v>2024</v>
      </c>
      <c r="CM5" s="8">
        <v>2025</v>
      </c>
    </row>
    <row r="6" spans="2:91">
      <c r="B6" t="s">
        <v>66</v>
      </c>
      <c r="C6" s="54">
        <f>'Indicadores financeiros'!C7</f>
        <v>170257</v>
      </c>
      <c r="D6" s="54">
        <f>'Indicadores financeiros'!D7</f>
        <v>271621</v>
      </c>
      <c r="E6" s="54">
        <f>'Indicadores financeiros'!E7</f>
        <v>250353</v>
      </c>
      <c r="F6" s="54">
        <f>'Indicadores financeiros'!F7</f>
        <v>186683</v>
      </c>
      <c r="G6" s="54">
        <f>'Indicadores financeiros'!G7</f>
        <v>85616</v>
      </c>
      <c r="H6" s="54">
        <f>'Indicadores financeiros'!H7</f>
        <v>100614</v>
      </c>
      <c r="I6" s="54">
        <f>'Indicadores financeiros'!I7</f>
        <v>149608</v>
      </c>
      <c r="J6" s="54">
        <f>'Indicadores financeiros'!J7</f>
        <v>114915</v>
      </c>
      <c r="K6" s="54">
        <f>'Indicadores financeiros'!K7</f>
        <v>142631</v>
      </c>
      <c r="L6" s="54">
        <f>'Indicadores financeiros'!L7</f>
        <v>188510</v>
      </c>
      <c r="M6" s="54">
        <f>'Indicadores financeiros'!M7</f>
        <v>174747</v>
      </c>
      <c r="N6" s="54">
        <f>'Indicadores financeiros'!N7</f>
        <v>167170</v>
      </c>
      <c r="O6" s="54">
        <f>'Indicadores financeiros'!O7</f>
        <v>195695</v>
      </c>
      <c r="P6" s="54">
        <f>'Indicadores financeiros'!P7</f>
        <v>174060</v>
      </c>
      <c r="Q6" s="54">
        <f>'Indicadores financeiros'!Q7</f>
        <v>140871</v>
      </c>
      <c r="R6" s="54">
        <f>'Indicadores financeiros'!R7</f>
        <v>131708</v>
      </c>
      <c r="S6" s="54">
        <f>'Indicadores financeiros'!S7</f>
        <v>182440</v>
      </c>
      <c r="T6" s="54">
        <f>'Indicadores financeiros'!T7</f>
        <v>190297</v>
      </c>
      <c r="U6" s="54">
        <f>'Indicadores financeiros'!U7</f>
        <v>166644</v>
      </c>
      <c r="V6" s="54">
        <f>'Indicadores financeiros'!V7</f>
        <v>168021</v>
      </c>
      <c r="W6" s="54">
        <f>'Indicadores financeiros'!W7</f>
        <v>185693</v>
      </c>
      <c r="X6" s="54">
        <f>'Indicadores financeiros'!X7</f>
        <v>182139</v>
      </c>
      <c r="Y6" s="54">
        <f>'Indicadores financeiros'!Y7</f>
        <v>224436</v>
      </c>
      <c r="Z6" s="54">
        <f>'Indicadores financeiros'!Z7</f>
        <v>207504</v>
      </c>
      <c r="AA6" s="54">
        <f>'Indicadores financeiros'!AA7</f>
        <v>230169</v>
      </c>
      <c r="AB6" s="54">
        <f>'Indicadores financeiros'!AB7</f>
        <v>220635</v>
      </c>
      <c r="AC6" s="54">
        <f>'Indicadores financeiros'!AC7</f>
        <v>200624</v>
      </c>
      <c r="AD6" s="54">
        <f>'Indicadores financeiros'!AD7</f>
        <v>176819</v>
      </c>
      <c r="AE6" s="54">
        <f>'Indicadores financeiros'!AE7</f>
        <v>210227</v>
      </c>
      <c r="AF6" s="54">
        <f>'Indicadores financeiros'!AF7</f>
        <v>250753</v>
      </c>
      <c r="AG6" s="54">
        <f>'Indicadores financeiros'!AG7</f>
        <v>224885</v>
      </c>
      <c r="AH6" s="54">
        <f>'Indicadores financeiros'!AH7</f>
        <v>250365</v>
      </c>
      <c r="AI6" s="54">
        <f>'Indicadores financeiros'!AI7</f>
        <v>305167</v>
      </c>
      <c r="AJ6" s="54">
        <f>'Indicadores financeiros'!AJ7</f>
        <v>266856</v>
      </c>
      <c r="AK6" s="54">
        <f>'Indicadores financeiros'!AK7</f>
        <v>241252</v>
      </c>
      <c r="AL6" s="54">
        <f>'Indicadores financeiros'!AL7</f>
        <v>282879</v>
      </c>
      <c r="AM6" s="54">
        <v>302895</v>
      </c>
      <c r="AN6" s="54">
        <v>270652</v>
      </c>
      <c r="AO6" s="54">
        <v>276419</v>
      </c>
      <c r="AP6" s="54">
        <v>258756</v>
      </c>
      <c r="AQ6" s="54">
        <v>348500</v>
      </c>
      <c r="AR6" s="54">
        <v>348501</v>
      </c>
      <c r="AS6" s="54">
        <v>393054</v>
      </c>
      <c r="AT6" s="54">
        <v>291001</v>
      </c>
      <c r="AU6" s="54">
        <v>348781</v>
      </c>
      <c r="AV6" s="54">
        <f>675476-AU6</f>
        <v>326695</v>
      </c>
      <c r="AW6" s="80">
        <f>992875-AV6-AU6</f>
        <v>317399</v>
      </c>
      <c r="AX6" s="80">
        <v>286675</v>
      </c>
      <c r="AY6" s="80">
        <v>346182</v>
      </c>
      <c r="AZ6" s="80">
        <v>426667</v>
      </c>
      <c r="BA6" s="80">
        <v>385293</v>
      </c>
      <c r="BB6" s="80">
        <f>1622019-AY6-AZ6-BA6</f>
        <v>463877</v>
      </c>
      <c r="BC6" s="80">
        <v>517324</v>
      </c>
      <c r="BD6" s="80">
        <f>'Receita líquida'!BD10</f>
        <v>510854</v>
      </c>
      <c r="BE6" s="80">
        <f>'Receita líquida'!BE10</f>
        <v>679158</v>
      </c>
      <c r="BF6" s="80">
        <f>'Receita líquida'!BF10</f>
        <v>682141</v>
      </c>
      <c r="BG6" s="80">
        <f>'Receita líquida'!BG10</f>
        <v>737738</v>
      </c>
      <c r="BH6" s="80">
        <f>'Receita líquida'!BH10</f>
        <v>917618</v>
      </c>
      <c r="BI6" s="80">
        <f>'Receita líquida'!BI10</f>
        <v>769499</v>
      </c>
      <c r="BJ6" s="80">
        <f>'Receita líquida'!BJ10</f>
        <v>714161</v>
      </c>
      <c r="BK6" s="80">
        <f>'Receita líquida'!BK10</f>
        <v>716374</v>
      </c>
      <c r="BL6" s="80">
        <f>'Receita líquida'!BL10</f>
        <v>626128</v>
      </c>
      <c r="BM6" s="80">
        <f>'Receita líquida'!BM10</f>
        <v>550921</v>
      </c>
      <c r="BN6" s="80">
        <f>'Receita líquida'!BN10</f>
        <v>541712</v>
      </c>
      <c r="BO6" s="80">
        <f>'Receita líquida'!BO10</f>
        <v>509489</v>
      </c>
      <c r="BP6" s="80">
        <f>'Receita líquida'!BP10</f>
        <v>522027</v>
      </c>
      <c r="BQ6" s="80">
        <f>'Receita líquida'!BQ10</f>
        <v>597723</v>
      </c>
      <c r="BR6" s="80">
        <v>607465</v>
      </c>
      <c r="BS6" s="80">
        <v>549849</v>
      </c>
      <c r="BT6" s="80">
        <v>639441</v>
      </c>
      <c r="BU6" s="80">
        <v>542568</v>
      </c>
      <c r="BW6" s="2">
        <f t="shared" ref="BW6:BW21" si="0">SUM(C6:F6)</f>
        <v>878914</v>
      </c>
      <c r="BX6" s="2">
        <f t="shared" ref="BX6:BX21" si="1">SUM(G6:J6)</f>
        <v>450753</v>
      </c>
      <c r="BY6" s="2">
        <f t="shared" ref="BY6:BY21" si="2">SUM(K6:N6)</f>
        <v>673058</v>
      </c>
      <c r="BZ6" s="2">
        <f t="shared" ref="BZ6:BZ21" si="3">SUM(O6:R6)</f>
        <v>642334</v>
      </c>
      <c r="CA6" s="2">
        <f t="shared" ref="CA6:CA21" si="4">SUM(S6:V6)</f>
        <v>707402</v>
      </c>
      <c r="CB6" s="2">
        <f t="shared" ref="CB6:CB21" si="5">SUM(W6:Z6)</f>
        <v>799772</v>
      </c>
      <c r="CC6" s="2">
        <f t="shared" ref="CC6:CC23" si="6">SUM(AA6:AD6)</f>
        <v>828247</v>
      </c>
      <c r="CD6" s="2">
        <f t="shared" ref="CD6:CD23" si="7">SUM(AE6:AH6)</f>
        <v>936230</v>
      </c>
      <c r="CE6" s="2">
        <f t="shared" ref="CE6:CE23" si="8">SUM(AI6:AL6)</f>
        <v>1096154</v>
      </c>
      <c r="CF6" s="2">
        <f t="shared" ref="CF6:CF23" si="9">SUM(AM6:AP6)</f>
        <v>1108722</v>
      </c>
      <c r="CG6" s="2">
        <f t="shared" ref="CG6:CG23" si="10">SUM(AQ6:AT6)</f>
        <v>1381056</v>
      </c>
      <c r="CH6" s="2">
        <f t="shared" ref="CH6:CH23" si="11">SUM(AU6:AX6)</f>
        <v>1279550</v>
      </c>
      <c r="CI6" s="2">
        <f t="shared" ref="CI6:CI23" si="12">SUM(AY6:BB6)</f>
        <v>1622019</v>
      </c>
      <c r="CJ6" s="2">
        <f t="shared" ref="CJ6:CJ23" si="13">SUM(BC6:BF6)</f>
        <v>2389477</v>
      </c>
      <c r="CK6" s="2">
        <f>SUM(BG6:BJ6)</f>
        <v>3139016</v>
      </c>
      <c r="CL6" s="2">
        <f t="shared" ref="CL6:CL23" si="14">SUM(BO6:BR6)</f>
        <v>2236704</v>
      </c>
      <c r="CM6" s="21">
        <f>SUM(BS6:BU6)</f>
        <v>1731858</v>
      </c>
    </row>
    <row r="7" spans="2:91">
      <c r="B7" t="s">
        <v>148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-7286</v>
      </c>
      <c r="K7" s="2">
        <v>0</v>
      </c>
      <c r="L7" s="2">
        <v>0</v>
      </c>
      <c r="M7" s="2">
        <v>0</v>
      </c>
      <c r="N7" s="2">
        <v>18320</v>
      </c>
      <c r="O7" s="2">
        <v>217</v>
      </c>
      <c r="P7" s="2">
        <v>5404</v>
      </c>
      <c r="Q7" s="2">
        <v>10466</v>
      </c>
      <c r="R7" s="2">
        <v>-2447</v>
      </c>
      <c r="S7" s="2">
        <v>4434</v>
      </c>
      <c r="T7" s="2">
        <v>11688</v>
      </c>
      <c r="U7" s="2">
        <v>3778</v>
      </c>
      <c r="V7" s="2">
        <v>-3518</v>
      </c>
      <c r="W7" s="2">
        <v>8481</v>
      </c>
      <c r="X7" s="2">
        <v>2704</v>
      </c>
      <c r="Y7" s="2">
        <v>6928</v>
      </c>
      <c r="Z7" s="2">
        <v>7321</v>
      </c>
      <c r="AA7" s="2">
        <v>-2545</v>
      </c>
      <c r="AB7" s="2">
        <v>1669</v>
      </c>
      <c r="AC7" s="2">
        <v>-129</v>
      </c>
      <c r="AD7" s="2">
        <v>7723</v>
      </c>
      <c r="AE7" s="2">
        <v>0</v>
      </c>
      <c r="AF7" s="2">
        <v>0</v>
      </c>
      <c r="AG7" s="2">
        <v>0</v>
      </c>
      <c r="AH7" s="2">
        <v>25478</v>
      </c>
      <c r="AI7" s="2">
        <v>0</v>
      </c>
      <c r="AJ7" s="2">
        <v>0</v>
      </c>
      <c r="AK7" s="2">
        <v>0</v>
      </c>
      <c r="AL7" s="2">
        <v>23985</v>
      </c>
      <c r="AM7" s="2">
        <v>0</v>
      </c>
      <c r="AN7" s="2">
        <v>0</v>
      </c>
      <c r="AO7" s="2">
        <v>0</v>
      </c>
      <c r="AP7" s="2">
        <v>41368</v>
      </c>
      <c r="AQ7" s="2">
        <v>0</v>
      </c>
      <c r="AR7" s="2">
        <v>0</v>
      </c>
      <c r="AS7" s="2">
        <v>0</v>
      </c>
      <c r="AT7" s="2">
        <v>22266</v>
      </c>
      <c r="AU7" s="2">
        <v>0</v>
      </c>
      <c r="AV7" s="2">
        <v>0</v>
      </c>
      <c r="AW7" s="2">
        <v>24110</v>
      </c>
      <c r="AX7" s="2">
        <v>17873</v>
      </c>
      <c r="AY7" s="2">
        <v>0</v>
      </c>
      <c r="AZ7" s="2">
        <v>0</v>
      </c>
      <c r="BA7" s="2">
        <v>23851</v>
      </c>
      <c r="BB7" s="2">
        <f>46211-AY7-AZ7-BA7</f>
        <v>22360</v>
      </c>
      <c r="BC7" s="2">
        <v>0</v>
      </c>
      <c r="BD7" s="2">
        <v>0</v>
      </c>
      <c r="BE7" s="2">
        <v>12088</v>
      </c>
      <c r="BF7" s="2">
        <f>27802-BC7-BD7-BE7</f>
        <v>15714</v>
      </c>
      <c r="BG7" s="2">
        <v>0</v>
      </c>
      <c r="BH7" s="2">
        <v>0</v>
      </c>
      <c r="BI7" s="2">
        <v>28426</v>
      </c>
      <c r="BJ7" s="2">
        <f>38003-BI7</f>
        <v>9577</v>
      </c>
      <c r="BK7" s="2">
        <v>0</v>
      </c>
      <c r="BL7" s="2">
        <v>0</v>
      </c>
      <c r="BM7" s="2">
        <v>39571</v>
      </c>
      <c r="BN7" s="2">
        <v>32157</v>
      </c>
      <c r="BO7" s="2">
        <v>0</v>
      </c>
      <c r="BP7" s="2">
        <v>0</v>
      </c>
      <c r="BQ7" s="2">
        <v>34858</v>
      </c>
      <c r="BR7" s="21">
        <v>39768</v>
      </c>
      <c r="BS7" s="21">
        <v>0</v>
      </c>
      <c r="BT7" s="21">
        <v>0</v>
      </c>
      <c r="BU7" s="21">
        <v>77432</v>
      </c>
      <c r="BW7" s="2">
        <f t="shared" si="0"/>
        <v>0</v>
      </c>
      <c r="BX7" s="2">
        <f t="shared" si="1"/>
        <v>-7286</v>
      </c>
      <c r="BY7" s="2">
        <f t="shared" si="2"/>
        <v>18320</v>
      </c>
      <c r="BZ7" s="2">
        <f t="shared" si="3"/>
        <v>13640</v>
      </c>
      <c r="CA7" s="2">
        <f t="shared" si="4"/>
        <v>16382</v>
      </c>
      <c r="CB7" s="2">
        <f t="shared" si="5"/>
        <v>25434</v>
      </c>
      <c r="CC7" s="2">
        <f t="shared" si="6"/>
        <v>6718</v>
      </c>
      <c r="CD7" s="2">
        <f t="shared" si="7"/>
        <v>25478</v>
      </c>
      <c r="CE7" s="2">
        <f t="shared" si="8"/>
        <v>23985</v>
      </c>
      <c r="CF7" s="2">
        <f t="shared" si="9"/>
        <v>41368</v>
      </c>
      <c r="CG7" s="2">
        <f t="shared" si="10"/>
        <v>22266</v>
      </c>
      <c r="CH7" s="2">
        <f t="shared" si="11"/>
        <v>41983</v>
      </c>
      <c r="CI7" s="2">
        <f t="shared" si="12"/>
        <v>46211</v>
      </c>
      <c r="CJ7" s="2">
        <f t="shared" si="13"/>
        <v>27802</v>
      </c>
      <c r="CK7" s="2">
        <f t="shared" ref="CK7:CK23" si="15">SUM(BG7:BJ7)</f>
        <v>38003</v>
      </c>
      <c r="CL7" s="2">
        <f t="shared" si="14"/>
        <v>74626</v>
      </c>
      <c r="CM7" s="21">
        <f>SUM(BS7:BU7)</f>
        <v>77432</v>
      </c>
    </row>
    <row r="8" spans="2:91" ht="15.75" thickBot="1">
      <c r="B8" t="s">
        <v>65</v>
      </c>
      <c r="C8" s="2">
        <v>-109199</v>
      </c>
      <c r="D8" s="2">
        <v>-123161</v>
      </c>
      <c r="E8" s="2">
        <v>-113080</v>
      </c>
      <c r="F8" s="2">
        <v>-79149</v>
      </c>
      <c r="G8" s="2">
        <v>-53124</v>
      </c>
      <c r="H8" s="2">
        <v>-94283</v>
      </c>
      <c r="I8" s="2">
        <v>-146515</v>
      </c>
      <c r="J8" s="2">
        <v>-104841</v>
      </c>
      <c r="K8" s="2">
        <v>-115243</v>
      </c>
      <c r="L8" s="2">
        <v>-126057</v>
      </c>
      <c r="M8" s="2">
        <v>-122533</v>
      </c>
      <c r="N8" s="2">
        <v>-133753</v>
      </c>
      <c r="O8" s="2">
        <v>-150514</v>
      </c>
      <c r="P8" s="2">
        <v>-139819</v>
      </c>
      <c r="Q8" s="2">
        <v>-124521</v>
      </c>
      <c r="R8" s="2">
        <v>-105870</v>
      </c>
      <c r="S8" s="2">
        <v>-150626</v>
      </c>
      <c r="T8" s="2">
        <v>-156832</v>
      </c>
      <c r="U8" s="2">
        <v>-127485</v>
      </c>
      <c r="V8" s="2">
        <v>-134447</v>
      </c>
      <c r="W8" s="2">
        <v>-171162</v>
      </c>
      <c r="X8" s="2">
        <v>-142708</v>
      </c>
      <c r="Y8" s="2">
        <v>-182404</v>
      </c>
      <c r="Z8" s="2">
        <v>-166874</v>
      </c>
      <c r="AA8" s="2">
        <v>-177812</v>
      </c>
      <c r="AB8" s="2">
        <v>-164813</v>
      </c>
      <c r="AC8" s="2">
        <f>-162917+129</f>
        <v>-162788</v>
      </c>
      <c r="AD8" s="2">
        <v>-145885</v>
      </c>
      <c r="AE8" s="2">
        <v>-135951</v>
      </c>
      <c r="AF8" s="2">
        <v>-143021</v>
      </c>
      <c r="AG8" s="2">
        <v>-131008</v>
      </c>
      <c r="AH8" s="2">
        <v>-197147</v>
      </c>
      <c r="AI8" s="2">
        <v>-232278</v>
      </c>
      <c r="AJ8" s="2">
        <v>-263314</v>
      </c>
      <c r="AK8" s="2">
        <v>-231554</v>
      </c>
      <c r="AL8" s="2">
        <v>-219279</v>
      </c>
      <c r="AM8" s="2">
        <v>-183001</v>
      </c>
      <c r="AN8" s="2">
        <v>-179970</v>
      </c>
      <c r="AO8" s="2">
        <v>-203305</v>
      </c>
      <c r="AP8" s="2">
        <v>-192020</v>
      </c>
      <c r="AQ8" s="2">
        <v>-237994</v>
      </c>
      <c r="AR8" s="2">
        <v>-218813</v>
      </c>
      <c r="AS8" s="2">
        <v>-231781</v>
      </c>
      <c r="AT8" s="2">
        <v>-232013</v>
      </c>
      <c r="AU8" s="2">
        <v>-253705</v>
      </c>
      <c r="AV8" s="2">
        <f>-505273-AU8</f>
        <v>-251568</v>
      </c>
      <c r="AW8" s="21">
        <f>-804459-AV8-AU8</f>
        <v>-299186</v>
      </c>
      <c r="AX8" s="21">
        <v>-258592</v>
      </c>
      <c r="AY8" s="21">
        <v>-279019</v>
      </c>
      <c r="AZ8" s="2">
        <v>-293403</v>
      </c>
      <c r="BA8" s="2">
        <v>-296541</v>
      </c>
      <c r="BB8" s="2">
        <f>-1224333-AY8-AZ8-BA8</f>
        <v>-355370</v>
      </c>
      <c r="BC8" s="2">
        <v>-350121</v>
      </c>
      <c r="BD8" s="2">
        <f>-646588-BC8</f>
        <v>-296467</v>
      </c>
      <c r="BE8" s="2">
        <f>-1045454-BC8-BD8</f>
        <v>-398866</v>
      </c>
      <c r="BF8" s="2">
        <f>-1383827-BC8-BD8-BE8</f>
        <v>-338373</v>
      </c>
      <c r="BG8" s="2">
        <v>-376831</v>
      </c>
      <c r="BH8" s="2">
        <v>-429505</v>
      </c>
      <c r="BI8" s="2">
        <v>-445662</v>
      </c>
      <c r="BJ8" s="2">
        <f>-1724090-BG8-BH8-BI8</f>
        <v>-472092</v>
      </c>
      <c r="BK8" s="2">
        <v>-495861</v>
      </c>
      <c r="BL8" s="2">
        <v>-459592</v>
      </c>
      <c r="BM8" s="2">
        <v>-478123</v>
      </c>
      <c r="BN8" s="2">
        <v>-467630</v>
      </c>
      <c r="BO8" s="2">
        <v>-412061</v>
      </c>
      <c r="BP8" s="2">
        <v>-402764</v>
      </c>
      <c r="BQ8" s="2">
        <v>-498721</v>
      </c>
      <c r="BR8" s="21">
        <v>-526580</v>
      </c>
      <c r="BS8" s="21">
        <v>-475566</v>
      </c>
      <c r="BT8" s="21">
        <v>-551323</v>
      </c>
      <c r="BU8" s="21">
        <v>-499362</v>
      </c>
      <c r="BW8" s="2">
        <f t="shared" si="0"/>
        <v>-424589</v>
      </c>
      <c r="BX8" s="2">
        <f t="shared" si="1"/>
        <v>-398763</v>
      </c>
      <c r="BY8" s="2">
        <f t="shared" si="2"/>
        <v>-497586</v>
      </c>
      <c r="BZ8" s="2">
        <f t="shared" si="3"/>
        <v>-520724</v>
      </c>
      <c r="CA8" s="2">
        <f t="shared" si="4"/>
        <v>-569390</v>
      </c>
      <c r="CB8" s="2">
        <f t="shared" si="5"/>
        <v>-663148</v>
      </c>
      <c r="CC8" s="2">
        <f t="shared" si="6"/>
        <v>-651298</v>
      </c>
      <c r="CD8" s="2">
        <f t="shared" si="7"/>
        <v>-607127</v>
      </c>
      <c r="CE8" s="2">
        <f t="shared" si="8"/>
        <v>-946425</v>
      </c>
      <c r="CF8" s="2">
        <f t="shared" si="9"/>
        <v>-758296</v>
      </c>
      <c r="CG8" s="2">
        <f t="shared" si="10"/>
        <v>-920601</v>
      </c>
      <c r="CH8" s="2">
        <f t="shared" si="11"/>
        <v>-1063051</v>
      </c>
      <c r="CI8" s="2">
        <f t="shared" si="12"/>
        <v>-1224333</v>
      </c>
      <c r="CJ8" s="2">
        <f t="shared" si="13"/>
        <v>-1383827</v>
      </c>
      <c r="CK8" s="2">
        <f t="shared" si="15"/>
        <v>-1724090</v>
      </c>
      <c r="CL8" s="2">
        <f t="shared" si="14"/>
        <v>-1840126</v>
      </c>
      <c r="CM8" s="21">
        <f>SUM(BS8:BU8)</f>
        <v>-1526251</v>
      </c>
    </row>
    <row r="9" spans="2:91" ht="15.75" thickBot="1">
      <c r="B9" s="9" t="s">
        <v>14</v>
      </c>
      <c r="C9" s="9">
        <f t="shared" ref="C9:AB9" si="16">SUM(C6:C8)</f>
        <v>61058</v>
      </c>
      <c r="D9" s="9">
        <f t="shared" si="16"/>
        <v>148460</v>
      </c>
      <c r="E9" s="9">
        <f t="shared" si="16"/>
        <v>137273</v>
      </c>
      <c r="F9" s="9">
        <f t="shared" si="16"/>
        <v>107534</v>
      </c>
      <c r="G9" s="9">
        <f t="shared" si="16"/>
        <v>32492</v>
      </c>
      <c r="H9" s="9">
        <f t="shared" si="16"/>
        <v>6331</v>
      </c>
      <c r="I9" s="9">
        <f t="shared" si="16"/>
        <v>3093</v>
      </c>
      <c r="J9" s="9">
        <f t="shared" si="16"/>
        <v>2788</v>
      </c>
      <c r="K9" s="9">
        <f t="shared" si="16"/>
        <v>27388</v>
      </c>
      <c r="L9" s="9">
        <f t="shared" si="16"/>
        <v>62453</v>
      </c>
      <c r="M9" s="9">
        <f t="shared" si="16"/>
        <v>52214</v>
      </c>
      <c r="N9" s="9">
        <f t="shared" si="16"/>
        <v>51737</v>
      </c>
      <c r="O9" s="9">
        <f t="shared" si="16"/>
        <v>45398</v>
      </c>
      <c r="P9" s="9">
        <f t="shared" si="16"/>
        <v>39645</v>
      </c>
      <c r="Q9" s="9">
        <f t="shared" si="16"/>
        <v>26816</v>
      </c>
      <c r="R9" s="9">
        <f t="shared" si="16"/>
        <v>23391</v>
      </c>
      <c r="S9" s="9">
        <f t="shared" si="16"/>
        <v>36248</v>
      </c>
      <c r="T9" s="9">
        <f t="shared" si="16"/>
        <v>45153</v>
      </c>
      <c r="U9" s="9">
        <f t="shared" si="16"/>
        <v>42937</v>
      </c>
      <c r="V9" s="9">
        <f t="shared" si="16"/>
        <v>30056</v>
      </c>
      <c r="W9" s="9">
        <f t="shared" si="16"/>
        <v>23012</v>
      </c>
      <c r="X9" s="9">
        <f t="shared" si="16"/>
        <v>42135</v>
      </c>
      <c r="Y9" s="9">
        <f t="shared" si="16"/>
        <v>48960</v>
      </c>
      <c r="Z9" s="9">
        <f t="shared" si="16"/>
        <v>47951</v>
      </c>
      <c r="AA9" s="9">
        <f t="shared" si="16"/>
        <v>49812</v>
      </c>
      <c r="AB9" s="9">
        <f t="shared" si="16"/>
        <v>57491</v>
      </c>
      <c r="AC9" s="9">
        <f t="shared" ref="AC9:AD9" si="17">SUM(AC6:AC8)</f>
        <v>37707</v>
      </c>
      <c r="AD9" s="9">
        <f t="shared" si="17"/>
        <v>38657</v>
      </c>
      <c r="AE9" s="9">
        <f t="shared" ref="AE9:AF9" si="18">SUM(AE6:AE8)</f>
        <v>74276</v>
      </c>
      <c r="AF9" s="9">
        <f t="shared" si="18"/>
        <v>107732</v>
      </c>
      <c r="AG9" s="9">
        <f t="shared" ref="AG9:AI9" si="19">SUM(AG6:AG8)</f>
        <v>93877</v>
      </c>
      <c r="AH9" s="9">
        <f t="shared" si="19"/>
        <v>78696</v>
      </c>
      <c r="AI9" s="9">
        <f t="shared" si="19"/>
        <v>72889</v>
      </c>
      <c r="AJ9" s="9">
        <f t="shared" ref="AJ9:AK9" si="20">SUM(AJ6:AJ8)</f>
        <v>3542</v>
      </c>
      <c r="AK9" s="9">
        <f t="shared" si="20"/>
        <v>9698</v>
      </c>
      <c r="AL9" s="9">
        <f t="shared" ref="AL9:AO9" si="21">SUM(AL6:AL8)</f>
        <v>87585</v>
      </c>
      <c r="AM9" s="9">
        <f t="shared" si="21"/>
        <v>119894</v>
      </c>
      <c r="AN9" s="9">
        <f t="shared" si="21"/>
        <v>90682</v>
      </c>
      <c r="AO9" s="9">
        <f t="shared" si="21"/>
        <v>73114</v>
      </c>
      <c r="AP9" s="9">
        <f t="shared" ref="AP9:AR9" si="22">SUM(AP6:AP8)</f>
        <v>108104</v>
      </c>
      <c r="AQ9" s="9">
        <f t="shared" si="22"/>
        <v>110506</v>
      </c>
      <c r="AR9" s="9">
        <f t="shared" si="22"/>
        <v>129688</v>
      </c>
      <c r="AS9" s="9">
        <f t="shared" ref="AS9:AT9" si="23">SUM(AS6:AS8)</f>
        <v>161273</v>
      </c>
      <c r="AT9" s="9">
        <f t="shared" si="23"/>
        <v>81254</v>
      </c>
      <c r="AU9" s="9">
        <f t="shared" ref="AU9:AV9" si="24">SUM(AU6:AU8)</f>
        <v>95076</v>
      </c>
      <c r="AV9" s="9">
        <f t="shared" si="24"/>
        <v>75127</v>
      </c>
      <c r="AW9" s="9">
        <f t="shared" ref="AW9:AY9" si="25">SUM(AW6:AW8)</f>
        <v>42323</v>
      </c>
      <c r="AX9" s="9">
        <f t="shared" si="25"/>
        <v>45956</v>
      </c>
      <c r="AY9" s="9">
        <f t="shared" si="25"/>
        <v>67163</v>
      </c>
      <c r="AZ9" s="9">
        <f t="shared" ref="AZ9:BA9" si="26">SUM(AZ6:AZ8)</f>
        <v>133264</v>
      </c>
      <c r="BA9" s="9">
        <f t="shared" si="26"/>
        <v>112603</v>
      </c>
      <c r="BB9" s="9">
        <f t="shared" ref="BB9:BC9" si="27">SUM(BB6:BB8)</f>
        <v>130867</v>
      </c>
      <c r="BC9" s="9">
        <f t="shared" si="27"/>
        <v>167203</v>
      </c>
      <c r="BD9" s="9">
        <f t="shared" ref="BD9:BE9" si="28">SUM(BD6:BD8)</f>
        <v>214387</v>
      </c>
      <c r="BE9" s="89">
        <f t="shared" si="28"/>
        <v>292380</v>
      </c>
      <c r="BF9" s="89">
        <f t="shared" ref="BF9:BG9" si="29">SUM(BF6:BF8)</f>
        <v>359482</v>
      </c>
      <c r="BG9" s="89">
        <f t="shared" si="29"/>
        <v>360907</v>
      </c>
      <c r="BH9" s="89">
        <f t="shared" ref="BH9:BI9" si="30">SUM(BH6:BH8)</f>
        <v>488113</v>
      </c>
      <c r="BI9" s="89">
        <f t="shared" si="30"/>
        <v>352263</v>
      </c>
      <c r="BJ9" s="89">
        <f t="shared" ref="BJ9:BM9" si="31">SUM(BJ6:BJ8)</f>
        <v>251646</v>
      </c>
      <c r="BK9" s="89">
        <f t="shared" si="31"/>
        <v>220513</v>
      </c>
      <c r="BL9" s="89">
        <f t="shared" si="31"/>
        <v>166536</v>
      </c>
      <c r="BM9" s="89">
        <f t="shared" si="31"/>
        <v>112369</v>
      </c>
      <c r="BN9" s="89">
        <f t="shared" ref="BN9:BO9" si="32">SUM(BN6:BN8)</f>
        <v>106239</v>
      </c>
      <c r="BO9" s="89">
        <f t="shared" si="32"/>
        <v>97428</v>
      </c>
      <c r="BP9" s="89">
        <f t="shared" ref="BP9:BU9" si="33">SUM(BP6:BP8)</f>
        <v>119263</v>
      </c>
      <c r="BQ9" s="89">
        <f t="shared" si="33"/>
        <v>133860</v>
      </c>
      <c r="BR9" s="89">
        <f t="shared" si="33"/>
        <v>120653</v>
      </c>
      <c r="BS9" s="89">
        <f t="shared" si="33"/>
        <v>74283</v>
      </c>
      <c r="BT9" s="89">
        <f t="shared" si="33"/>
        <v>88118</v>
      </c>
      <c r="BU9" s="89">
        <f t="shared" si="33"/>
        <v>120638</v>
      </c>
      <c r="BW9" s="9">
        <f t="shared" si="0"/>
        <v>454325</v>
      </c>
      <c r="BX9" s="9">
        <f t="shared" si="1"/>
        <v>44704</v>
      </c>
      <c r="BY9" s="9">
        <f t="shared" si="2"/>
        <v>193792</v>
      </c>
      <c r="BZ9" s="9">
        <f t="shared" si="3"/>
        <v>135250</v>
      </c>
      <c r="CA9" s="9">
        <f t="shared" si="4"/>
        <v>154394</v>
      </c>
      <c r="CB9" s="9">
        <f t="shared" si="5"/>
        <v>162058</v>
      </c>
      <c r="CC9" s="9">
        <f t="shared" si="6"/>
        <v>183667</v>
      </c>
      <c r="CD9" s="9">
        <f t="shared" si="7"/>
        <v>354581</v>
      </c>
      <c r="CE9" s="12">
        <f t="shared" si="8"/>
        <v>173714</v>
      </c>
      <c r="CF9" s="12">
        <f t="shared" si="9"/>
        <v>391794</v>
      </c>
      <c r="CG9" s="12">
        <f t="shared" si="10"/>
        <v>482721</v>
      </c>
      <c r="CH9" s="12">
        <f t="shared" si="11"/>
        <v>258482</v>
      </c>
      <c r="CI9" s="12">
        <f t="shared" si="12"/>
        <v>443897</v>
      </c>
      <c r="CJ9" s="12">
        <f t="shared" si="13"/>
        <v>1033452</v>
      </c>
      <c r="CK9" s="12">
        <f t="shared" si="15"/>
        <v>1452929</v>
      </c>
      <c r="CL9" s="12">
        <f t="shared" si="14"/>
        <v>471204</v>
      </c>
      <c r="CM9" s="12">
        <f>SUM(BS9:BU9)</f>
        <v>283039</v>
      </c>
    </row>
    <row r="10" spans="2:91">
      <c r="B10" t="s">
        <v>69</v>
      </c>
      <c r="C10" s="2">
        <v>-1437</v>
      </c>
      <c r="D10" s="2">
        <v>-1537</v>
      </c>
      <c r="E10" s="2">
        <v>-1908</v>
      </c>
      <c r="F10" s="2">
        <v>-1975</v>
      </c>
      <c r="G10" s="2">
        <v>-1470</v>
      </c>
      <c r="H10" s="2">
        <v>-1571</v>
      </c>
      <c r="I10" s="2">
        <v>-2300</v>
      </c>
      <c r="J10" s="2">
        <v>-2145</v>
      </c>
      <c r="K10" s="2">
        <v>-1921</v>
      </c>
      <c r="L10" s="2">
        <v>-2052</v>
      </c>
      <c r="M10" s="2">
        <v>-2629</v>
      </c>
      <c r="N10" s="2">
        <v>-3419</v>
      </c>
      <c r="O10" s="2">
        <v>-2927</v>
      </c>
      <c r="P10" s="2">
        <v>-2985</v>
      </c>
      <c r="Q10" s="2">
        <v>-3196</v>
      </c>
      <c r="R10" s="2">
        <v>-2705</v>
      </c>
      <c r="S10" s="2">
        <v>-2478</v>
      </c>
      <c r="T10" s="2">
        <v>-2535</v>
      </c>
      <c r="U10" s="2">
        <v>-2312</v>
      </c>
      <c r="V10" s="2">
        <v>-2772</v>
      </c>
      <c r="W10" s="2">
        <v>-3106</v>
      </c>
      <c r="X10" s="2">
        <v>-2484</v>
      </c>
      <c r="Y10" s="2">
        <v>-2415</v>
      </c>
      <c r="Z10" s="2">
        <v>-3533</v>
      </c>
      <c r="AA10" s="2">
        <v>-2922</v>
      </c>
      <c r="AB10" s="2">
        <v>-2768</v>
      </c>
      <c r="AC10" s="2">
        <v>-3154</v>
      </c>
      <c r="AD10" s="2">
        <v>-2243</v>
      </c>
      <c r="AE10" s="2">
        <v>-1907</v>
      </c>
      <c r="AF10" s="2">
        <v>-2903</v>
      </c>
      <c r="AG10" s="2">
        <v>-3080</v>
      </c>
      <c r="AH10" s="2">
        <v>-3166</v>
      </c>
      <c r="AI10" s="2">
        <v>-5819</v>
      </c>
      <c r="AJ10" s="2">
        <v>-6079</v>
      </c>
      <c r="AK10" s="2">
        <v>-3335</v>
      </c>
      <c r="AL10" s="2">
        <v>-6399</v>
      </c>
      <c r="AM10" s="2">
        <v>-7086</v>
      </c>
      <c r="AN10" s="2">
        <v>-2865</v>
      </c>
      <c r="AO10" s="2">
        <v>-7017</v>
      </c>
      <c r="AP10" s="2">
        <v>-5448</v>
      </c>
      <c r="AQ10" s="2">
        <v>-2507</v>
      </c>
      <c r="AR10" s="2">
        <v>-3007</v>
      </c>
      <c r="AS10" s="2">
        <f>-8478-AQ10-AR10</f>
        <v>-2964</v>
      </c>
      <c r="AT10" s="2">
        <v>-2406</v>
      </c>
      <c r="AU10" s="2">
        <v>-2262</v>
      </c>
      <c r="AV10" s="2">
        <f>-5212-AU10</f>
        <v>-2950</v>
      </c>
      <c r="AW10" s="21">
        <f>-9466-AV10-AU10</f>
        <v>-4254</v>
      </c>
      <c r="AX10" s="21">
        <v>-4227</v>
      </c>
      <c r="AY10" s="21">
        <v>-3128</v>
      </c>
      <c r="AZ10" s="90">
        <v>-6639</v>
      </c>
      <c r="BA10" s="90">
        <v>-4704</v>
      </c>
      <c r="BB10" s="90">
        <f>-20139-AY10-AZ10-BA10</f>
        <v>-5668</v>
      </c>
      <c r="BC10" s="90">
        <v>-5269</v>
      </c>
      <c r="BD10" s="90">
        <f>-9065-BC10</f>
        <v>-3796</v>
      </c>
      <c r="BE10" s="90">
        <f>-14149-BC10-BD10</f>
        <v>-5084</v>
      </c>
      <c r="BF10" s="90">
        <f>-18662-BC10-BD10-BE10</f>
        <v>-4513</v>
      </c>
      <c r="BG10" s="90">
        <v>-4396</v>
      </c>
      <c r="BH10" s="106">
        <v>-5068</v>
      </c>
      <c r="BI10" s="106">
        <v>-5943</v>
      </c>
      <c r="BJ10" s="106">
        <f>-17083-BG10-BH10-BI10</f>
        <v>-1676</v>
      </c>
      <c r="BK10" s="90">
        <v>-5252</v>
      </c>
      <c r="BL10" s="106">
        <f>-9629-BK10</f>
        <v>-4377</v>
      </c>
      <c r="BM10" s="106">
        <v>-4834</v>
      </c>
      <c r="BN10" s="106">
        <v>-4908</v>
      </c>
      <c r="BO10" s="106">
        <v>-4922</v>
      </c>
      <c r="BP10" s="106">
        <v>-5438</v>
      </c>
      <c r="BQ10" s="106">
        <v>-5370</v>
      </c>
      <c r="BR10" s="106">
        <v>-5817</v>
      </c>
      <c r="BS10" s="106">
        <v>-7128</v>
      </c>
      <c r="BT10" s="106">
        <v>-5795</v>
      </c>
      <c r="BU10" s="106">
        <v>-8073</v>
      </c>
      <c r="BV10" s="67"/>
      <c r="BW10" s="2">
        <f t="shared" si="0"/>
        <v>-6857</v>
      </c>
      <c r="BX10" s="2">
        <f t="shared" si="1"/>
        <v>-7486</v>
      </c>
      <c r="BY10" s="2">
        <f t="shared" si="2"/>
        <v>-10021</v>
      </c>
      <c r="BZ10" s="2">
        <f t="shared" si="3"/>
        <v>-11813</v>
      </c>
      <c r="CA10" s="2">
        <f t="shared" si="4"/>
        <v>-10097</v>
      </c>
      <c r="CB10" s="2">
        <f t="shared" si="5"/>
        <v>-11538</v>
      </c>
      <c r="CC10" s="2">
        <f t="shared" si="6"/>
        <v>-11087</v>
      </c>
      <c r="CD10" s="2">
        <f t="shared" si="7"/>
        <v>-11056</v>
      </c>
      <c r="CE10" s="2">
        <f t="shared" si="8"/>
        <v>-21632</v>
      </c>
      <c r="CF10" s="2">
        <f t="shared" si="9"/>
        <v>-22416</v>
      </c>
      <c r="CG10" s="2">
        <f t="shared" si="10"/>
        <v>-10884</v>
      </c>
      <c r="CH10" s="2">
        <f t="shared" si="11"/>
        <v>-13693</v>
      </c>
      <c r="CI10" s="2">
        <f t="shared" si="12"/>
        <v>-20139</v>
      </c>
      <c r="CJ10" s="2">
        <f t="shared" si="13"/>
        <v>-18662</v>
      </c>
      <c r="CK10" s="2">
        <f t="shared" si="15"/>
        <v>-17083</v>
      </c>
      <c r="CL10" s="2">
        <f t="shared" si="14"/>
        <v>-21547</v>
      </c>
      <c r="CM10" s="21">
        <f t="shared" ref="CM10:CM14" si="34">SUM(BS10:BU10)</f>
        <v>-20996</v>
      </c>
    </row>
    <row r="11" spans="2:91">
      <c r="B11" t="s">
        <v>15</v>
      </c>
      <c r="C11" s="2">
        <v>-6689</v>
      </c>
      <c r="D11" s="2">
        <v>-8198</v>
      </c>
      <c r="E11" s="2">
        <v>-7802</v>
      </c>
      <c r="F11" s="2">
        <v>-26715</v>
      </c>
      <c r="G11" s="2">
        <v>-11469</v>
      </c>
      <c r="H11" s="2">
        <v>-7312</v>
      </c>
      <c r="I11" s="2">
        <v>-9637</v>
      </c>
      <c r="J11" s="2">
        <v>-6344</v>
      </c>
      <c r="K11" s="2">
        <v>-6297</v>
      </c>
      <c r="L11" s="2">
        <v>-4624</v>
      </c>
      <c r="M11" s="2">
        <v>-4379</v>
      </c>
      <c r="N11" s="2">
        <v>-9323</v>
      </c>
      <c r="O11" s="2">
        <v>-7511</v>
      </c>
      <c r="P11" s="2">
        <v>-8737</v>
      </c>
      <c r="Q11" s="2">
        <v>-6478</v>
      </c>
      <c r="R11" s="2">
        <v>-7759</v>
      </c>
      <c r="S11" s="2">
        <v>-8823</v>
      </c>
      <c r="T11" s="2">
        <v>-9419</v>
      </c>
      <c r="U11" s="2">
        <v>-8539</v>
      </c>
      <c r="V11" s="2">
        <v>-8676</v>
      </c>
      <c r="W11" s="2">
        <v>-10488</v>
      </c>
      <c r="X11" s="2">
        <v>-11383</v>
      </c>
      <c r="Y11" s="2">
        <v>-10715</v>
      </c>
      <c r="Z11" s="2">
        <f>-11617</f>
        <v>-11617</v>
      </c>
      <c r="AA11" s="2">
        <v>-13496</v>
      </c>
      <c r="AB11" s="2">
        <v>-10119</v>
      </c>
      <c r="AC11" s="2">
        <v>-14076</v>
      </c>
      <c r="AD11" s="2">
        <v>-14774</v>
      </c>
      <c r="AE11" s="2">
        <v>-13891</v>
      </c>
      <c r="AF11" s="21">
        <v>-13936</v>
      </c>
      <c r="AG11" s="21">
        <v>-15728</v>
      </c>
      <c r="AH11" s="21">
        <v>-15755</v>
      </c>
      <c r="AI11" s="21">
        <v>-15072</v>
      </c>
      <c r="AJ11" s="21">
        <v>-15662</v>
      </c>
      <c r="AK11" s="21">
        <v>-17372</v>
      </c>
      <c r="AL11" s="21">
        <v>-17238</v>
      </c>
      <c r="AM11" s="21">
        <v>-15421</v>
      </c>
      <c r="AN11" s="21">
        <v>-15680</v>
      </c>
      <c r="AO11" s="21">
        <v>-16809</v>
      </c>
      <c r="AP11" s="2">
        <v>-19007</v>
      </c>
      <c r="AQ11" s="2">
        <v>-17351</v>
      </c>
      <c r="AR11" s="2">
        <v>-19380</v>
      </c>
      <c r="AS11" s="2">
        <v>-16505</v>
      </c>
      <c r="AT11" s="2">
        <v>-19861</v>
      </c>
      <c r="AU11" s="21">
        <v>-18988</v>
      </c>
      <c r="AV11" s="21">
        <f>-37892-AU11</f>
        <v>-18904</v>
      </c>
      <c r="AW11" s="21">
        <f>-56567-AV11-AU11</f>
        <v>-18675</v>
      </c>
      <c r="AX11" s="21">
        <v>-17835</v>
      </c>
      <c r="AY11" s="21">
        <f>-23383+4382</f>
        <v>-19001</v>
      </c>
      <c r="AZ11" s="90">
        <v>-16701</v>
      </c>
      <c r="BA11" s="90">
        <f>-52589-AY11-AZ11</f>
        <v>-16887</v>
      </c>
      <c r="BB11" s="90">
        <f>-72853-AY11-AZ11-BA11</f>
        <v>-20264</v>
      </c>
      <c r="BC11" s="90">
        <f>-31745+13740</f>
        <v>-18005</v>
      </c>
      <c r="BD11" s="90">
        <f>-35746-BC11</f>
        <v>-17741</v>
      </c>
      <c r="BE11" s="90">
        <f>-54889-BC11-BD11</f>
        <v>-19143</v>
      </c>
      <c r="BF11" s="90">
        <v>-19534</v>
      </c>
      <c r="BG11" s="90">
        <v>-18718</v>
      </c>
      <c r="BH11" s="90">
        <v>-22536</v>
      </c>
      <c r="BI11" s="90">
        <f>-65710-BG11-BH11</f>
        <v>-24456</v>
      </c>
      <c r="BJ11" s="90">
        <f>-117799-BH11-BI11-BG11</f>
        <v>-52089</v>
      </c>
      <c r="BK11" s="90">
        <v>-27194</v>
      </c>
      <c r="BL11" s="90">
        <f>-56301-BK11</f>
        <v>-29107</v>
      </c>
      <c r="BM11" s="90">
        <v>-29676</v>
      </c>
      <c r="BN11" s="90">
        <v>-34363</v>
      </c>
      <c r="BO11" s="90">
        <v>-31245</v>
      </c>
      <c r="BP11" s="90">
        <v>-26621</v>
      </c>
      <c r="BQ11" s="90">
        <v>-39178</v>
      </c>
      <c r="BR11" s="21">
        <v>-30786</v>
      </c>
      <c r="BS11" s="21">
        <v>-33450</v>
      </c>
      <c r="BT11" s="21">
        <v>-32639</v>
      </c>
      <c r="BU11" s="21">
        <v>-35765</v>
      </c>
      <c r="BV11" s="16"/>
      <c r="BW11" s="2">
        <f t="shared" si="0"/>
        <v>-49404</v>
      </c>
      <c r="BX11" s="2">
        <f t="shared" si="1"/>
        <v>-34762</v>
      </c>
      <c r="BY11" s="2">
        <f t="shared" si="2"/>
        <v>-24623</v>
      </c>
      <c r="BZ11" s="2">
        <f t="shared" si="3"/>
        <v>-30485</v>
      </c>
      <c r="CA11" s="2">
        <f t="shared" si="4"/>
        <v>-35457</v>
      </c>
      <c r="CB11" s="2">
        <f t="shared" si="5"/>
        <v>-44203</v>
      </c>
      <c r="CC11" s="2">
        <f t="shared" si="6"/>
        <v>-52465</v>
      </c>
      <c r="CD11" s="2">
        <f t="shared" si="7"/>
        <v>-59310</v>
      </c>
      <c r="CE11" s="2">
        <f t="shared" si="8"/>
        <v>-65344</v>
      </c>
      <c r="CF11" s="2">
        <f t="shared" si="9"/>
        <v>-66917</v>
      </c>
      <c r="CG11" s="2">
        <f t="shared" si="10"/>
        <v>-73097</v>
      </c>
      <c r="CH11" s="2">
        <f t="shared" si="11"/>
        <v>-74402</v>
      </c>
      <c r="CI11" s="2">
        <f t="shared" si="12"/>
        <v>-72853</v>
      </c>
      <c r="CJ11" s="2">
        <f t="shared" si="13"/>
        <v>-74423</v>
      </c>
      <c r="CK11" s="90">
        <f t="shared" si="15"/>
        <v>-117799</v>
      </c>
      <c r="CL11" s="2">
        <f t="shared" si="14"/>
        <v>-127830</v>
      </c>
      <c r="CM11" s="21">
        <f t="shared" si="34"/>
        <v>-101854</v>
      </c>
    </row>
    <row r="12" spans="2:91">
      <c r="B12" t="s">
        <v>140</v>
      </c>
      <c r="C12" s="2">
        <v>-893</v>
      </c>
      <c r="D12" s="2">
        <v>-1207</v>
      </c>
      <c r="E12" s="2">
        <v>-1192</v>
      </c>
      <c r="F12" s="2">
        <v>-4281</v>
      </c>
      <c r="G12" s="2">
        <v>-1040</v>
      </c>
      <c r="H12" s="2">
        <v>-1181</v>
      </c>
      <c r="I12" s="2">
        <v>-1204</v>
      </c>
      <c r="J12" s="2">
        <v>-5232</v>
      </c>
      <c r="K12" s="2">
        <v>-1248</v>
      </c>
      <c r="L12" s="2">
        <v>-1360</v>
      </c>
      <c r="M12" s="2">
        <v>-1349</v>
      </c>
      <c r="N12" s="2">
        <v>-5928</v>
      </c>
      <c r="O12" s="2">
        <v>-1344</v>
      </c>
      <c r="P12" s="2">
        <v>-1713</v>
      </c>
      <c r="Q12" s="2">
        <v>-1831</v>
      </c>
      <c r="R12" s="2">
        <v>-6976</v>
      </c>
      <c r="S12" s="2">
        <v>-1790</v>
      </c>
      <c r="T12" s="2">
        <v>-1827</v>
      </c>
      <c r="U12" s="2">
        <v>-1797</v>
      </c>
      <c r="V12" s="2">
        <v>-7418</v>
      </c>
      <c r="W12" s="2">
        <v>-1740</v>
      </c>
      <c r="X12" s="2">
        <v>-2092</v>
      </c>
      <c r="Y12" s="2">
        <v>-1953</v>
      </c>
      <c r="Z12" s="2">
        <v>-7919</v>
      </c>
      <c r="AA12" s="2">
        <v>-1842</v>
      </c>
      <c r="AB12" s="2">
        <v>-2075</v>
      </c>
      <c r="AC12" s="2">
        <v>-1972</v>
      </c>
      <c r="AD12" s="2">
        <v>-8284</v>
      </c>
      <c r="AE12" s="2">
        <v>-3384</v>
      </c>
      <c r="AF12" s="21">
        <v>-3932</v>
      </c>
      <c r="AG12" s="21">
        <v>-3529</v>
      </c>
      <c r="AH12" s="21">
        <v>-4975</v>
      </c>
      <c r="AI12" s="21">
        <f>-2678-1557</f>
        <v>-4235</v>
      </c>
      <c r="AJ12" s="21">
        <v>-1118</v>
      </c>
      <c r="AK12" s="21">
        <v>-2618</v>
      </c>
      <c r="AL12" s="21">
        <v>-8825</v>
      </c>
      <c r="AM12" s="21">
        <f>-4600</f>
        <v>-4600</v>
      </c>
      <c r="AN12" s="21">
        <v>-5088</v>
      </c>
      <c r="AO12" s="21">
        <v>-5089</v>
      </c>
      <c r="AP12" s="2">
        <v>-5938</v>
      </c>
      <c r="AQ12" s="2">
        <v>-5686</v>
      </c>
      <c r="AR12" s="2">
        <v>-6606</v>
      </c>
      <c r="AS12" s="2">
        <f>-19230-AQ12-AR12</f>
        <v>-6938</v>
      </c>
      <c r="AT12" s="2">
        <v>1985</v>
      </c>
      <c r="AU12" s="21">
        <v>-6772</v>
      </c>
      <c r="AV12" s="21">
        <f>-14553-AU12</f>
        <v>-7781</v>
      </c>
      <c r="AW12" s="21">
        <f>-22001-AV12-AU12</f>
        <v>-7448</v>
      </c>
      <c r="AX12" s="21">
        <v>-8071</v>
      </c>
      <c r="AY12" s="21">
        <v>-4382</v>
      </c>
      <c r="AZ12" s="90">
        <v>-7008</v>
      </c>
      <c r="BA12" s="90">
        <f>-17804-AY12-AZ12</f>
        <v>-6414</v>
      </c>
      <c r="BB12" s="90">
        <f>-28211-AY12-AZ12-BA12</f>
        <v>-10407</v>
      </c>
      <c r="BC12" s="93">
        <v>-7768</v>
      </c>
      <c r="BD12" s="90">
        <f>-15497-BC12</f>
        <v>-7729</v>
      </c>
      <c r="BE12" s="90">
        <f>-23484-BC12-BD12</f>
        <v>-7987</v>
      </c>
      <c r="BF12" s="90">
        <f>-33044-BC12-BD12-BE12</f>
        <v>-9560</v>
      </c>
      <c r="BG12" s="90">
        <v>-8002</v>
      </c>
      <c r="BH12" s="90">
        <f>-17845-BG12</f>
        <v>-9843</v>
      </c>
      <c r="BI12" s="90">
        <f>-27133-BG12-BH12</f>
        <v>-9288</v>
      </c>
      <c r="BJ12" s="90">
        <f>-38467-BH12-BI12-BG12</f>
        <v>-11334</v>
      </c>
      <c r="BK12" s="90">
        <v>-10190</v>
      </c>
      <c r="BL12" s="90">
        <f>-21194-BK12</f>
        <v>-11004</v>
      </c>
      <c r="BM12" s="90">
        <f>-32193-BK12-BL12</f>
        <v>-10999</v>
      </c>
      <c r="BN12" s="90">
        <v>-13097</v>
      </c>
      <c r="BO12" s="90">
        <v>-11217</v>
      </c>
      <c r="BP12" s="90">
        <v>-14748</v>
      </c>
      <c r="BQ12" s="90">
        <f>-37791-BO12-BP12</f>
        <v>-11826</v>
      </c>
      <c r="BR12" s="21">
        <v>-14370</v>
      </c>
      <c r="BS12" s="21">
        <v>-9976</v>
      </c>
      <c r="BT12" s="21">
        <v>-13156</v>
      </c>
      <c r="BU12" s="21">
        <v>-13104</v>
      </c>
      <c r="BV12" s="112"/>
      <c r="BW12" s="90">
        <f t="shared" si="0"/>
        <v>-7573</v>
      </c>
      <c r="BX12" s="90">
        <f t="shared" si="1"/>
        <v>-8657</v>
      </c>
      <c r="BY12" s="90">
        <f t="shared" si="2"/>
        <v>-9885</v>
      </c>
      <c r="BZ12" s="90">
        <f t="shared" si="3"/>
        <v>-11864</v>
      </c>
      <c r="CA12" s="90">
        <f t="shared" si="4"/>
        <v>-12832</v>
      </c>
      <c r="CB12" s="90">
        <f t="shared" si="5"/>
        <v>-13704</v>
      </c>
      <c r="CC12" s="90">
        <f t="shared" si="6"/>
        <v>-14173</v>
      </c>
      <c r="CD12" s="90">
        <f t="shared" si="7"/>
        <v>-15820</v>
      </c>
      <c r="CE12" s="90">
        <f t="shared" si="8"/>
        <v>-16796</v>
      </c>
      <c r="CF12" s="90">
        <f t="shared" si="9"/>
        <v>-20715</v>
      </c>
      <c r="CG12" s="90">
        <f t="shared" si="10"/>
        <v>-17245</v>
      </c>
      <c r="CH12" s="90">
        <f t="shared" si="11"/>
        <v>-30072</v>
      </c>
      <c r="CI12" s="90">
        <f t="shared" si="12"/>
        <v>-28211</v>
      </c>
      <c r="CJ12" s="90">
        <f t="shared" si="13"/>
        <v>-33044</v>
      </c>
      <c r="CK12" s="90">
        <f t="shared" si="15"/>
        <v>-38467</v>
      </c>
      <c r="CL12" s="2">
        <f t="shared" si="14"/>
        <v>-52161</v>
      </c>
      <c r="CM12" s="21">
        <f t="shared" si="34"/>
        <v>-36236</v>
      </c>
    </row>
    <row r="13" spans="2:91">
      <c r="B13" t="s">
        <v>217</v>
      </c>
      <c r="C13" s="2">
        <v>-3818</v>
      </c>
      <c r="D13" s="2">
        <v>-3682</v>
      </c>
      <c r="E13" s="2">
        <v>-3801</v>
      </c>
      <c r="F13" s="2">
        <v>-6125</v>
      </c>
      <c r="G13" s="2">
        <v>0</v>
      </c>
      <c r="H13" s="2">
        <v>0</v>
      </c>
      <c r="I13" s="2">
        <v>0</v>
      </c>
      <c r="J13" s="2">
        <v>-3321</v>
      </c>
      <c r="K13" s="2">
        <v>-920</v>
      </c>
      <c r="L13" s="2">
        <v>0</v>
      </c>
      <c r="M13" s="2">
        <v>-1950</v>
      </c>
      <c r="N13" s="2">
        <v>-8422</v>
      </c>
      <c r="O13" s="2">
        <v>-1833</v>
      </c>
      <c r="P13" s="2">
        <v>-1408</v>
      </c>
      <c r="Q13" s="2">
        <v>-2872</v>
      </c>
      <c r="R13" s="2">
        <v>-1961</v>
      </c>
      <c r="S13" s="2">
        <v>-1074</v>
      </c>
      <c r="T13" s="2">
        <v>-1111</v>
      </c>
      <c r="U13" s="2">
        <v>-1575</v>
      </c>
      <c r="V13" s="2">
        <v>-4099</v>
      </c>
      <c r="W13" s="2">
        <v>-528</v>
      </c>
      <c r="X13" s="2">
        <v>-1554</v>
      </c>
      <c r="Y13" s="2">
        <v>-1672</v>
      </c>
      <c r="Z13" s="2">
        <f>-2354</f>
        <v>-2354</v>
      </c>
      <c r="AA13" s="2">
        <v>-2111</v>
      </c>
      <c r="AB13" s="2">
        <v>-2169</v>
      </c>
      <c r="AC13" s="2">
        <v>-1538</v>
      </c>
      <c r="AD13" s="2">
        <v>-1486</v>
      </c>
      <c r="AE13" s="2">
        <v>-2620</v>
      </c>
      <c r="AF13" s="21">
        <v>-6059</v>
      </c>
      <c r="AG13" s="21">
        <v>-3259</v>
      </c>
      <c r="AH13" s="21">
        <v>-2966</v>
      </c>
      <c r="AI13" s="21">
        <f>-2578+1557</f>
        <v>-1021</v>
      </c>
      <c r="AJ13" s="21">
        <v>1021</v>
      </c>
      <c r="AK13" s="21">
        <v>0</v>
      </c>
      <c r="AL13" s="21">
        <v>-6231</v>
      </c>
      <c r="AM13" s="21">
        <f>-6153</f>
        <v>-6153</v>
      </c>
      <c r="AN13" s="21">
        <v>-4935</v>
      </c>
      <c r="AO13" s="21">
        <v>-4965</v>
      </c>
      <c r="AP13" s="2">
        <v>-14911</v>
      </c>
      <c r="AQ13" s="2">
        <v>-6455</v>
      </c>
      <c r="AR13" s="2">
        <v>-7699</v>
      </c>
      <c r="AS13" s="2">
        <v>-14997</v>
      </c>
      <c r="AT13" s="2">
        <v>-16430</v>
      </c>
      <c r="AU13" s="21">
        <v>-4773</v>
      </c>
      <c r="AV13" s="21">
        <f>-8197-AU13</f>
        <v>-3424</v>
      </c>
      <c r="AW13" s="21">
        <f>-22627-AV13-AU13</f>
        <v>-14430</v>
      </c>
      <c r="AX13" s="21">
        <v>-310</v>
      </c>
      <c r="AY13" s="21">
        <v>0</v>
      </c>
      <c r="AZ13" s="90">
        <v>-2282</v>
      </c>
      <c r="BA13" s="90">
        <f>-3559-AY13-AZ13</f>
        <v>-1277</v>
      </c>
      <c r="BB13" s="90">
        <f>-8018-AY13-AZ13-BA13</f>
        <v>-4459</v>
      </c>
      <c r="BC13" s="93">
        <v>-5972</v>
      </c>
      <c r="BD13" s="90">
        <f>-17698-BC13</f>
        <v>-11726</v>
      </c>
      <c r="BE13" s="90">
        <f>-40926-BC13-BD13</f>
        <v>-23228</v>
      </c>
      <c r="BF13" s="90">
        <f>-68652-BC13-BD13-BE13</f>
        <v>-27726</v>
      </c>
      <c r="BG13" s="90">
        <v>-26627</v>
      </c>
      <c r="BH13" s="90">
        <f>-52153-BG13</f>
        <v>-25526</v>
      </c>
      <c r="BI13" s="90">
        <f>-52153-BG13-BH13</f>
        <v>0</v>
      </c>
      <c r="BJ13" s="90">
        <f>-61148-BH13-BI13-BG13</f>
        <v>-8995</v>
      </c>
      <c r="BK13" s="90">
        <v>-14878</v>
      </c>
      <c r="BL13" s="90">
        <f>-29039-BK13</f>
        <v>-14161</v>
      </c>
      <c r="BM13" s="90">
        <f>-37806-BK13-BL13</f>
        <v>-8767</v>
      </c>
      <c r="BN13" s="90">
        <v>-6595</v>
      </c>
      <c r="BO13" s="90">
        <v>-5002</v>
      </c>
      <c r="BP13" s="90">
        <v>-6839</v>
      </c>
      <c r="BQ13" s="90">
        <f>-23842-BO13-BP13</f>
        <v>-12001</v>
      </c>
      <c r="BR13" s="21">
        <v>-14390</v>
      </c>
      <c r="BS13" s="21">
        <v>-2975</v>
      </c>
      <c r="BT13" s="21">
        <v>-2303</v>
      </c>
      <c r="BU13" s="21">
        <v>-5489</v>
      </c>
      <c r="BV13" s="112"/>
      <c r="BW13" s="90">
        <f t="shared" si="0"/>
        <v>-17426</v>
      </c>
      <c r="BX13" s="90">
        <f t="shared" si="1"/>
        <v>-3321</v>
      </c>
      <c r="BY13" s="90">
        <f t="shared" si="2"/>
        <v>-11292</v>
      </c>
      <c r="BZ13" s="90">
        <f t="shared" si="3"/>
        <v>-8074</v>
      </c>
      <c r="CA13" s="90">
        <f t="shared" si="4"/>
        <v>-7859</v>
      </c>
      <c r="CB13" s="90">
        <f t="shared" si="5"/>
        <v>-6108</v>
      </c>
      <c r="CC13" s="90">
        <f t="shared" si="6"/>
        <v>-7304</v>
      </c>
      <c r="CD13" s="90">
        <f t="shared" si="7"/>
        <v>-14904</v>
      </c>
      <c r="CE13" s="90">
        <f t="shared" si="8"/>
        <v>-6231</v>
      </c>
      <c r="CF13" s="90">
        <f t="shared" si="9"/>
        <v>-30964</v>
      </c>
      <c r="CG13" s="90">
        <f t="shared" si="10"/>
        <v>-45581</v>
      </c>
      <c r="CH13" s="90">
        <f t="shared" si="11"/>
        <v>-22937</v>
      </c>
      <c r="CI13" s="90">
        <f t="shared" si="12"/>
        <v>-8018</v>
      </c>
      <c r="CJ13" s="90">
        <f t="shared" si="13"/>
        <v>-68652</v>
      </c>
      <c r="CK13" s="90">
        <f t="shared" si="15"/>
        <v>-61148</v>
      </c>
      <c r="CL13" s="2">
        <f t="shared" si="14"/>
        <v>-38232</v>
      </c>
      <c r="CM13" s="21">
        <f t="shared" si="34"/>
        <v>-10767</v>
      </c>
    </row>
    <row r="14" spans="2:91" ht="15.75" thickBot="1">
      <c r="B14" t="s">
        <v>70</v>
      </c>
      <c r="C14" s="2">
        <v>-1755</v>
      </c>
      <c r="D14" s="2">
        <v>-4202</v>
      </c>
      <c r="E14" s="2">
        <v>-1327</v>
      </c>
      <c r="F14" s="2">
        <v>-3526</v>
      </c>
      <c r="G14" s="2">
        <v>-453</v>
      </c>
      <c r="H14" s="2">
        <v>3143</v>
      </c>
      <c r="I14" s="2">
        <v>140</v>
      </c>
      <c r="J14" s="2">
        <v>5997</v>
      </c>
      <c r="K14" s="2">
        <v>-828</v>
      </c>
      <c r="L14" s="2">
        <v>-4800</v>
      </c>
      <c r="M14" s="2">
        <v>-6275</v>
      </c>
      <c r="N14" s="2">
        <v>-112</v>
      </c>
      <c r="O14" s="2">
        <v>2857</v>
      </c>
      <c r="P14" s="2">
        <v>-3056</v>
      </c>
      <c r="Q14" s="2">
        <v>-6275</v>
      </c>
      <c r="R14" s="2">
        <v>-4213</v>
      </c>
      <c r="S14" s="2">
        <v>-5429</v>
      </c>
      <c r="T14" s="2">
        <v>-7148</v>
      </c>
      <c r="U14" s="2">
        <v>358</v>
      </c>
      <c r="V14" s="2">
        <v>-5962</v>
      </c>
      <c r="W14" s="2">
        <v>2946</v>
      </c>
      <c r="X14" s="2">
        <v>-5646</v>
      </c>
      <c r="Y14" s="2">
        <v>-6721</v>
      </c>
      <c r="Z14" s="2">
        <v>-618</v>
      </c>
      <c r="AA14" s="2">
        <v>-1379</v>
      </c>
      <c r="AB14" s="2">
        <v>-11097</v>
      </c>
      <c r="AC14" s="2">
        <v>-4947</v>
      </c>
      <c r="AD14" s="2">
        <v>-6929</v>
      </c>
      <c r="AE14" s="2">
        <v>-2978</v>
      </c>
      <c r="AF14" s="2">
        <v>-3663</v>
      </c>
      <c r="AG14" s="2">
        <v>-3970</v>
      </c>
      <c r="AH14" s="2">
        <v>-27193</v>
      </c>
      <c r="AI14" s="2">
        <v>-11026</v>
      </c>
      <c r="AJ14" s="2">
        <v>-15172</v>
      </c>
      <c r="AK14" s="2">
        <v>-18237</v>
      </c>
      <c r="AL14" s="2">
        <v>-14462</v>
      </c>
      <c r="AM14" s="2">
        <v>-6303</v>
      </c>
      <c r="AN14" s="2">
        <v>-1202</v>
      </c>
      <c r="AO14" s="2">
        <v>1144</v>
      </c>
      <c r="AP14" s="2">
        <v>1593</v>
      </c>
      <c r="AQ14" s="2">
        <v>-5108</v>
      </c>
      <c r="AR14" s="2">
        <v>-1112</v>
      </c>
      <c r="AS14" s="2">
        <f>115289-49247-AQ14-AR14</f>
        <v>72262</v>
      </c>
      <c r="AT14" s="2">
        <v>-26382</v>
      </c>
      <c r="AU14" s="2">
        <v>-8421</v>
      </c>
      <c r="AV14" s="2">
        <f>-15886-AU14</f>
        <v>-7465</v>
      </c>
      <c r="AW14" s="21">
        <f>152359-69571-AV14-AU14</f>
        <v>98674</v>
      </c>
      <c r="AX14" s="21">
        <v>-20924</v>
      </c>
      <c r="AY14" s="21">
        <v>-10053</v>
      </c>
      <c r="AZ14" s="90">
        <v>-11032</v>
      </c>
      <c r="BA14" s="90">
        <v>-4559</v>
      </c>
      <c r="BB14" s="90">
        <f>-35779-AY14-AZ14-BA14</f>
        <v>-10135</v>
      </c>
      <c r="BC14" s="90">
        <v>-10954</v>
      </c>
      <c r="BD14" s="90">
        <f>-15527-BC14</f>
        <v>-4573</v>
      </c>
      <c r="BE14" s="90">
        <f>-25320-BC14-BD14</f>
        <v>-9793</v>
      </c>
      <c r="BF14" s="90">
        <v>-12509</v>
      </c>
      <c r="BG14" s="90">
        <v>10706</v>
      </c>
      <c r="BH14" s="90">
        <v>-16839</v>
      </c>
      <c r="BI14" s="90">
        <v>-20743</v>
      </c>
      <c r="BJ14" s="90">
        <f>-57463-BH14-BI14-BG14</f>
        <v>-30587</v>
      </c>
      <c r="BK14" s="90">
        <v>-21149</v>
      </c>
      <c r="BL14" s="90">
        <f>4153-35209-BK14</f>
        <v>-9907</v>
      </c>
      <c r="BM14" s="90">
        <v>-10609</v>
      </c>
      <c r="BN14" s="90">
        <v>-30859</v>
      </c>
      <c r="BO14" s="90">
        <v>-10848</v>
      </c>
      <c r="BP14" s="90">
        <v>-17042</v>
      </c>
      <c r="BQ14" s="90">
        <v>-945</v>
      </c>
      <c r="BR14" s="21">
        <v>-30670</v>
      </c>
      <c r="BS14" s="21">
        <f>10060-29790</f>
        <v>-19730</v>
      </c>
      <c r="BT14" s="21">
        <v>-28187</v>
      </c>
      <c r="BU14" s="21">
        <v>-22565</v>
      </c>
      <c r="BV14" s="15"/>
      <c r="BW14" s="2">
        <f t="shared" si="0"/>
        <v>-10810</v>
      </c>
      <c r="BX14" s="2">
        <f t="shared" si="1"/>
        <v>8827</v>
      </c>
      <c r="BY14" s="2">
        <f t="shared" si="2"/>
        <v>-12015</v>
      </c>
      <c r="BZ14" s="2">
        <f t="shared" si="3"/>
        <v>-10687</v>
      </c>
      <c r="CA14" s="2">
        <f t="shared" si="4"/>
        <v>-18181</v>
      </c>
      <c r="CB14" s="2">
        <f t="shared" si="5"/>
        <v>-10039</v>
      </c>
      <c r="CC14" s="2">
        <f t="shared" si="6"/>
        <v>-24352</v>
      </c>
      <c r="CD14" s="2">
        <f t="shared" si="7"/>
        <v>-37804</v>
      </c>
      <c r="CE14" s="2">
        <f t="shared" si="8"/>
        <v>-58897</v>
      </c>
      <c r="CF14" s="2">
        <f t="shared" si="9"/>
        <v>-4768</v>
      </c>
      <c r="CG14" s="2">
        <f t="shared" si="10"/>
        <v>39660</v>
      </c>
      <c r="CH14" s="2">
        <f t="shared" si="11"/>
        <v>61864</v>
      </c>
      <c r="CI14" s="2">
        <f t="shared" si="12"/>
        <v>-35779</v>
      </c>
      <c r="CJ14" s="2">
        <f t="shared" si="13"/>
        <v>-37829</v>
      </c>
      <c r="CK14" s="2">
        <f t="shared" si="15"/>
        <v>-57463</v>
      </c>
      <c r="CL14" s="2">
        <f t="shared" si="14"/>
        <v>-59505</v>
      </c>
      <c r="CM14" s="21">
        <f t="shared" si="34"/>
        <v>-70482</v>
      </c>
    </row>
    <row r="15" spans="2:91" ht="15.75" thickBot="1">
      <c r="B15" s="9" t="s">
        <v>18</v>
      </c>
      <c r="C15" s="9">
        <f t="shared" ref="C15:AB15" si="35">SUM(C9:C14)</f>
        <v>46466</v>
      </c>
      <c r="D15" s="9">
        <f t="shared" si="35"/>
        <v>129634</v>
      </c>
      <c r="E15" s="9">
        <f t="shared" si="35"/>
        <v>121243</v>
      </c>
      <c r="F15" s="9">
        <f t="shared" si="35"/>
        <v>64912</v>
      </c>
      <c r="G15" s="9">
        <f t="shared" si="35"/>
        <v>18060</v>
      </c>
      <c r="H15" s="9">
        <f t="shared" si="35"/>
        <v>-590</v>
      </c>
      <c r="I15" s="9">
        <f t="shared" si="35"/>
        <v>-9908</v>
      </c>
      <c r="J15" s="9">
        <f t="shared" si="35"/>
        <v>-8257</v>
      </c>
      <c r="K15" s="9">
        <f t="shared" si="35"/>
        <v>16174</v>
      </c>
      <c r="L15" s="9">
        <f t="shared" si="35"/>
        <v>49617</v>
      </c>
      <c r="M15" s="9">
        <f t="shared" si="35"/>
        <v>35632</v>
      </c>
      <c r="N15" s="9">
        <f t="shared" si="35"/>
        <v>24533</v>
      </c>
      <c r="O15" s="9">
        <f t="shared" si="35"/>
        <v>34640</v>
      </c>
      <c r="P15" s="9">
        <f t="shared" si="35"/>
        <v>21746</v>
      </c>
      <c r="Q15" s="9">
        <f t="shared" si="35"/>
        <v>6164</v>
      </c>
      <c r="R15" s="9">
        <f t="shared" si="35"/>
        <v>-223</v>
      </c>
      <c r="S15" s="9">
        <f t="shared" si="35"/>
        <v>16654</v>
      </c>
      <c r="T15" s="9">
        <f t="shared" si="35"/>
        <v>23113</v>
      </c>
      <c r="U15" s="9">
        <f t="shared" si="35"/>
        <v>29072</v>
      </c>
      <c r="V15" s="9">
        <f t="shared" si="35"/>
        <v>1129</v>
      </c>
      <c r="W15" s="9">
        <f t="shared" si="35"/>
        <v>10096</v>
      </c>
      <c r="X15" s="9">
        <f t="shared" si="35"/>
        <v>18976</v>
      </c>
      <c r="Y15" s="9">
        <f t="shared" si="35"/>
        <v>25484</v>
      </c>
      <c r="Z15" s="9">
        <f t="shared" si="35"/>
        <v>21910</v>
      </c>
      <c r="AA15" s="9">
        <f t="shared" si="35"/>
        <v>28062</v>
      </c>
      <c r="AB15" s="9">
        <f t="shared" si="35"/>
        <v>29263</v>
      </c>
      <c r="AC15" s="9">
        <f t="shared" ref="AC15:AD15" si="36">SUM(AC9:AC14)</f>
        <v>12020</v>
      </c>
      <c r="AD15" s="9">
        <f t="shared" si="36"/>
        <v>4941</v>
      </c>
      <c r="AE15" s="9">
        <f t="shared" ref="AE15:AF15" si="37">SUM(AE9:AE14)</f>
        <v>49496</v>
      </c>
      <c r="AF15" s="9">
        <f t="shared" si="37"/>
        <v>77239</v>
      </c>
      <c r="AG15" s="9">
        <f t="shared" ref="AG15:AI15" si="38">SUM(AG9:AG14)</f>
        <v>64311</v>
      </c>
      <c r="AH15" s="9">
        <f t="shared" si="38"/>
        <v>24641</v>
      </c>
      <c r="AI15" s="9">
        <f t="shared" si="38"/>
        <v>35716</v>
      </c>
      <c r="AJ15" s="9">
        <f t="shared" ref="AJ15:AK15" si="39">SUM(AJ9:AJ14)</f>
        <v>-33468</v>
      </c>
      <c r="AK15" s="9">
        <f t="shared" si="39"/>
        <v>-31864</v>
      </c>
      <c r="AL15" s="9">
        <f t="shared" ref="AL15:AO15" si="40">SUM(AL9:AL14)</f>
        <v>34430</v>
      </c>
      <c r="AM15" s="9">
        <f t="shared" si="40"/>
        <v>80331</v>
      </c>
      <c r="AN15" s="9">
        <f t="shared" si="40"/>
        <v>60912</v>
      </c>
      <c r="AO15" s="9">
        <f t="shared" si="40"/>
        <v>40378</v>
      </c>
      <c r="AP15" s="9">
        <f t="shared" ref="AP15:AR15" si="41">SUM(AP9:AP14)</f>
        <v>64393</v>
      </c>
      <c r="AQ15" s="9">
        <f>SUM(AQ9:AQ14)</f>
        <v>73399</v>
      </c>
      <c r="AR15" s="9">
        <f t="shared" si="41"/>
        <v>91884</v>
      </c>
      <c r="AS15" s="9">
        <f t="shared" ref="AS15:AT15" si="42">SUM(AS9:AS14)</f>
        <v>192131</v>
      </c>
      <c r="AT15" s="9">
        <f t="shared" si="42"/>
        <v>18160</v>
      </c>
      <c r="AU15" s="9">
        <f t="shared" ref="AU15:AV15" si="43">SUM(AU9:AU14)</f>
        <v>53860</v>
      </c>
      <c r="AV15" s="9">
        <f t="shared" si="43"/>
        <v>34603</v>
      </c>
      <c r="AW15" s="9">
        <f t="shared" ref="AW15:AY15" si="44">SUM(AW9:AW14)</f>
        <v>96190</v>
      </c>
      <c r="AX15" s="89">
        <f t="shared" si="44"/>
        <v>-5411</v>
      </c>
      <c r="AY15" s="89">
        <f t="shared" si="44"/>
        <v>30599</v>
      </c>
      <c r="AZ15" s="9">
        <f t="shared" ref="AZ15:BA15" si="45">SUM(AZ9:AZ14)</f>
        <v>89602</v>
      </c>
      <c r="BA15" s="9">
        <f t="shared" si="45"/>
        <v>78762</v>
      </c>
      <c r="BB15" s="9">
        <f t="shared" ref="BB15:BC15" si="46">SUM(BB9:BB14)</f>
        <v>79934</v>
      </c>
      <c r="BC15" s="9">
        <f t="shared" si="46"/>
        <v>119235</v>
      </c>
      <c r="BD15" s="9">
        <f t="shared" ref="BD15:BE15" si="47">SUM(BD9:BD14)</f>
        <v>168822</v>
      </c>
      <c r="BE15" s="89">
        <f t="shared" si="47"/>
        <v>227145</v>
      </c>
      <c r="BF15" s="89">
        <f t="shared" ref="BF15:BG15" si="48">SUM(BF9:BF14)</f>
        <v>285640</v>
      </c>
      <c r="BG15" s="89">
        <f t="shared" si="48"/>
        <v>313870</v>
      </c>
      <c r="BH15" s="89">
        <f t="shared" ref="BH15:BI15" si="49">SUM(BH9:BH14)</f>
        <v>408301</v>
      </c>
      <c r="BI15" s="89">
        <f t="shared" si="49"/>
        <v>291833</v>
      </c>
      <c r="BJ15" s="89">
        <f t="shared" ref="BJ15:BM15" si="50">SUM(BJ9:BJ14)</f>
        <v>146965</v>
      </c>
      <c r="BK15" s="89">
        <f t="shared" si="50"/>
        <v>141850</v>
      </c>
      <c r="BL15" s="89">
        <f t="shared" si="50"/>
        <v>97980</v>
      </c>
      <c r="BM15" s="89">
        <f t="shared" si="50"/>
        <v>47484</v>
      </c>
      <c r="BN15" s="89">
        <f t="shared" ref="BN15:BO15" si="51">SUM(BN9:BN14)</f>
        <v>16417</v>
      </c>
      <c r="BO15" s="89">
        <f t="shared" si="51"/>
        <v>34194</v>
      </c>
      <c r="BP15" s="89">
        <f t="shared" ref="BP15:BU15" si="52">SUM(BP9:BP14)</f>
        <v>48575</v>
      </c>
      <c r="BQ15" s="89">
        <f t="shared" si="52"/>
        <v>64540</v>
      </c>
      <c r="BR15" s="89">
        <f t="shared" si="52"/>
        <v>24620</v>
      </c>
      <c r="BS15" s="89">
        <f t="shared" si="52"/>
        <v>1024</v>
      </c>
      <c r="BT15" s="89">
        <f t="shared" si="52"/>
        <v>6038</v>
      </c>
      <c r="BU15" s="89">
        <f t="shared" si="52"/>
        <v>35642</v>
      </c>
      <c r="BW15" s="9">
        <f t="shared" si="0"/>
        <v>362255</v>
      </c>
      <c r="BX15" s="9">
        <f t="shared" si="1"/>
        <v>-695</v>
      </c>
      <c r="BY15" s="9">
        <f t="shared" si="2"/>
        <v>125956</v>
      </c>
      <c r="BZ15" s="9">
        <f t="shared" si="3"/>
        <v>62327</v>
      </c>
      <c r="CA15" s="9">
        <f t="shared" si="4"/>
        <v>69968</v>
      </c>
      <c r="CB15" s="9">
        <f t="shared" si="5"/>
        <v>76466</v>
      </c>
      <c r="CC15" s="9">
        <f t="shared" si="6"/>
        <v>74286</v>
      </c>
      <c r="CD15" s="9">
        <f t="shared" si="7"/>
        <v>215687</v>
      </c>
      <c r="CE15" s="12">
        <f t="shared" si="8"/>
        <v>4814</v>
      </c>
      <c r="CF15" s="12">
        <f t="shared" si="9"/>
        <v>246014</v>
      </c>
      <c r="CG15" s="12">
        <f t="shared" si="10"/>
        <v>375574</v>
      </c>
      <c r="CH15" s="12">
        <f t="shared" si="11"/>
        <v>179242</v>
      </c>
      <c r="CI15" s="12">
        <f t="shared" si="12"/>
        <v>278897</v>
      </c>
      <c r="CJ15" s="12">
        <f t="shared" si="13"/>
        <v>800842</v>
      </c>
      <c r="CK15" s="12">
        <f t="shared" si="15"/>
        <v>1160969</v>
      </c>
      <c r="CL15" s="12">
        <f t="shared" si="14"/>
        <v>171929</v>
      </c>
      <c r="CM15" s="12">
        <f>SUM(BS15:BU15)</f>
        <v>42704</v>
      </c>
    </row>
    <row r="16" spans="2:91">
      <c r="B16" t="s">
        <v>149</v>
      </c>
      <c r="C16" s="54">
        <f t="shared" ref="C16:AB16" si="53">SUM(C17:C18)</f>
        <v>4485</v>
      </c>
      <c r="D16" s="54">
        <f t="shared" si="53"/>
        <v>4785</v>
      </c>
      <c r="E16" s="54">
        <f t="shared" si="53"/>
        <v>12613</v>
      </c>
      <c r="F16" s="54">
        <f t="shared" si="53"/>
        <v>14773</v>
      </c>
      <c r="G16" s="54">
        <f t="shared" si="53"/>
        <v>9926</v>
      </c>
      <c r="H16" s="54">
        <f t="shared" si="53"/>
        <v>10546</v>
      </c>
      <c r="I16" s="54">
        <f t="shared" si="53"/>
        <v>8430</v>
      </c>
      <c r="J16" s="54">
        <f t="shared" si="53"/>
        <v>10860</v>
      </c>
      <c r="K16" s="54">
        <f t="shared" si="53"/>
        <v>7927</v>
      </c>
      <c r="L16" s="54">
        <f t="shared" si="53"/>
        <v>9543</v>
      </c>
      <c r="M16" s="54">
        <f t="shared" si="53"/>
        <v>12001</v>
      </c>
      <c r="N16" s="54">
        <f t="shared" si="53"/>
        <v>6367</v>
      </c>
      <c r="O16" s="54">
        <f t="shared" si="53"/>
        <v>10391</v>
      </c>
      <c r="P16" s="54">
        <f t="shared" si="53"/>
        <v>10990</v>
      </c>
      <c r="Q16" s="54">
        <f t="shared" si="53"/>
        <v>10525</v>
      </c>
      <c r="R16" s="54">
        <f t="shared" si="53"/>
        <v>14804</v>
      </c>
      <c r="S16" s="54">
        <f t="shared" si="53"/>
        <v>10329</v>
      </c>
      <c r="T16" s="54">
        <f t="shared" si="53"/>
        <v>6188</v>
      </c>
      <c r="U16" s="54">
        <f t="shared" si="53"/>
        <v>5733</v>
      </c>
      <c r="V16" s="54">
        <f t="shared" si="53"/>
        <v>5532</v>
      </c>
      <c r="W16" s="54">
        <f t="shared" si="53"/>
        <v>2638</v>
      </c>
      <c r="X16" s="54">
        <f t="shared" si="53"/>
        <v>4623</v>
      </c>
      <c r="Y16" s="54">
        <f t="shared" si="53"/>
        <v>2926</v>
      </c>
      <c r="Z16" s="54">
        <f t="shared" si="53"/>
        <v>6484</v>
      </c>
      <c r="AA16" s="54">
        <f t="shared" si="53"/>
        <v>4802</v>
      </c>
      <c r="AB16" s="54">
        <f t="shared" si="53"/>
        <v>6877</v>
      </c>
      <c r="AC16" s="54">
        <f t="shared" ref="AC16:AD16" si="54">SUM(AC17:AC18)</f>
        <v>9315</v>
      </c>
      <c r="AD16" s="54">
        <f t="shared" si="54"/>
        <v>8073</v>
      </c>
      <c r="AE16" s="54">
        <f t="shared" ref="AE16:AF16" si="55">SUM(AE17:AE18)</f>
        <v>-7762</v>
      </c>
      <c r="AF16" s="54">
        <f t="shared" si="55"/>
        <v>14345</v>
      </c>
      <c r="AG16" s="54">
        <f t="shared" ref="AG16:AI16" si="56">SUM(AG17:AG18)</f>
        <v>-28202</v>
      </c>
      <c r="AH16" s="54">
        <f t="shared" si="56"/>
        <v>-2681</v>
      </c>
      <c r="AI16" s="54">
        <f t="shared" si="56"/>
        <v>-14528</v>
      </c>
      <c r="AJ16" s="54">
        <f t="shared" ref="AJ16:AK16" si="57">SUM(AJ17:AJ18)</f>
        <v>3681</v>
      </c>
      <c r="AK16" s="54">
        <f t="shared" si="57"/>
        <v>22498</v>
      </c>
      <c r="AL16" s="54">
        <f t="shared" ref="AL16:AO16" si="58">SUM(AL17:AL18)</f>
        <v>25436</v>
      </c>
      <c r="AM16" s="54">
        <f t="shared" si="58"/>
        <v>22020</v>
      </c>
      <c r="AN16" s="54">
        <f t="shared" si="58"/>
        <v>16400</v>
      </c>
      <c r="AO16" s="54">
        <f t="shared" si="58"/>
        <v>16019</v>
      </c>
      <c r="AP16" s="54">
        <f t="shared" ref="AP16:AR16" si="59">SUM(AP17:AP18)</f>
        <v>8435</v>
      </c>
      <c r="AQ16" s="54">
        <f t="shared" si="59"/>
        <v>7660</v>
      </c>
      <c r="AR16" s="54">
        <f t="shared" si="59"/>
        <v>-4333</v>
      </c>
      <c r="AS16" s="54">
        <f t="shared" ref="AS16:AT16" si="60">SUM(AS17:AS18)</f>
        <v>-15822</v>
      </c>
      <c r="AT16" s="54">
        <f t="shared" si="60"/>
        <v>-13179</v>
      </c>
      <c r="AU16" s="54">
        <f t="shared" ref="AU16:AV16" si="61">SUM(AU17:AU18)</f>
        <v>1680</v>
      </c>
      <c r="AV16" s="54">
        <f t="shared" si="61"/>
        <v>-899</v>
      </c>
      <c r="AW16" s="80">
        <f t="shared" ref="AW16:AY16" si="62">SUM(AW17:AW18)</f>
        <v>83313</v>
      </c>
      <c r="AX16" s="80">
        <v>-7956</v>
      </c>
      <c r="AY16" s="80">
        <f t="shared" si="62"/>
        <v>-23188</v>
      </c>
      <c r="AZ16" s="80">
        <f t="shared" ref="AZ16:BA16" si="63">SUM(AZ17:AZ18)</f>
        <v>-62353</v>
      </c>
      <c r="BA16" s="80">
        <f t="shared" si="63"/>
        <v>-69362</v>
      </c>
      <c r="BB16" s="80">
        <f t="shared" ref="BB16:BC16" si="64">SUM(BB17:BB18)</f>
        <v>-52129</v>
      </c>
      <c r="BC16" s="80">
        <f t="shared" si="64"/>
        <v>-47805</v>
      </c>
      <c r="BD16" s="80">
        <f t="shared" ref="BD16:BE16" si="65">SUM(BD17:BD18)</f>
        <v>-36453</v>
      </c>
      <c r="BE16" s="80">
        <f t="shared" si="65"/>
        <v>-3694</v>
      </c>
      <c r="BF16" s="80">
        <f t="shared" ref="BF16:BG16" si="66">SUM(BF17:BF18)</f>
        <v>-11229</v>
      </c>
      <c r="BG16" s="80">
        <f t="shared" si="66"/>
        <v>-12738</v>
      </c>
      <c r="BH16" s="80">
        <f t="shared" ref="BH16:BI16" si="67">SUM(BH17:BH18)</f>
        <v>29666</v>
      </c>
      <c r="BI16" s="80">
        <f t="shared" si="67"/>
        <v>31356</v>
      </c>
      <c r="BJ16" s="80">
        <f t="shared" ref="BJ16:BM16" si="68">SUM(BJ17:BJ18)</f>
        <v>35109</v>
      </c>
      <c r="BK16" s="80">
        <f t="shared" si="68"/>
        <v>23256</v>
      </c>
      <c r="BL16" s="80">
        <f t="shared" si="68"/>
        <v>29505</v>
      </c>
      <c r="BM16" s="80">
        <f t="shared" si="68"/>
        <v>36225</v>
      </c>
      <c r="BN16" s="80">
        <f t="shared" ref="BN16:BO16" si="69">SUM(BN17:BN18)</f>
        <v>26920</v>
      </c>
      <c r="BO16" s="80">
        <f t="shared" si="69"/>
        <v>27706</v>
      </c>
      <c r="BP16" s="80">
        <f t="shared" ref="BP16:BU16" si="70">SUM(BP17:BP18)</f>
        <v>21474</v>
      </c>
      <c r="BQ16" s="80">
        <f t="shared" si="70"/>
        <v>25252</v>
      </c>
      <c r="BR16" s="80">
        <f t="shared" si="70"/>
        <v>73474</v>
      </c>
      <c r="BS16" s="80">
        <f t="shared" si="70"/>
        <v>38718</v>
      </c>
      <c r="BT16" s="80">
        <f t="shared" si="70"/>
        <v>23912</v>
      </c>
      <c r="BU16" s="80">
        <f t="shared" si="70"/>
        <v>23789</v>
      </c>
      <c r="BV16" s="80"/>
      <c r="BW16" s="2">
        <f t="shared" si="0"/>
        <v>36656</v>
      </c>
      <c r="BX16" s="2">
        <f t="shared" si="1"/>
        <v>39762</v>
      </c>
      <c r="BY16" s="2">
        <f t="shared" si="2"/>
        <v>35838</v>
      </c>
      <c r="BZ16" s="2">
        <f t="shared" si="3"/>
        <v>46710</v>
      </c>
      <c r="CA16" s="2">
        <f t="shared" si="4"/>
        <v>27782</v>
      </c>
      <c r="CB16" s="2">
        <f t="shared" si="5"/>
        <v>16671</v>
      </c>
      <c r="CC16" s="2">
        <f t="shared" si="6"/>
        <v>29067</v>
      </c>
      <c r="CD16" s="2">
        <f t="shared" si="7"/>
        <v>-24300</v>
      </c>
      <c r="CE16" s="2">
        <f t="shared" si="8"/>
        <v>37087</v>
      </c>
      <c r="CF16" s="2">
        <f t="shared" si="9"/>
        <v>62874</v>
      </c>
      <c r="CG16" s="2">
        <f t="shared" si="10"/>
        <v>-25674</v>
      </c>
      <c r="CH16" s="2">
        <f t="shared" si="11"/>
        <v>76138</v>
      </c>
      <c r="CI16" s="2">
        <f t="shared" si="12"/>
        <v>-207032</v>
      </c>
      <c r="CJ16" s="2">
        <f t="shared" si="13"/>
        <v>-99181</v>
      </c>
      <c r="CK16" s="2">
        <f t="shared" si="15"/>
        <v>83393</v>
      </c>
      <c r="CL16" s="54">
        <f t="shared" ref="CL16" si="71">SUM(BO16:BR16)</f>
        <v>147906</v>
      </c>
      <c r="CM16" s="54">
        <f>SUM(BS16:BU16)</f>
        <v>86419</v>
      </c>
    </row>
    <row r="17" spans="2:93">
      <c r="B17" s="3" t="s">
        <v>16</v>
      </c>
      <c r="C17" s="2">
        <v>5241</v>
      </c>
      <c r="D17" s="2">
        <v>6097</v>
      </c>
      <c r="E17" s="2">
        <v>12613</v>
      </c>
      <c r="F17" s="2">
        <v>15628</v>
      </c>
      <c r="G17" s="2">
        <v>10677</v>
      </c>
      <c r="H17" s="2">
        <v>10982</v>
      </c>
      <c r="I17" s="2">
        <v>10409</v>
      </c>
      <c r="J17" s="2">
        <v>11635</v>
      </c>
      <c r="K17" s="2">
        <v>8599</v>
      </c>
      <c r="L17" s="2">
        <v>10378</v>
      </c>
      <c r="M17" s="2">
        <v>12160</v>
      </c>
      <c r="N17" s="2">
        <v>10996</v>
      </c>
      <c r="O17" s="2">
        <v>10948</v>
      </c>
      <c r="P17" s="2">
        <v>10823</v>
      </c>
      <c r="Q17" s="2">
        <v>14904</v>
      </c>
      <c r="R17" s="2">
        <v>11198</v>
      </c>
      <c r="S17" s="2">
        <v>10522</v>
      </c>
      <c r="T17" s="2">
        <v>9195</v>
      </c>
      <c r="U17" s="2">
        <v>6586</v>
      </c>
      <c r="V17" s="2">
        <v>5714</v>
      </c>
      <c r="W17" s="2">
        <v>4256</v>
      </c>
      <c r="X17" s="2">
        <v>5902</v>
      </c>
      <c r="Y17" s="2">
        <v>5254</v>
      </c>
      <c r="Z17" s="2">
        <v>7134</v>
      </c>
      <c r="AA17" s="2">
        <v>6730</v>
      </c>
      <c r="AB17" s="2">
        <v>7696</v>
      </c>
      <c r="AC17" s="2">
        <v>9747</v>
      </c>
      <c r="AD17" s="2">
        <v>9492</v>
      </c>
      <c r="AE17" s="2">
        <v>10113</v>
      </c>
      <c r="AF17" s="2">
        <v>16815</v>
      </c>
      <c r="AG17" s="2">
        <v>2655</v>
      </c>
      <c r="AH17" s="2">
        <v>6776</v>
      </c>
      <c r="AI17" s="2">
        <v>6441</v>
      </c>
      <c r="AJ17" s="2">
        <v>13842</v>
      </c>
      <c r="AK17" s="2">
        <v>8847</v>
      </c>
      <c r="AL17" s="2">
        <v>20384</v>
      </c>
      <c r="AM17" s="2">
        <v>26516</v>
      </c>
      <c r="AN17" s="2">
        <v>18493</v>
      </c>
      <c r="AO17" s="2">
        <v>18277</v>
      </c>
      <c r="AP17" s="2">
        <v>12366</v>
      </c>
      <c r="AQ17" s="2">
        <f>9961+1165</f>
        <v>11126</v>
      </c>
      <c r="AR17" s="2">
        <v>12469</v>
      </c>
      <c r="AS17" s="2">
        <v>14860</v>
      </c>
      <c r="AT17" s="2">
        <v>11955</v>
      </c>
      <c r="AU17" s="2">
        <v>17866</v>
      </c>
      <c r="AV17" s="2">
        <f>32720-AU17</f>
        <v>14854</v>
      </c>
      <c r="AW17" s="21">
        <f>134442-AV17-AU17</f>
        <v>101722</v>
      </c>
      <c r="AX17" s="21">
        <v>8718</v>
      </c>
      <c r="AY17" s="21">
        <v>13889</v>
      </c>
      <c r="AZ17" s="21">
        <v>21197</v>
      </c>
      <c r="BA17" s="21">
        <f>49154-AY17-AZ17</f>
        <v>14068</v>
      </c>
      <c r="BB17" s="90">
        <f>66690-AY17-AZ17-BA17</f>
        <v>17536</v>
      </c>
      <c r="BC17" s="90">
        <f>9984</f>
        <v>9984</v>
      </c>
      <c r="BD17" s="90">
        <f>21238-BC17</f>
        <v>11254</v>
      </c>
      <c r="BE17" s="90">
        <f>40892+9717-BC17-BD17</f>
        <v>29371</v>
      </c>
      <c r="BF17" s="90">
        <f>65321+15020-BC17-BD17-BE17</f>
        <v>29732</v>
      </c>
      <c r="BG17" s="90">
        <v>35948</v>
      </c>
      <c r="BH17" s="90">
        <f>97579-BG17</f>
        <v>61631</v>
      </c>
      <c r="BI17" s="90">
        <f>151117-BG17-BH17</f>
        <v>53538</v>
      </c>
      <c r="BJ17" s="90">
        <f>208764-BH17-BI17-BG17</f>
        <v>57647</v>
      </c>
      <c r="BK17" s="90">
        <v>43413</v>
      </c>
      <c r="BL17" s="90">
        <f>93849-BK17</f>
        <v>50436</v>
      </c>
      <c r="BM17" s="90">
        <f>144569-BK17-BL17</f>
        <v>50720</v>
      </c>
      <c r="BN17" s="90">
        <v>44721</v>
      </c>
      <c r="BO17" s="90">
        <v>38355</v>
      </c>
      <c r="BP17" s="90">
        <v>41246</v>
      </c>
      <c r="BQ17" s="90">
        <f>128782-BP17-BO17</f>
        <v>49181</v>
      </c>
      <c r="BR17" s="106">
        <v>114544</v>
      </c>
      <c r="BS17" s="106">
        <v>70089</v>
      </c>
      <c r="BT17" s="106">
        <v>51043</v>
      </c>
      <c r="BU17" s="106">
        <v>48057</v>
      </c>
      <c r="BW17" s="2">
        <f t="shared" si="0"/>
        <v>39579</v>
      </c>
      <c r="BX17" s="2">
        <f t="shared" si="1"/>
        <v>43703</v>
      </c>
      <c r="BY17" s="2">
        <f t="shared" si="2"/>
        <v>42133</v>
      </c>
      <c r="BZ17" s="2">
        <f t="shared" si="3"/>
        <v>47873</v>
      </c>
      <c r="CA17" s="2">
        <f t="shared" si="4"/>
        <v>32017</v>
      </c>
      <c r="CB17" s="2">
        <f t="shared" si="5"/>
        <v>22546</v>
      </c>
      <c r="CC17" s="2">
        <f t="shared" si="6"/>
        <v>33665</v>
      </c>
      <c r="CD17" s="2">
        <f t="shared" si="7"/>
        <v>36359</v>
      </c>
      <c r="CE17" s="2">
        <f t="shared" si="8"/>
        <v>49514</v>
      </c>
      <c r="CF17" s="2">
        <f t="shared" si="9"/>
        <v>75652</v>
      </c>
      <c r="CG17" s="2">
        <f t="shared" si="10"/>
        <v>50410</v>
      </c>
      <c r="CH17" s="2">
        <f t="shared" si="11"/>
        <v>143160</v>
      </c>
      <c r="CI17" s="2">
        <f t="shared" si="12"/>
        <v>66690</v>
      </c>
      <c r="CJ17" s="2">
        <f t="shared" si="13"/>
        <v>80341</v>
      </c>
      <c r="CK17" s="2">
        <f t="shared" si="15"/>
        <v>208764</v>
      </c>
      <c r="CL17" s="2">
        <f t="shared" si="14"/>
        <v>243326</v>
      </c>
      <c r="CM17" s="21">
        <f t="shared" ref="CM17:CM23" si="72">SUM(BS17:BU17)</f>
        <v>169189</v>
      </c>
    </row>
    <row r="18" spans="2:93" ht="15.75" thickBot="1">
      <c r="B18" s="3" t="s">
        <v>17</v>
      </c>
      <c r="C18" s="2">
        <v>-756</v>
      </c>
      <c r="D18" s="2">
        <v>-1312</v>
      </c>
      <c r="E18" s="2">
        <v>0</v>
      </c>
      <c r="F18" s="2">
        <v>-855</v>
      </c>
      <c r="G18" s="2">
        <v>-751</v>
      </c>
      <c r="H18" s="2">
        <v>-436</v>
      </c>
      <c r="I18" s="2">
        <v>-1979</v>
      </c>
      <c r="J18" s="2">
        <v>-775</v>
      </c>
      <c r="K18" s="2">
        <v>-672</v>
      </c>
      <c r="L18" s="2">
        <v>-835</v>
      </c>
      <c r="M18" s="2">
        <v>-159</v>
      </c>
      <c r="N18" s="2">
        <v>-4629</v>
      </c>
      <c r="O18" s="2">
        <v>-557</v>
      </c>
      <c r="P18" s="2">
        <v>167</v>
      </c>
      <c r="Q18" s="2">
        <v>-4379</v>
      </c>
      <c r="R18" s="2">
        <v>3606</v>
      </c>
      <c r="S18" s="2">
        <v>-193</v>
      </c>
      <c r="T18" s="2">
        <v>-3007</v>
      </c>
      <c r="U18" s="2">
        <v>-853</v>
      </c>
      <c r="V18" s="2">
        <v>-182</v>
      </c>
      <c r="W18" s="2">
        <v>-1618</v>
      </c>
      <c r="X18" s="2">
        <v>-1279</v>
      </c>
      <c r="Y18" s="2">
        <v>-2328</v>
      </c>
      <c r="Z18" s="2">
        <v>-650</v>
      </c>
      <c r="AA18" s="2">
        <v>-1928</v>
      </c>
      <c r="AB18" s="2">
        <v>-819</v>
      </c>
      <c r="AC18" s="2">
        <v>-432</v>
      </c>
      <c r="AD18" s="2">
        <v>-1419</v>
      </c>
      <c r="AE18" s="2">
        <f>-987-16888</f>
        <v>-17875</v>
      </c>
      <c r="AF18" s="2">
        <v>-2470</v>
      </c>
      <c r="AG18" s="2">
        <v>-30857</v>
      </c>
      <c r="AH18" s="2">
        <v>-9457</v>
      </c>
      <c r="AI18" s="2">
        <v>-20969</v>
      </c>
      <c r="AJ18" s="2">
        <v>-10161</v>
      </c>
      <c r="AK18" s="2">
        <v>13651</v>
      </c>
      <c r="AL18" s="2">
        <v>5052</v>
      </c>
      <c r="AM18" s="2">
        <v>-4496</v>
      </c>
      <c r="AN18" s="2">
        <v>-2093</v>
      </c>
      <c r="AO18" s="2">
        <v>-2258</v>
      </c>
      <c r="AP18" s="2">
        <v>-3931</v>
      </c>
      <c r="AQ18" s="2">
        <v>-3466</v>
      </c>
      <c r="AR18" s="2">
        <v>-16802</v>
      </c>
      <c r="AS18" s="2">
        <v>-30682</v>
      </c>
      <c r="AT18" s="2">
        <f>-19728-5406</f>
        <v>-25134</v>
      </c>
      <c r="AU18" s="2">
        <v>-16186</v>
      </c>
      <c r="AV18" s="2">
        <f>-31939-AU18</f>
        <v>-15753</v>
      </c>
      <c r="AW18" s="21">
        <f>-50348-AV18-AU18</f>
        <v>-18409</v>
      </c>
      <c r="AX18" s="21">
        <v>-16674</v>
      </c>
      <c r="AY18" s="21">
        <v>-37077</v>
      </c>
      <c r="AZ18" s="21">
        <v>-83550</v>
      </c>
      <c r="BA18" s="21">
        <f>-204057-AY18-AZ18</f>
        <v>-83430</v>
      </c>
      <c r="BB18" s="90">
        <f>-273722-AY18-AZ18-BA18</f>
        <v>-69665</v>
      </c>
      <c r="BC18" s="90">
        <f>-14708-43081</f>
        <v>-57789</v>
      </c>
      <c r="BD18" s="90">
        <f>-105496-BC18</f>
        <v>-47707</v>
      </c>
      <c r="BE18" s="90">
        <f>-50763-87798-BC18-BD18</f>
        <v>-33065</v>
      </c>
      <c r="BF18" s="90">
        <f>-69294-110228-BC18-BD18-BE18</f>
        <v>-40961</v>
      </c>
      <c r="BG18" s="90">
        <v>-48686</v>
      </c>
      <c r="BH18" s="90">
        <f>-71450-9201-BG18</f>
        <v>-31965</v>
      </c>
      <c r="BI18" s="90">
        <f>-102833-BG18-BH18</f>
        <v>-22182</v>
      </c>
      <c r="BJ18" s="90">
        <f>-125371-BH18-BI18-BG18</f>
        <v>-22538</v>
      </c>
      <c r="BK18" s="90">
        <v>-20157</v>
      </c>
      <c r="BL18" s="90">
        <f>-41088-BK18</f>
        <v>-20931</v>
      </c>
      <c r="BM18" s="90">
        <f>-55583-BK18-BL18</f>
        <v>-14495</v>
      </c>
      <c r="BN18" s="90">
        <v>-17801</v>
      </c>
      <c r="BO18" s="90">
        <v>-10649</v>
      </c>
      <c r="BP18" s="90">
        <v>-19772</v>
      </c>
      <c r="BQ18" s="90">
        <f>-54350-BP18-BO18</f>
        <v>-23929</v>
      </c>
      <c r="BR18" s="106">
        <v>-41070</v>
      </c>
      <c r="BS18" s="106">
        <v>-31371</v>
      </c>
      <c r="BT18" s="106">
        <v>-27131</v>
      </c>
      <c r="BU18" s="106">
        <v>-24268</v>
      </c>
      <c r="BW18" s="2">
        <f t="shared" si="0"/>
        <v>-2923</v>
      </c>
      <c r="BX18" s="2">
        <f t="shared" si="1"/>
        <v>-3941</v>
      </c>
      <c r="BY18" s="2">
        <f t="shared" si="2"/>
        <v>-6295</v>
      </c>
      <c r="BZ18" s="2">
        <f t="shared" si="3"/>
        <v>-1163</v>
      </c>
      <c r="CA18" s="2">
        <f t="shared" si="4"/>
        <v>-4235</v>
      </c>
      <c r="CB18" s="2">
        <f t="shared" si="5"/>
        <v>-5875</v>
      </c>
      <c r="CC18" s="2">
        <f t="shared" si="6"/>
        <v>-4598</v>
      </c>
      <c r="CD18" s="2">
        <f t="shared" si="7"/>
        <v>-60659</v>
      </c>
      <c r="CE18" s="2">
        <f t="shared" si="8"/>
        <v>-12427</v>
      </c>
      <c r="CF18" s="2">
        <f t="shared" si="9"/>
        <v>-12778</v>
      </c>
      <c r="CG18" s="2">
        <f t="shared" si="10"/>
        <v>-76084</v>
      </c>
      <c r="CH18" s="2">
        <f t="shared" si="11"/>
        <v>-67022</v>
      </c>
      <c r="CI18" s="2">
        <f t="shared" si="12"/>
        <v>-273722</v>
      </c>
      <c r="CJ18" s="2">
        <f t="shared" si="13"/>
        <v>-179522</v>
      </c>
      <c r="CK18" s="2">
        <f t="shared" si="15"/>
        <v>-125371</v>
      </c>
      <c r="CL18" s="2">
        <f t="shared" si="14"/>
        <v>-95420</v>
      </c>
      <c r="CM18" s="21">
        <f t="shared" si="72"/>
        <v>-82770</v>
      </c>
    </row>
    <row r="19" spans="2:93" ht="15.75" thickBot="1">
      <c r="B19" s="9" t="s">
        <v>71</v>
      </c>
      <c r="C19" s="9">
        <f t="shared" ref="C19:AB19" si="73">C15+C16</f>
        <v>50951</v>
      </c>
      <c r="D19" s="9">
        <f t="shared" si="73"/>
        <v>134419</v>
      </c>
      <c r="E19" s="9">
        <f t="shared" si="73"/>
        <v>133856</v>
      </c>
      <c r="F19" s="9">
        <f t="shared" si="73"/>
        <v>79685</v>
      </c>
      <c r="G19" s="9">
        <f t="shared" si="73"/>
        <v>27986</v>
      </c>
      <c r="H19" s="9">
        <f t="shared" si="73"/>
        <v>9956</v>
      </c>
      <c r="I19" s="9">
        <f t="shared" si="73"/>
        <v>-1478</v>
      </c>
      <c r="J19" s="9">
        <f t="shared" si="73"/>
        <v>2603</v>
      </c>
      <c r="K19" s="9">
        <f t="shared" si="73"/>
        <v>24101</v>
      </c>
      <c r="L19" s="9">
        <f t="shared" si="73"/>
        <v>59160</v>
      </c>
      <c r="M19" s="9">
        <f t="shared" si="73"/>
        <v>47633</v>
      </c>
      <c r="N19" s="9">
        <f t="shared" si="73"/>
        <v>30900</v>
      </c>
      <c r="O19" s="9">
        <f t="shared" si="73"/>
        <v>45031</v>
      </c>
      <c r="P19" s="9">
        <f t="shared" si="73"/>
        <v>32736</v>
      </c>
      <c r="Q19" s="9">
        <f t="shared" si="73"/>
        <v>16689</v>
      </c>
      <c r="R19" s="9">
        <f t="shared" si="73"/>
        <v>14581</v>
      </c>
      <c r="S19" s="9">
        <f t="shared" si="73"/>
        <v>26983</v>
      </c>
      <c r="T19" s="9">
        <f t="shared" si="73"/>
        <v>29301</v>
      </c>
      <c r="U19" s="9">
        <f t="shared" si="73"/>
        <v>34805</v>
      </c>
      <c r="V19" s="9">
        <f t="shared" si="73"/>
        <v>6661</v>
      </c>
      <c r="W19" s="9">
        <f t="shared" si="73"/>
        <v>12734</v>
      </c>
      <c r="X19" s="9">
        <f t="shared" si="73"/>
        <v>23599</v>
      </c>
      <c r="Y19" s="9">
        <f t="shared" si="73"/>
        <v>28410</v>
      </c>
      <c r="Z19" s="9">
        <f t="shared" si="73"/>
        <v>28394</v>
      </c>
      <c r="AA19" s="9">
        <f t="shared" si="73"/>
        <v>32864</v>
      </c>
      <c r="AB19" s="9">
        <f t="shared" si="73"/>
        <v>36140</v>
      </c>
      <c r="AC19" s="9">
        <f t="shared" ref="AC19:AD19" si="74">AC15+AC16</f>
        <v>21335</v>
      </c>
      <c r="AD19" s="9">
        <f t="shared" si="74"/>
        <v>13014</v>
      </c>
      <c r="AE19" s="9">
        <f t="shared" ref="AE19:AF19" si="75">AE15+AE16</f>
        <v>41734</v>
      </c>
      <c r="AF19" s="9">
        <f t="shared" si="75"/>
        <v>91584</v>
      </c>
      <c r="AG19" s="9">
        <f t="shared" ref="AG19:AI19" si="76">AG15+AG16</f>
        <v>36109</v>
      </c>
      <c r="AH19" s="9">
        <f t="shared" si="76"/>
        <v>21960</v>
      </c>
      <c r="AI19" s="9">
        <f t="shared" si="76"/>
        <v>21188</v>
      </c>
      <c r="AJ19" s="9">
        <f t="shared" ref="AJ19:AK19" si="77">AJ15+AJ16</f>
        <v>-29787</v>
      </c>
      <c r="AK19" s="9">
        <f t="shared" si="77"/>
        <v>-9366</v>
      </c>
      <c r="AL19" s="9">
        <f t="shared" ref="AL19:AO19" si="78">AL15+AL16</f>
        <v>59866</v>
      </c>
      <c r="AM19" s="9">
        <f t="shared" si="78"/>
        <v>102351</v>
      </c>
      <c r="AN19" s="9">
        <f t="shared" si="78"/>
        <v>77312</v>
      </c>
      <c r="AO19" s="9">
        <f t="shared" si="78"/>
        <v>56397</v>
      </c>
      <c r="AP19" s="9">
        <f t="shared" ref="AP19:AR19" si="79">AP15+AP16</f>
        <v>72828</v>
      </c>
      <c r="AQ19" s="9">
        <f t="shared" si="79"/>
        <v>81059</v>
      </c>
      <c r="AR19" s="9">
        <f t="shared" si="79"/>
        <v>87551</v>
      </c>
      <c r="AS19" s="9">
        <f t="shared" ref="AS19:AT19" si="80">AS15+AS16</f>
        <v>176309</v>
      </c>
      <c r="AT19" s="9">
        <f t="shared" si="80"/>
        <v>4981</v>
      </c>
      <c r="AU19" s="9">
        <f t="shared" ref="AU19:AV19" si="81">AU15+AU16</f>
        <v>55540</v>
      </c>
      <c r="AV19" s="9">
        <f t="shared" si="81"/>
        <v>33704</v>
      </c>
      <c r="AW19" s="9">
        <f t="shared" ref="AW19:AY19" si="82">AW15+AW16</f>
        <v>179503</v>
      </c>
      <c r="AX19" s="89">
        <f t="shared" si="82"/>
        <v>-13367</v>
      </c>
      <c r="AY19" s="89">
        <f t="shared" si="82"/>
        <v>7411</v>
      </c>
      <c r="AZ19" s="9">
        <f t="shared" ref="AZ19:BA19" si="83">AZ15+AZ16</f>
        <v>27249</v>
      </c>
      <c r="BA19" s="89">
        <f t="shared" si="83"/>
        <v>9400</v>
      </c>
      <c r="BB19" s="89">
        <f t="shared" ref="BB19:BC19" si="84">BB15+BB16</f>
        <v>27805</v>
      </c>
      <c r="BC19" s="89">
        <f t="shared" si="84"/>
        <v>71430</v>
      </c>
      <c r="BD19" s="89">
        <f t="shared" ref="BD19:BE19" si="85">BD15+BD16</f>
        <v>132369</v>
      </c>
      <c r="BE19" s="89">
        <f t="shared" si="85"/>
        <v>223451</v>
      </c>
      <c r="BF19" s="89">
        <f t="shared" ref="BF19:BG19" si="86">BF15+BF16</f>
        <v>274411</v>
      </c>
      <c r="BG19" s="89">
        <f t="shared" si="86"/>
        <v>301132</v>
      </c>
      <c r="BH19" s="89">
        <f t="shared" ref="BH19:BI19" si="87">BH15+BH16</f>
        <v>437967</v>
      </c>
      <c r="BI19" s="89">
        <f t="shared" si="87"/>
        <v>323189</v>
      </c>
      <c r="BJ19" s="89">
        <f t="shared" ref="BJ19:BM19" si="88">BJ15+BJ16</f>
        <v>182074</v>
      </c>
      <c r="BK19" s="89">
        <f t="shared" si="88"/>
        <v>165106</v>
      </c>
      <c r="BL19" s="89">
        <f t="shared" si="88"/>
        <v>127485</v>
      </c>
      <c r="BM19" s="89">
        <f t="shared" si="88"/>
        <v>83709</v>
      </c>
      <c r="BN19" s="89">
        <f t="shared" ref="BN19:BO19" si="89">BN15+BN16</f>
        <v>43337</v>
      </c>
      <c r="BO19" s="89">
        <f t="shared" si="89"/>
        <v>61900</v>
      </c>
      <c r="BP19" s="89">
        <f t="shared" ref="BP19:BU19" si="90">BP15+BP16</f>
        <v>70049</v>
      </c>
      <c r="BQ19" s="89">
        <f t="shared" si="90"/>
        <v>89792</v>
      </c>
      <c r="BR19" s="89">
        <f t="shared" si="90"/>
        <v>98094</v>
      </c>
      <c r="BS19" s="89">
        <f t="shared" si="90"/>
        <v>39742</v>
      </c>
      <c r="BT19" s="89">
        <f t="shared" si="90"/>
        <v>29950</v>
      </c>
      <c r="BU19" s="89">
        <f t="shared" si="90"/>
        <v>59431</v>
      </c>
      <c r="BW19" s="9">
        <f t="shared" si="0"/>
        <v>398911</v>
      </c>
      <c r="BX19" s="9">
        <f t="shared" si="1"/>
        <v>39067</v>
      </c>
      <c r="BY19" s="9">
        <f t="shared" si="2"/>
        <v>161794</v>
      </c>
      <c r="BZ19" s="9">
        <f t="shared" si="3"/>
        <v>109037</v>
      </c>
      <c r="CA19" s="9">
        <f t="shared" si="4"/>
        <v>97750</v>
      </c>
      <c r="CB19" s="9">
        <f t="shared" si="5"/>
        <v>93137</v>
      </c>
      <c r="CC19" s="9">
        <f t="shared" si="6"/>
        <v>103353</v>
      </c>
      <c r="CD19" s="9">
        <f t="shared" si="7"/>
        <v>191387</v>
      </c>
      <c r="CE19" s="12">
        <f t="shared" si="8"/>
        <v>41901</v>
      </c>
      <c r="CF19" s="12">
        <f t="shared" si="9"/>
        <v>308888</v>
      </c>
      <c r="CG19" s="12">
        <f t="shared" si="10"/>
        <v>349900</v>
      </c>
      <c r="CH19" s="12">
        <f t="shared" si="11"/>
        <v>255380</v>
      </c>
      <c r="CI19" s="12">
        <f t="shared" si="12"/>
        <v>71865</v>
      </c>
      <c r="CJ19" s="12">
        <f t="shared" si="13"/>
        <v>701661</v>
      </c>
      <c r="CK19" s="12">
        <f t="shared" si="15"/>
        <v>1244362</v>
      </c>
      <c r="CL19" s="12">
        <f t="shared" si="14"/>
        <v>319835</v>
      </c>
      <c r="CM19" s="12">
        <f>SUM(BS19:BU19)</f>
        <v>129123</v>
      </c>
    </row>
    <row r="20" spans="2:93" ht="15.75" thickBot="1">
      <c r="B20" t="s">
        <v>72</v>
      </c>
      <c r="C20" s="2">
        <v>-10114</v>
      </c>
      <c r="D20" s="2">
        <v>-21166</v>
      </c>
      <c r="E20" s="2">
        <v>-14745</v>
      </c>
      <c r="F20" s="2">
        <v>-15026</v>
      </c>
      <c r="G20" s="2">
        <v>-6047</v>
      </c>
      <c r="H20" s="2">
        <v>-4025</v>
      </c>
      <c r="I20" s="2">
        <v>-2051</v>
      </c>
      <c r="J20" s="2">
        <v>1688</v>
      </c>
      <c r="K20" s="2">
        <v>-5677</v>
      </c>
      <c r="L20" s="2">
        <v>-11202</v>
      </c>
      <c r="M20" s="2">
        <v>-9702</v>
      </c>
      <c r="N20" s="2">
        <v>-1243</v>
      </c>
      <c r="O20" s="2">
        <v>-8906</v>
      </c>
      <c r="P20" s="2">
        <v>-6833</v>
      </c>
      <c r="Q20" s="2">
        <v>-5913</v>
      </c>
      <c r="R20" s="2">
        <v>3495</v>
      </c>
      <c r="S20" s="2">
        <v>-6508</v>
      </c>
      <c r="T20" s="2">
        <v>-8137</v>
      </c>
      <c r="U20" s="2">
        <v>-4732</v>
      </c>
      <c r="V20" s="2">
        <v>7171</v>
      </c>
      <c r="W20" s="2">
        <v>-4078</v>
      </c>
      <c r="X20" s="2">
        <v>-4425</v>
      </c>
      <c r="Y20" s="2">
        <v>-6158</v>
      </c>
      <c r="Z20" s="2">
        <v>-4749</v>
      </c>
      <c r="AA20" s="2">
        <v>-4605</v>
      </c>
      <c r="AB20" s="2">
        <v>-7409</v>
      </c>
      <c r="AC20" s="2">
        <v>-779</v>
      </c>
      <c r="AD20" s="2">
        <v>1135</v>
      </c>
      <c r="AE20" s="2">
        <v>-8143</v>
      </c>
      <c r="AF20" s="2">
        <v>-12223</v>
      </c>
      <c r="AG20" s="2">
        <v>5615</v>
      </c>
      <c r="AH20" s="2">
        <v>-2936</v>
      </c>
      <c r="AI20" s="2">
        <v>-8599</v>
      </c>
      <c r="AJ20" s="2">
        <v>8491</v>
      </c>
      <c r="AK20" s="2">
        <v>15922</v>
      </c>
      <c r="AL20" s="2">
        <v>12467</v>
      </c>
      <c r="AM20" s="2">
        <v>-22226</v>
      </c>
      <c r="AN20" s="2">
        <v>-13527</v>
      </c>
      <c r="AO20" s="2">
        <v>7994</v>
      </c>
      <c r="AP20" s="2">
        <v>-10867</v>
      </c>
      <c r="AQ20" s="2">
        <v>-17567</v>
      </c>
      <c r="AR20" s="2">
        <v>-11120</v>
      </c>
      <c r="AS20" s="2">
        <v>-27051</v>
      </c>
      <c r="AT20" s="2">
        <v>15026</v>
      </c>
      <c r="AU20" s="2">
        <v>-9481</v>
      </c>
      <c r="AV20" s="2">
        <f>-11396-AU20</f>
        <v>-1915</v>
      </c>
      <c r="AW20" s="21">
        <f>-46208-AV20-AU20</f>
        <v>-34812</v>
      </c>
      <c r="AX20" s="21">
        <v>12361</v>
      </c>
      <c r="AY20" s="21">
        <v>-7977</v>
      </c>
      <c r="AZ20" s="21">
        <v>-5716</v>
      </c>
      <c r="BA20" s="21">
        <v>2154</v>
      </c>
      <c r="BB20" s="90">
        <f>-1851-AY20-AZ20-BA20</f>
        <v>9688</v>
      </c>
      <c r="BC20" s="90">
        <v>-12395</v>
      </c>
      <c r="BD20" s="90">
        <f>-30500-BC20</f>
        <v>-18105</v>
      </c>
      <c r="BE20" s="90">
        <f>-20917-BC20-BD20</f>
        <v>9583</v>
      </c>
      <c r="BF20" s="90">
        <v>-37837</v>
      </c>
      <c r="BG20" s="90">
        <v>-48867</v>
      </c>
      <c r="BH20" s="90">
        <v>-57060</v>
      </c>
      <c r="BI20" s="90">
        <f>-151806-BG20-BH20</f>
        <v>-45879</v>
      </c>
      <c r="BJ20" s="90">
        <f>-181888-BH20-BI20-BG20</f>
        <v>-30082</v>
      </c>
      <c r="BK20" s="90">
        <v>-33546</v>
      </c>
      <c r="BL20" s="90">
        <v>-5710</v>
      </c>
      <c r="BM20" s="90">
        <v>-9182</v>
      </c>
      <c r="BN20" s="90">
        <v>11686</v>
      </c>
      <c r="BO20" s="90">
        <v>-20695</v>
      </c>
      <c r="BP20" s="90">
        <v>-13318</v>
      </c>
      <c r="BQ20" s="90">
        <v>13759</v>
      </c>
      <c r="BR20" s="21">
        <v>28173</v>
      </c>
      <c r="BS20" s="21">
        <v>-15494</v>
      </c>
      <c r="BT20" s="21">
        <v>-11261</v>
      </c>
      <c r="BU20" s="21">
        <v>-13472</v>
      </c>
      <c r="BV20" s="2"/>
      <c r="BW20" s="2">
        <f t="shared" si="0"/>
        <v>-61051</v>
      </c>
      <c r="BX20" s="2">
        <f t="shared" si="1"/>
        <v>-10435</v>
      </c>
      <c r="BY20" s="2">
        <f t="shared" si="2"/>
        <v>-27824</v>
      </c>
      <c r="BZ20" s="2">
        <f t="shared" si="3"/>
        <v>-18157</v>
      </c>
      <c r="CA20" s="2">
        <f t="shared" si="4"/>
        <v>-12206</v>
      </c>
      <c r="CB20" s="2">
        <f t="shared" si="5"/>
        <v>-19410</v>
      </c>
      <c r="CC20" s="2">
        <f t="shared" si="6"/>
        <v>-11658</v>
      </c>
      <c r="CD20" s="2">
        <f t="shared" si="7"/>
        <v>-17687</v>
      </c>
      <c r="CE20" s="2">
        <f t="shared" si="8"/>
        <v>28281</v>
      </c>
      <c r="CF20" s="2">
        <f t="shared" si="9"/>
        <v>-38626</v>
      </c>
      <c r="CG20" s="2">
        <f t="shared" si="10"/>
        <v>-40712</v>
      </c>
      <c r="CH20" s="2">
        <f t="shared" si="11"/>
        <v>-33847</v>
      </c>
      <c r="CI20" s="2">
        <f t="shared" si="12"/>
        <v>-1851</v>
      </c>
      <c r="CJ20" s="2">
        <f t="shared" si="13"/>
        <v>-58754</v>
      </c>
      <c r="CK20" s="2">
        <f t="shared" si="15"/>
        <v>-181888</v>
      </c>
      <c r="CL20" s="2">
        <f t="shared" si="14"/>
        <v>7919</v>
      </c>
      <c r="CM20" s="21">
        <f t="shared" si="72"/>
        <v>-40227</v>
      </c>
    </row>
    <row r="21" spans="2:93" ht="15.75" thickBot="1">
      <c r="B21" s="9" t="s">
        <v>94</v>
      </c>
      <c r="C21" s="9">
        <f>SUM(C19:C20)</f>
        <v>40837</v>
      </c>
      <c r="D21" s="9">
        <f t="shared" ref="D21:F21" si="91">SUM(D19:D20)</f>
        <v>113253</v>
      </c>
      <c r="E21" s="9">
        <f t="shared" si="91"/>
        <v>119111</v>
      </c>
      <c r="F21" s="9">
        <f t="shared" si="91"/>
        <v>64659</v>
      </c>
      <c r="G21" s="9">
        <f>SUM(G19:G20)</f>
        <v>21939</v>
      </c>
      <c r="H21" s="9">
        <f t="shared" ref="H21" si="92">SUM(H19:H20)</f>
        <v>5931</v>
      </c>
      <c r="I21" s="9">
        <f t="shared" ref="I21" si="93">SUM(I19:I20)</f>
        <v>-3529</v>
      </c>
      <c r="J21" s="9">
        <f t="shared" ref="J21" si="94">SUM(J19:J20)</f>
        <v>4291</v>
      </c>
      <c r="K21" s="9">
        <f>SUM(K19:K20)</f>
        <v>18424</v>
      </c>
      <c r="L21" s="9">
        <f t="shared" ref="L21" si="95">SUM(L19:L20)</f>
        <v>47958</v>
      </c>
      <c r="M21" s="9">
        <f t="shared" ref="M21" si="96">SUM(M19:M20)</f>
        <v>37931</v>
      </c>
      <c r="N21" s="9">
        <f t="shared" ref="N21" si="97">SUM(N19:N20)</f>
        <v>29657</v>
      </c>
      <c r="O21" s="9">
        <f>SUM(O19:O20)</f>
        <v>36125</v>
      </c>
      <c r="P21" s="9">
        <f t="shared" ref="P21" si="98">SUM(P19:P20)</f>
        <v>25903</v>
      </c>
      <c r="Q21" s="9">
        <f t="shared" ref="Q21" si="99">SUM(Q19:Q20)</f>
        <v>10776</v>
      </c>
      <c r="R21" s="9">
        <f t="shared" ref="R21" si="100">SUM(R19:R20)</f>
        <v>18076</v>
      </c>
      <c r="S21" s="9">
        <f>SUM(S19:S20)</f>
        <v>20475</v>
      </c>
      <c r="T21" s="9">
        <f t="shared" ref="T21" si="101">SUM(T19:T20)</f>
        <v>21164</v>
      </c>
      <c r="U21" s="9">
        <f t="shared" ref="U21" si="102">SUM(U19:U20)</f>
        <v>30073</v>
      </c>
      <c r="V21" s="9">
        <f t="shared" ref="V21" si="103">SUM(V19:V20)</f>
        <v>13832</v>
      </c>
      <c r="W21" s="9">
        <f>SUM(W19:W20)</f>
        <v>8656</v>
      </c>
      <c r="X21" s="9">
        <f t="shared" ref="X21" si="104">SUM(X19:X20)</f>
        <v>19174</v>
      </c>
      <c r="Y21" s="9">
        <f t="shared" ref="Y21" si="105">SUM(Y19:Y20)</f>
        <v>22252</v>
      </c>
      <c r="Z21" s="9">
        <f t="shared" ref="Z21" si="106">SUM(Z19:Z20)</f>
        <v>23645</v>
      </c>
      <c r="AA21" s="9">
        <f>SUM(AA19:AA20)</f>
        <v>28259</v>
      </c>
      <c r="AB21" s="9">
        <f t="shared" ref="AB21:AC21" si="107">SUM(AB19:AB20)</f>
        <v>28731</v>
      </c>
      <c r="AC21" s="9">
        <f t="shared" si="107"/>
        <v>20556</v>
      </c>
      <c r="AD21" s="9">
        <f t="shared" ref="AD21:AE21" si="108">SUM(AD19:AD20)</f>
        <v>14149</v>
      </c>
      <c r="AE21" s="9">
        <f t="shared" si="108"/>
        <v>33591</v>
      </c>
      <c r="AF21" s="9">
        <f t="shared" ref="AF21:AI21" si="109">SUM(AF19:AF20)</f>
        <v>79361</v>
      </c>
      <c r="AG21" s="9">
        <f t="shared" si="109"/>
        <v>41724</v>
      </c>
      <c r="AH21" s="9">
        <f t="shared" si="109"/>
        <v>19024</v>
      </c>
      <c r="AI21" s="9">
        <f t="shared" si="109"/>
        <v>12589</v>
      </c>
      <c r="AJ21" s="9">
        <f t="shared" ref="AJ21:AK21" si="110">SUM(AJ19:AJ20)</f>
        <v>-21296</v>
      </c>
      <c r="AK21" s="9">
        <f t="shared" si="110"/>
        <v>6556</v>
      </c>
      <c r="AL21" s="9">
        <f t="shared" ref="AL21:AO21" si="111">SUM(AL19:AL20)</f>
        <v>72333</v>
      </c>
      <c r="AM21" s="9">
        <f t="shared" si="111"/>
        <v>80125</v>
      </c>
      <c r="AN21" s="9">
        <f t="shared" si="111"/>
        <v>63785</v>
      </c>
      <c r="AO21" s="9">
        <f t="shared" si="111"/>
        <v>64391</v>
      </c>
      <c r="AP21" s="9">
        <f t="shared" ref="AP21:AR21" si="112">SUM(AP19:AP20)</f>
        <v>61961</v>
      </c>
      <c r="AQ21" s="9">
        <f t="shared" si="112"/>
        <v>63492</v>
      </c>
      <c r="AR21" s="9">
        <f t="shared" si="112"/>
        <v>76431</v>
      </c>
      <c r="AS21" s="9">
        <f t="shared" ref="AS21:AT21" si="113">SUM(AS19:AS20)</f>
        <v>149258</v>
      </c>
      <c r="AT21" s="9">
        <f t="shared" si="113"/>
        <v>20007</v>
      </c>
      <c r="AU21" s="9">
        <f t="shared" ref="AU21:AV21" si="114">SUM(AU19:AU20)</f>
        <v>46059</v>
      </c>
      <c r="AV21" s="9">
        <f t="shared" si="114"/>
        <v>31789</v>
      </c>
      <c r="AW21" s="9">
        <f t="shared" ref="AW21:AY21" si="115">SUM(AW19:AW20)</f>
        <v>144691</v>
      </c>
      <c r="AX21" s="89">
        <f t="shared" si="115"/>
        <v>-1006</v>
      </c>
      <c r="AY21" s="89">
        <f t="shared" si="115"/>
        <v>-566</v>
      </c>
      <c r="AZ21" s="89">
        <f t="shared" ref="AZ21" si="116">SUM(AZ19:AZ20)</f>
        <v>21533</v>
      </c>
      <c r="BA21" s="89">
        <f>SUM(BA19:BA20)</f>
        <v>11554</v>
      </c>
      <c r="BB21" s="89">
        <f t="shared" ref="BB21" si="117">SUM(BB19:BB20)</f>
        <v>37493</v>
      </c>
      <c r="BC21" s="89">
        <f t="shared" ref="BC21:BI21" si="118">SUM(BC19:BC20)</f>
        <v>59035</v>
      </c>
      <c r="BD21" s="89">
        <f t="shared" si="118"/>
        <v>114264</v>
      </c>
      <c r="BE21" s="89">
        <f t="shared" si="118"/>
        <v>233034</v>
      </c>
      <c r="BF21" s="89">
        <f t="shared" si="118"/>
        <v>236574</v>
      </c>
      <c r="BG21" s="89">
        <f t="shared" si="118"/>
        <v>252265</v>
      </c>
      <c r="BH21" s="89">
        <f t="shared" ref="BH21" si="119">SUM(BH19:BH20)</f>
        <v>380907</v>
      </c>
      <c r="BI21" s="89">
        <f t="shared" si="118"/>
        <v>277310</v>
      </c>
      <c r="BJ21" s="89">
        <f t="shared" ref="BJ21:BM21" si="120">SUM(BJ19:BJ20)</f>
        <v>151992</v>
      </c>
      <c r="BK21" s="89">
        <f t="shared" si="120"/>
        <v>131560</v>
      </c>
      <c r="BL21" s="89">
        <f t="shared" si="120"/>
        <v>121775</v>
      </c>
      <c r="BM21" s="89">
        <f t="shared" si="120"/>
        <v>74527</v>
      </c>
      <c r="BN21" s="89">
        <f t="shared" ref="BN21:BO21" si="121">SUM(BN19:BN20)</f>
        <v>55023</v>
      </c>
      <c r="BO21" s="89">
        <f t="shared" si="121"/>
        <v>41205</v>
      </c>
      <c r="BP21" s="89">
        <f t="shared" ref="BP21:BU21" si="122">SUM(BP19:BP20)</f>
        <v>56731</v>
      </c>
      <c r="BQ21" s="89">
        <f t="shared" si="122"/>
        <v>103551</v>
      </c>
      <c r="BR21" s="89">
        <f t="shared" si="122"/>
        <v>126267</v>
      </c>
      <c r="BS21" s="89">
        <f t="shared" si="122"/>
        <v>24248</v>
      </c>
      <c r="BT21" s="89">
        <f t="shared" si="122"/>
        <v>18689</v>
      </c>
      <c r="BU21" s="89">
        <f t="shared" si="122"/>
        <v>45959</v>
      </c>
      <c r="BW21" s="9">
        <f t="shared" si="0"/>
        <v>337860</v>
      </c>
      <c r="BX21" s="9">
        <f t="shared" si="1"/>
        <v>28632</v>
      </c>
      <c r="BY21" s="9">
        <f t="shared" si="2"/>
        <v>133970</v>
      </c>
      <c r="BZ21" s="9">
        <f t="shared" si="3"/>
        <v>90880</v>
      </c>
      <c r="CA21" s="9">
        <f t="shared" si="4"/>
        <v>85544</v>
      </c>
      <c r="CB21" s="9">
        <f t="shared" si="5"/>
        <v>73727</v>
      </c>
      <c r="CC21" s="9">
        <f t="shared" si="6"/>
        <v>91695</v>
      </c>
      <c r="CD21" s="9">
        <f t="shared" si="7"/>
        <v>173700</v>
      </c>
      <c r="CE21" s="12">
        <f t="shared" si="8"/>
        <v>70182</v>
      </c>
      <c r="CF21" s="12">
        <f t="shared" si="9"/>
        <v>270262</v>
      </c>
      <c r="CG21" s="12">
        <f t="shared" si="10"/>
        <v>309188</v>
      </c>
      <c r="CH21" s="12">
        <f t="shared" si="11"/>
        <v>221533</v>
      </c>
      <c r="CI21" s="12">
        <f t="shared" si="12"/>
        <v>70014</v>
      </c>
      <c r="CJ21" s="12">
        <f t="shared" si="13"/>
        <v>642907</v>
      </c>
      <c r="CK21" s="12">
        <f t="shared" si="15"/>
        <v>1062474</v>
      </c>
      <c r="CL21" s="12">
        <f t="shared" si="14"/>
        <v>327754</v>
      </c>
      <c r="CM21" s="12">
        <f>SUM(BS21:BU21)</f>
        <v>88896</v>
      </c>
    </row>
    <row r="22" spans="2:93" ht="15.75" thickBot="1">
      <c r="B22" s="30" t="s">
        <v>114</v>
      </c>
      <c r="C22" s="2">
        <v>40820</v>
      </c>
      <c r="D22" s="2">
        <f>113207</f>
        <v>113207</v>
      </c>
      <c r="E22" s="2">
        <v>119068</v>
      </c>
      <c r="F22" s="2">
        <v>62913</v>
      </c>
      <c r="G22" s="2">
        <v>21880</v>
      </c>
      <c r="H22" s="2">
        <v>8485</v>
      </c>
      <c r="I22" s="2">
        <v>-3632</v>
      </c>
      <c r="J22" s="2">
        <f>-(SUM(G22:I22)-29060)</f>
        <v>2327</v>
      </c>
      <c r="K22" s="2">
        <v>18360</v>
      </c>
      <c r="L22" s="2">
        <v>47881</v>
      </c>
      <c r="M22" s="2">
        <v>37841</v>
      </c>
      <c r="N22" s="2">
        <f>133729-K22-L22-M22</f>
        <v>29647</v>
      </c>
      <c r="O22" s="2">
        <v>36030</v>
      </c>
      <c r="P22" s="2">
        <v>25818</v>
      </c>
      <c r="Q22" s="2">
        <v>10715</v>
      </c>
      <c r="R22" s="2">
        <f>90619-O22-P22-Q22</f>
        <v>18056</v>
      </c>
      <c r="S22" s="2">
        <v>20439</v>
      </c>
      <c r="T22" s="2">
        <v>21118</v>
      </c>
      <c r="U22" s="2">
        <v>29991</v>
      </c>
      <c r="V22" s="2">
        <f>85326-S22-T22-U22</f>
        <v>13778</v>
      </c>
      <c r="W22" s="2">
        <f>27736-19128</f>
        <v>8608</v>
      </c>
      <c r="X22" s="2">
        <v>19128</v>
      </c>
      <c r="Y22" s="2">
        <v>22193</v>
      </c>
      <c r="Z22" s="2">
        <f>73483-W22-X22-Y22</f>
        <v>23554</v>
      </c>
      <c r="AA22" s="2">
        <f>56867-28659</f>
        <v>28208</v>
      </c>
      <c r="AB22" s="2">
        <v>28659</v>
      </c>
      <c r="AC22" s="2">
        <v>20468</v>
      </c>
      <c r="AD22" s="2">
        <v>14074</v>
      </c>
      <c r="AE22" s="2">
        <v>33475</v>
      </c>
      <c r="AF22" s="21">
        <v>79263</v>
      </c>
      <c r="AG22" s="21">
        <v>41592</v>
      </c>
      <c r="AH22" s="21">
        <v>18896</v>
      </c>
      <c r="AI22" s="21">
        <v>12478</v>
      </c>
      <c r="AJ22" s="21">
        <v>-21428</v>
      </c>
      <c r="AK22" s="21">
        <v>6416</v>
      </c>
      <c r="AL22" s="21">
        <v>72194</v>
      </c>
      <c r="AM22" s="21">
        <v>79999</v>
      </c>
      <c r="AN22" s="21">
        <v>63665</v>
      </c>
      <c r="AO22" s="21">
        <v>64274</v>
      </c>
      <c r="AP22" s="21">
        <v>61914</v>
      </c>
      <c r="AQ22" s="21">
        <v>63404</v>
      </c>
      <c r="AR22" s="21">
        <v>76333</v>
      </c>
      <c r="AS22" s="21">
        <f>288894-AR22-AQ22</f>
        <v>149157</v>
      </c>
      <c r="AT22" s="2">
        <v>19905</v>
      </c>
      <c r="AU22" s="2">
        <v>45964</v>
      </c>
      <c r="AV22" s="2">
        <f>77661-AU22</f>
        <v>31697</v>
      </c>
      <c r="AW22" s="21">
        <f>222260-AV22-AU22</f>
        <v>144599</v>
      </c>
      <c r="AX22" s="21">
        <v>-1084</v>
      </c>
      <c r="AY22" s="21">
        <v>-637</v>
      </c>
      <c r="AZ22" s="21">
        <v>21472</v>
      </c>
      <c r="BA22" s="21">
        <f>32332-AY22-AZ22</f>
        <v>11497</v>
      </c>
      <c r="BB22" s="90">
        <f>69772-AY22-AZ22-BA22</f>
        <v>37440</v>
      </c>
      <c r="BC22" s="90">
        <v>58989</v>
      </c>
      <c r="BD22" s="90">
        <f>173385-BC22</f>
        <v>114396</v>
      </c>
      <c r="BE22" s="90">
        <f>406354-BC22-BD22</f>
        <v>232969</v>
      </c>
      <c r="BF22" s="90">
        <f>642878-BC22-BD22-BE22</f>
        <v>236524</v>
      </c>
      <c r="BG22" s="90">
        <v>252229</v>
      </c>
      <c r="BH22" s="90">
        <v>380853</v>
      </c>
      <c r="BI22" s="90">
        <f>910337-BG22-BH22</f>
        <v>277255</v>
      </c>
      <c r="BJ22" s="90">
        <f>1062276-BH22-BI22-BG22</f>
        <v>151939</v>
      </c>
      <c r="BK22" s="90">
        <v>131504</v>
      </c>
      <c r="BL22" s="90">
        <v>121717</v>
      </c>
      <c r="BM22" s="90">
        <f>327684-BK22-BL22</f>
        <v>74463</v>
      </c>
      <c r="BN22" s="90">
        <f>382649-BK22-BL22-BM22</f>
        <v>54965</v>
      </c>
      <c r="BO22" s="90">
        <v>41146</v>
      </c>
      <c r="BP22" s="90">
        <v>56669</v>
      </c>
      <c r="BQ22" s="90">
        <f>201300-BP22-BO22</f>
        <v>103485</v>
      </c>
      <c r="BR22" s="90">
        <v>126205</v>
      </c>
      <c r="BS22" s="90">
        <v>24183</v>
      </c>
      <c r="BT22" s="90">
        <v>18616</v>
      </c>
      <c r="BU22" s="90">
        <v>45881</v>
      </c>
      <c r="BV22" s="15"/>
      <c r="BW22" s="2">
        <f t="shared" ref="BW22:BW23" si="123">SUM(C22:F22)</f>
        <v>336008</v>
      </c>
      <c r="BX22" s="2">
        <f t="shared" ref="BX22:BX23" si="124">SUM(G22:J22)</f>
        <v>29060</v>
      </c>
      <c r="BY22" s="2">
        <f t="shared" ref="BY22:BY23" si="125">SUM(K22:N22)</f>
        <v>133729</v>
      </c>
      <c r="BZ22" s="2">
        <f t="shared" ref="BZ22:BZ23" si="126">SUM(O22:R22)</f>
        <v>90619</v>
      </c>
      <c r="CA22" s="2">
        <f t="shared" ref="CA22:CA23" si="127">SUM(S22:V22)</f>
        <v>85326</v>
      </c>
      <c r="CB22" s="2">
        <f t="shared" ref="CB22:CB23" si="128">SUM(W22:Z22)</f>
        <v>73483</v>
      </c>
      <c r="CC22" s="2">
        <f t="shared" si="6"/>
        <v>91409</v>
      </c>
      <c r="CD22" s="2">
        <f t="shared" si="7"/>
        <v>173226</v>
      </c>
      <c r="CE22" s="2">
        <f t="shared" si="8"/>
        <v>69660</v>
      </c>
      <c r="CF22" s="2">
        <f t="shared" si="9"/>
        <v>269852</v>
      </c>
      <c r="CG22" s="2">
        <f t="shared" si="10"/>
        <v>308799</v>
      </c>
      <c r="CH22" s="2">
        <f t="shared" si="11"/>
        <v>221176</v>
      </c>
      <c r="CI22" s="2">
        <f t="shared" si="12"/>
        <v>69772</v>
      </c>
      <c r="CJ22" s="2">
        <f t="shared" si="13"/>
        <v>642878</v>
      </c>
      <c r="CK22" s="2">
        <f t="shared" si="15"/>
        <v>1062276</v>
      </c>
      <c r="CL22" s="2">
        <f t="shared" si="14"/>
        <v>327505</v>
      </c>
      <c r="CM22" s="21">
        <f t="shared" si="72"/>
        <v>88680</v>
      </c>
    </row>
    <row r="23" spans="2:93" ht="15.75" thickBot="1">
      <c r="B23" s="30" t="s">
        <v>113</v>
      </c>
      <c r="C23" s="2">
        <v>17</v>
      </c>
      <c r="D23" s="2">
        <v>46</v>
      </c>
      <c r="E23" s="2">
        <v>43</v>
      </c>
      <c r="F23" s="2">
        <v>1746</v>
      </c>
      <c r="G23" s="2">
        <v>59</v>
      </c>
      <c r="H23" s="2">
        <v>-2554</v>
      </c>
      <c r="I23" s="2">
        <v>103</v>
      </c>
      <c r="J23" s="2">
        <f>-(SUM(G23:I23)+428)</f>
        <v>1964</v>
      </c>
      <c r="K23" s="2">
        <v>64</v>
      </c>
      <c r="L23" s="2">
        <v>77</v>
      </c>
      <c r="M23" s="2">
        <v>90</v>
      </c>
      <c r="N23" s="2">
        <f>241-K23-L23-M23</f>
        <v>10</v>
      </c>
      <c r="O23" s="2">
        <v>95</v>
      </c>
      <c r="P23" s="2">
        <v>85</v>
      </c>
      <c r="Q23" s="2">
        <v>61</v>
      </c>
      <c r="R23" s="2">
        <f>261-O23-P23-Q23</f>
        <v>20</v>
      </c>
      <c r="S23" s="2">
        <v>36</v>
      </c>
      <c r="T23" s="2">
        <v>46</v>
      </c>
      <c r="U23" s="2">
        <v>82</v>
      </c>
      <c r="V23" s="2">
        <f>218-S23-T23-U23</f>
        <v>54</v>
      </c>
      <c r="W23" s="2">
        <f>94-46</f>
        <v>48</v>
      </c>
      <c r="X23" s="2">
        <v>46</v>
      </c>
      <c r="Y23" s="2">
        <v>59</v>
      </c>
      <c r="Z23" s="2">
        <f>244-W23-X23-Y23</f>
        <v>91</v>
      </c>
      <c r="AA23" s="2">
        <f>123-72</f>
        <v>51</v>
      </c>
      <c r="AB23" s="2">
        <v>72</v>
      </c>
      <c r="AC23" s="2">
        <v>88</v>
      </c>
      <c r="AD23" s="2">
        <f>75</f>
        <v>75</v>
      </c>
      <c r="AE23" s="2">
        <v>116</v>
      </c>
      <c r="AF23" s="21">
        <v>98</v>
      </c>
      <c r="AG23" s="21">
        <v>132</v>
      </c>
      <c r="AH23" s="21">
        <v>128</v>
      </c>
      <c r="AI23" s="21">
        <v>111</v>
      </c>
      <c r="AJ23" s="21">
        <v>132</v>
      </c>
      <c r="AK23" s="21">
        <v>140</v>
      </c>
      <c r="AL23" s="21">
        <v>139</v>
      </c>
      <c r="AM23" s="21">
        <v>126</v>
      </c>
      <c r="AN23" s="21">
        <v>120</v>
      </c>
      <c r="AO23" s="21">
        <v>117</v>
      </c>
      <c r="AP23" s="21">
        <v>47</v>
      </c>
      <c r="AQ23" s="21">
        <v>88</v>
      </c>
      <c r="AR23" s="21">
        <v>98</v>
      </c>
      <c r="AS23" s="21">
        <f>287-AQ23-AR23</f>
        <v>101</v>
      </c>
      <c r="AT23" s="2">
        <v>102</v>
      </c>
      <c r="AU23" s="2">
        <v>95</v>
      </c>
      <c r="AV23" s="2">
        <f>187-AU23</f>
        <v>92</v>
      </c>
      <c r="AW23" s="21">
        <f>279-AV23-AU23</f>
        <v>92</v>
      </c>
      <c r="AX23" s="21">
        <v>78</v>
      </c>
      <c r="AY23" s="21">
        <v>71</v>
      </c>
      <c r="AZ23" s="21">
        <v>61</v>
      </c>
      <c r="BA23" s="21">
        <f>189-AY23-AZ23</f>
        <v>57</v>
      </c>
      <c r="BB23" s="90">
        <f>242-AY23-AZ23-BA23</f>
        <v>53</v>
      </c>
      <c r="BC23" s="90">
        <v>46</v>
      </c>
      <c r="BD23" s="90">
        <f>-86-BC23</f>
        <v>-132</v>
      </c>
      <c r="BE23" s="90">
        <f>-21-BC23-BD23</f>
        <v>65</v>
      </c>
      <c r="BF23" s="90">
        <f>29-BC23-BD23-BE23</f>
        <v>50</v>
      </c>
      <c r="BG23" s="90">
        <v>36</v>
      </c>
      <c r="BH23" s="90">
        <v>54</v>
      </c>
      <c r="BI23" s="90">
        <f>145-BG23-BH23</f>
        <v>55</v>
      </c>
      <c r="BJ23" s="90">
        <f>198-BH23-BI23-BG23</f>
        <v>53</v>
      </c>
      <c r="BK23" s="90">
        <v>56</v>
      </c>
      <c r="BL23" s="90">
        <v>58</v>
      </c>
      <c r="BM23" s="90">
        <f>178-BK23-BL23</f>
        <v>64</v>
      </c>
      <c r="BN23" s="90">
        <f>236-BK23-BL23-BM23</f>
        <v>58</v>
      </c>
      <c r="BO23" s="90">
        <v>59</v>
      </c>
      <c r="BP23" s="90">
        <f>121-BO23</f>
        <v>62</v>
      </c>
      <c r="BQ23" s="90">
        <f>187-BO23-BP23</f>
        <v>66</v>
      </c>
      <c r="BR23" s="90">
        <v>62</v>
      </c>
      <c r="BS23" s="90">
        <v>65</v>
      </c>
      <c r="BT23" s="90">
        <v>73</v>
      </c>
      <c r="BU23" s="90">
        <v>78</v>
      </c>
      <c r="BV23" s="21"/>
      <c r="BW23" s="2">
        <f t="shared" si="123"/>
        <v>1852</v>
      </c>
      <c r="BX23" s="2">
        <f t="shared" si="124"/>
        <v>-428</v>
      </c>
      <c r="BY23" s="2">
        <f t="shared" si="125"/>
        <v>241</v>
      </c>
      <c r="BZ23" s="2">
        <f t="shared" si="126"/>
        <v>261</v>
      </c>
      <c r="CA23" s="2">
        <f t="shared" si="127"/>
        <v>218</v>
      </c>
      <c r="CB23" s="2">
        <f t="shared" si="128"/>
        <v>244</v>
      </c>
      <c r="CC23" s="2">
        <f t="shared" si="6"/>
        <v>286</v>
      </c>
      <c r="CD23" s="2">
        <f t="shared" si="7"/>
        <v>474</v>
      </c>
      <c r="CE23" s="2">
        <f t="shared" si="8"/>
        <v>522</v>
      </c>
      <c r="CF23" s="2">
        <f t="shared" si="9"/>
        <v>410</v>
      </c>
      <c r="CG23" s="2">
        <f t="shared" si="10"/>
        <v>389</v>
      </c>
      <c r="CH23" s="2">
        <f t="shared" si="11"/>
        <v>357</v>
      </c>
      <c r="CI23" s="2">
        <f t="shared" si="12"/>
        <v>242</v>
      </c>
      <c r="CJ23" s="2">
        <f t="shared" si="13"/>
        <v>29</v>
      </c>
      <c r="CK23" s="2">
        <f t="shared" si="15"/>
        <v>198</v>
      </c>
      <c r="CL23" s="2">
        <f t="shared" si="14"/>
        <v>249</v>
      </c>
      <c r="CM23" s="21">
        <f t="shared" si="72"/>
        <v>216</v>
      </c>
      <c r="CO23" s="16"/>
    </row>
    <row r="24" spans="2:93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F24" s="2"/>
      <c r="AG24" s="2"/>
      <c r="AH24" s="2"/>
      <c r="AI24" s="2"/>
      <c r="AJ24" s="2"/>
      <c r="AK24" s="2"/>
      <c r="AL24" s="2"/>
      <c r="AM24" s="2"/>
      <c r="AN24" s="66"/>
      <c r="AO24" s="66"/>
      <c r="AP24" s="66"/>
      <c r="AQ24" s="66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2"/>
      <c r="BW24" s="2"/>
      <c r="BX24" s="2"/>
      <c r="BY24" s="2"/>
      <c r="BZ24" s="2"/>
      <c r="CM24" s="65"/>
    </row>
    <row r="25" spans="2:93">
      <c r="L25" s="18"/>
      <c r="AC25" s="45"/>
      <c r="AM25" s="15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CG25" s="16"/>
      <c r="CH25" s="16"/>
      <c r="CI25" s="16"/>
      <c r="CJ25" s="16"/>
      <c r="CK25" s="16"/>
      <c r="CL25" s="16"/>
      <c r="CM25" s="16"/>
    </row>
    <row r="26" spans="2:93">
      <c r="C26" s="18"/>
      <c r="H26" s="18"/>
      <c r="AN26" s="68"/>
      <c r="AO26" s="68"/>
      <c r="AP26" s="68"/>
      <c r="AQ26" s="68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CG26" s="16"/>
      <c r="CH26" s="16"/>
      <c r="CI26" s="16"/>
      <c r="CJ26" s="16"/>
      <c r="CK26" s="16"/>
      <c r="CL26" s="16"/>
      <c r="CM26" s="16"/>
    </row>
    <row r="27" spans="2:93">
      <c r="C27" s="16"/>
      <c r="H27" s="16"/>
      <c r="AN27" s="16"/>
      <c r="AO27" s="16"/>
      <c r="AP27" s="16"/>
      <c r="AQ27" s="16"/>
      <c r="AX27" s="16"/>
      <c r="AY27" s="16"/>
      <c r="BU27" s="16"/>
    </row>
    <row r="28" spans="2:93">
      <c r="C28" s="16"/>
      <c r="H28" s="16"/>
      <c r="AN28" s="16"/>
      <c r="AO28" s="16"/>
      <c r="AP28" s="16"/>
      <c r="AQ28" s="16"/>
    </row>
    <row r="29" spans="2:93">
      <c r="C29" s="18"/>
      <c r="H29" s="18"/>
      <c r="AN29" s="16"/>
      <c r="AO29" s="16"/>
      <c r="AP29" s="16"/>
      <c r="AQ29" s="16"/>
    </row>
    <row r="30" spans="2:93">
      <c r="C30" s="18"/>
      <c r="H30" s="18"/>
      <c r="CM30" s="16"/>
    </row>
    <row r="32" spans="2:93">
      <c r="CM32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22" man="1"/>
    <brk id="73" max="22" man="1"/>
  </colBreaks>
  <ignoredErrors>
    <ignoredError sqref="BW6:CF23 CG6:CG23 CH7 CL7:CL2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1"/>
  <dimension ref="B2:CP57"/>
  <sheetViews>
    <sheetView showGridLines="0" zoomScale="80" zoomScaleNormal="80" zoomScaleSheetLayoutView="85" workbookViewId="0">
      <pane xSplit="2" ySplit="5" topLeftCell="BI47" activePane="bottomRight" state="frozen"/>
      <selection activeCell="BV30" sqref="BV30"/>
      <selection pane="topRight" activeCell="BV30" sqref="BV30"/>
      <selection pane="bottomLeft" activeCell="BV30" sqref="BV30"/>
      <selection pane="bottomRight" activeCell="BV30" sqref="BV30"/>
    </sheetView>
  </sheetViews>
  <sheetFormatPr defaultRowHeight="15"/>
  <cols>
    <col min="1" max="1" width="1.140625" customWidth="1"/>
    <col min="2" max="2" width="59.42578125" customWidth="1"/>
    <col min="3" max="24" width="10.7109375" customWidth="1"/>
    <col min="25" max="26" width="11.85546875" customWidth="1"/>
    <col min="27" max="27" width="10.7109375" customWidth="1"/>
    <col min="28" max="28" width="11.85546875" customWidth="1"/>
    <col min="29" max="29" width="12.28515625" customWidth="1"/>
    <col min="30" max="30" width="11.140625" customWidth="1"/>
    <col min="31" max="31" width="12.7109375" bestFit="1" customWidth="1"/>
    <col min="32" max="32" width="10.85546875" bestFit="1" customWidth="1"/>
    <col min="33" max="37" width="10.7109375" customWidth="1"/>
    <col min="38" max="38" width="10.28515625" bestFit="1" customWidth="1"/>
    <col min="39" max="39" width="9.7109375" bestFit="1" customWidth="1"/>
    <col min="40" max="41" width="9.7109375" customWidth="1"/>
    <col min="42" max="42" width="10.28515625" bestFit="1" customWidth="1"/>
    <col min="43" max="43" width="9.7109375" customWidth="1"/>
    <col min="44" max="45" width="10.28515625" bestFit="1" customWidth="1"/>
    <col min="46" max="46" width="10.140625" bestFit="1" customWidth="1"/>
    <col min="47" max="48" width="9.7109375" customWidth="1"/>
    <col min="49" max="51" width="10.5703125" bestFit="1" customWidth="1"/>
    <col min="52" max="61" width="10.5703125" customWidth="1"/>
    <col min="62" max="62" width="11.140625" customWidth="1"/>
    <col min="63" max="65" width="10.5703125" customWidth="1"/>
    <col min="66" max="83" width="11.140625" customWidth="1"/>
  </cols>
  <sheetData>
    <row r="2" spans="2:94" ht="18.75">
      <c r="B2" s="43" t="s">
        <v>117</v>
      </c>
      <c r="AV2" s="21"/>
    </row>
    <row r="3" spans="2:94" ht="15.75">
      <c r="B3" s="63" t="s">
        <v>167</v>
      </c>
    </row>
    <row r="4" spans="2:94" s="19" customFormat="1" ht="7.5" customHeight="1" thickBot="1"/>
    <row r="5" spans="2:94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>
        <v>2008</v>
      </c>
      <c r="G5" s="8" t="s">
        <v>59</v>
      </c>
      <c r="H5" s="8" t="s">
        <v>60</v>
      </c>
      <c r="I5" s="8" t="s">
        <v>61</v>
      </c>
      <c r="J5" s="8">
        <v>2009</v>
      </c>
      <c r="K5" s="8" t="s">
        <v>29</v>
      </c>
      <c r="L5" s="8" t="s">
        <v>30</v>
      </c>
      <c r="M5" s="8" t="s">
        <v>31</v>
      </c>
      <c r="N5" s="8">
        <v>2010</v>
      </c>
      <c r="O5" s="8" t="s">
        <v>33</v>
      </c>
      <c r="P5" s="8" t="s">
        <v>34</v>
      </c>
      <c r="Q5" s="8" t="s">
        <v>35</v>
      </c>
      <c r="R5" s="8">
        <v>2011</v>
      </c>
      <c r="S5" s="8" t="s">
        <v>37</v>
      </c>
      <c r="T5" s="8" t="s">
        <v>38</v>
      </c>
      <c r="U5" s="8" t="s">
        <v>39</v>
      </c>
      <c r="V5" s="8">
        <v>2012</v>
      </c>
      <c r="W5" s="8" t="s">
        <v>41</v>
      </c>
      <c r="X5" s="8" t="s">
        <v>42</v>
      </c>
      <c r="Y5" s="8" t="s">
        <v>43</v>
      </c>
      <c r="Z5" s="8">
        <v>2013</v>
      </c>
      <c r="AA5" s="8" t="s">
        <v>45</v>
      </c>
      <c r="AB5" s="8" t="s">
        <v>46</v>
      </c>
      <c r="AC5" s="8" t="s">
        <v>136</v>
      </c>
      <c r="AD5" s="8">
        <v>2014</v>
      </c>
      <c r="AE5" s="8" t="s">
        <v>151</v>
      </c>
      <c r="AF5" s="8" t="s">
        <v>153</v>
      </c>
      <c r="AG5" s="8" t="s">
        <v>154</v>
      </c>
      <c r="AH5" s="8">
        <v>2015</v>
      </c>
      <c r="AI5" s="8" t="s">
        <v>159</v>
      </c>
      <c r="AJ5" s="8" t="s">
        <v>161</v>
      </c>
      <c r="AK5" s="8" t="s">
        <v>162</v>
      </c>
      <c r="AL5" s="8">
        <v>2016</v>
      </c>
      <c r="AM5" s="8" t="s">
        <v>170</v>
      </c>
      <c r="AN5" s="8" t="s">
        <v>171</v>
      </c>
      <c r="AO5" s="8" t="s">
        <v>172</v>
      </c>
      <c r="AP5" s="8">
        <v>2017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99"/>
      <c r="BW5" s="99"/>
      <c r="BX5" s="99"/>
      <c r="BY5" s="99"/>
      <c r="BZ5" s="99"/>
      <c r="CA5" s="99"/>
      <c r="CB5" s="99"/>
      <c r="CC5" s="99"/>
      <c r="CD5" s="99"/>
      <c r="CE5" s="99"/>
    </row>
    <row r="6" spans="2:94" ht="15.75" thickBot="1">
      <c r="B6" s="9" t="s">
        <v>19</v>
      </c>
      <c r="C6" s="9">
        <f t="shared" ref="C6:AH6" si="0">SUM(C7:C17)+C18+C24</f>
        <v>34062</v>
      </c>
      <c r="D6" s="9">
        <f t="shared" si="0"/>
        <v>116705</v>
      </c>
      <c r="E6" s="9">
        <f t="shared" si="0"/>
        <v>298572</v>
      </c>
      <c r="F6" s="9">
        <f t="shared" si="0"/>
        <v>304978</v>
      </c>
      <c r="G6" s="9">
        <f t="shared" si="0"/>
        <v>-32330</v>
      </c>
      <c r="H6" s="9">
        <f t="shared" si="0"/>
        <v>-27530</v>
      </c>
      <c r="I6" s="9">
        <f t="shared" si="0"/>
        <v>39418</v>
      </c>
      <c r="J6" s="9">
        <f t="shared" si="0"/>
        <v>92561</v>
      </c>
      <c r="K6" s="9">
        <f t="shared" si="0"/>
        <v>34429</v>
      </c>
      <c r="L6" s="9">
        <f t="shared" si="0"/>
        <v>80481</v>
      </c>
      <c r="M6" s="9">
        <f t="shared" si="0"/>
        <v>96116</v>
      </c>
      <c r="N6" s="9">
        <f t="shared" si="0"/>
        <v>81430</v>
      </c>
      <c r="O6" s="9">
        <f t="shared" si="0"/>
        <v>49771</v>
      </c>
      <c r="P6" s="9">
        <f t="shared" si="0"/>
        <v>99791</v>
      </c>
      <c r="Q6" s="9">
        <f t="shared" si="0"/>
        <v>108769</v>
      </c>
      <c r="R6" s="9">
        <f t="shared" si="0"/>
        <v>94386</v>
      </c>
      <c r="S6" s="9">
        <f t="shared" si="0"/>
        <v>23620</v>
      </c>
      <c r="T6" s="9">
        <f t="shared" si="0"/>
        <v>61013</v>
      </c>
      <c r="U6" s="9">
        <f t="shared" si="0"/>
        <v>74960</v>
      </c>
      <c r="V6" s="9">
        <f t="shared" si="0"/>
        <v>69345</v>
      </c>
      <c r="W6" s="9">
        <f t="shared" si="0"/>
        <v>-13842</v>
      </c>
      <c r="X6" s="9">
        <f t="shared" si="0"/>
        <v>12950</v>
      </c>
      <c r="Y6" s="9">
        <f t="shared" si="0"/>
        <v>53377</v>
      </c>
      <c r="Z6" s="9">
        <f t="shared" si="0"/>
        <v>87018</v>
      </c>
      <c r="AA6" s="9">
        <f t="shared" si="0"/>
        <v>64730</v>
      </c>
      <c r="AB6" s="9">
        <f t="shared" si="0"/>
        <v>132548</v>
      </c>
      <c r="AC6" s="9">
        <f t="shared" si="0"/>
        <v>151382</v>
      </c>
      <c r="AD6" s="9">
        <f t="shared" si="0"/>
        <v>165795</v>
      </c>
      <c r="AE6" s="9">
        <f t="shared" si="0"/>
        <v>-3854</v>
      </c>
      <c r="AF6" s="9">
        <f t="shared" si="0"/>
        <v>35485</v>
      </c>
      <c r="AG6" s="9">
        <f t="shared" si="0"/>
        <v>67288</v>
      </c>
      <c r="AH6" s="9">
        <f t="shared" si="0"/>
        <v>12839</v>
      </c>
      <c r="AI6" s="12">
        <f t="shared" ref="AI6:AY6" si="1">SUM(AI7:AI17)+AI18+AI24</f>
        <v>101117</v>
      </c>
      <c r="AJ6" s="12">
        <f t="shared" si="1"/>
        <v>160343</v>
      </c>
      <c r="AK6" s="12">
        <f t="shared" si="1"/>
        <v>217945</v>
      </c>
      <c r="AL6" s="12">
        <f t="shared" si="1"/>
        <v>300537</v>
      </c>
      <c r="AM6" s="12">
        <f t="shared" si="1"/>
        <v>162263</v>
      </c>
      <c r="AN6" s="12">
        <f t="shared" si="1"/>
        <v>259402</v>
      </c>
      <c r="AO6" s="12">
        <f t="shared" si="1"/>
        <v>342714</v>
      </c>
      <c r="AP6" s="12">
        <f t="shared" si="1"/>
        <v>392391</v>
      </c>
      <c r="AQ6" s="12">
        <f t="shared" si="1"/>
        <v>81196</v>
      </c>
      <c r="AR6" s="12">
        <f t="shared" si="1"/>
        <v>144262</v>
      </c>
      <c r="AS6" s="12">
        <f t="shared" si="1"/>
        <v>256816</v>
      </c>
      <c r="AT6" s="12">
        <f t="shared" si="1"/>
        <v>306096</v>
      </c>
      <c r="AU6" s="12">
        <f t="shared" si="1"/>
        <v>34832</v>
      </c>
      <c r="AV6" s="12">
        <f t="shared" si="1"/>
        <v>81934</v>
      </c>
      <c r="AW6" s="12">
        <f t="shared" si="1"/>
        <v>172562</v>
      </c>
      <c r="AX6" s="12">
        <f t="shared" si="1"/>
        <v>171907</v>
      </c>
      <c r="AY6" s="12">
        <f t="shared" si="1"/>
        <v>37158</v>
      </c>
      <c r="AZ6" s="12">
        <f t="shared" ref="AZ6:BA6" si="2">SUM(AZ7:AZ17)+AZ18+AZ24</f>
        <v>51116</v>
      </c>
      <c r="BA6" s="12">
        <f t="shared" si="2"/>
        <v>154498</v>
      </c>
      <c r="BB6" s="12">
        <f t="shared" ref="BB6:BC6" si="3">SUM(BB7:BB17)+BB18+BB24</f>
        <v>257674</v>
      </c>
      <c r="BC6" s="12">
        <f t="shared" si="3"/>
        <v>86116</v>
      </c>
      <c r="BD6" s="12">
        <f t="shared" ref="BD6:BE6" si="4">SUM(BD7:BD17)+BD18+BD24</f>
        <v>245919</v>
      </c>
      <c r="BE6" s="12">
        <f t="shared" si="4"/>
        <v>497330</v>
      </c>
      <c r="BF6" s="12">
        <f t="shared" ref="BF6" si="5">SUM(BF7:BF17)+BF18+BF24</f>
        <v>759731</v>
      </c>
      <c r="BG6" s="12">
        <f t="shared" ref="BG6:BN6" si="6">SUM(BG7:BG17)+BG18+BG24</f>
        <v>249870</v>
      </c>
      <c r="BH6" s="12">
        <f t="shared" si="6"/>
        <v>632943</v>
      </c>
      <c r="BI6" s="12">
        <f t="shared" si="6"/>
        <v>892962</v>
      </c>
      <c r="BJ6" s="12">
        <f t="shared" si="6"/>
        <v>1194604</v>
      </c>
      <c r="BK6" s="12">
        <f t="shared" si="6"/>
        <v>166749</v>
      </c>
      <c r="BL6" s="12">
        <f t="shared" si="6"/>
        <v>317300</v>
      </c>
      <c r="BM6" s="12">
        <f t="shared" si="6"/>
        <v>432940</v>
      </c>
      <c r="BN6" s="12">
        <f t="shared" si="6"/>
        <v>476565</v>
      </c>
      <c r="BO6" s="12">
        <f t="shared" ref="BO6:BP6" si="7">SUM(BO7:BO17)+BO18+BO24</f>
        <v>-42558</v>
      </c>
      <c r="BP6" s="12">
        <f t="shared" si="7"/>
        <v>16650</v>
      </c>
      <c r="BQ6" s="12">
        <f t="shared" ref="BQ6:BR6" si="8">SUM(BQ7:BQ17)+BQ18+BQ24</f>
        <v>141401</v>
      </c>
      <c r="BR6" s="12">
        <f t="shared" si="8"/>
        <v>357120</v>
      </c>
      <c r="BS6" s="12">
        <f t="shared" ref="BS6:BU6" si="9">SUM(BS7:BS17)+BS18+BS24</f>
        <v>113333</v>
      </c>
      <c r="BT6" s="12">
        <f t="shared" si="9"/>
        <v>163283</v>
      </c>
      <c r="BU6" s="12">
        <f t="shared" si="9"/>
        <v>299262</v>
      </c>
    </row>
    <row r="7" spans="2:94">
      <c r="B7" s="3" t="s">
        <v>90</v>
      </c>
      <c r="C7" s="2">
        <v>40837</v>
      </c>
      <c r="D7" s="2">
        <v>154090</v>
      </c>
      <c r="E7" s="2">
        <v>273201</v>
      </c>
      <c r="F7" s="2">
        <v>337860</v>
      </c>
      <c r="G7" s="2">
        <v>22681</v>
      </c>
      <c r="H7" s="2">
        <v>27870</v>
      </c>
      <c r="I7" s="2">
        <v>24341</v>
      </c>
      <c r="J7" s="2">
        <v>28632</v>
      </c>
      <c r="K7" s="2">
        <v>18424</v>
      </c>
      <c r="L7" s="2">
        <v>66382</v>
      </c>
      <c r="M7" s="2">
        <v>104313</v>
      </c>
      <c r="N7" s="2">
        <v>133970</v>
      </c>
      <c r="O7" s="2">
        <v>36125</v>
      </c>
      <c r="P7" s="2">
        <v>62028</v>
      </c>
      <c r="Q7" s="2">
        <v>72804</v>
      </c>
      <c r="R7" s="2">
        <v>90880</v>
      </c>
      <c r="S7" s="2">
        <v>20475</v>
      </c>
      <c r="T7" s="2">
        <v>41639</v>
      </c>
      <c r="U7" s="2">
        <v>71712</v>
      </c>
      <c r="V7" s="2">
        <v>85544</v>
      </c>
      <c r="W7" s="2">
        <v>8656</v>
      </c>
      <c r="X7" s="2">
        <v>27830</v>
      </c>
      <c r="Y7" s="2">
        <v>50082</v>
      </c>
      <c r="Z7" s="2">
        <v>73727</v>
      </c>
      <c r="AA7" s="2">
        <v>28259</v>
      </c>
      <c r="AB7" s="2">
        <v>56990</v>
      </c>
      <c r="AC7" s="2">
        <v>77546</v>
      </c>
      <c r="AD7" s="2">
        <v>91695</v>
      </c>
      <c r="AE7" s="2">
        <f>DRE!AE21</f>
        <v>33591</v>
      </c>
      <c r="AF7" s="2">
        <f>AE7+DRE!AF21</f>
        <v>112952</v>
      </c>
      <c r="AG7" s="2">
        <f>AF7+DRE!AG21</f>
        <v>154676</v>
      </c>
      <c r="AH7" s="2">
        <f>AG7+DRE!AH21</f>
        <v>173700</v>
      </c>
      <c r="AI7" s="21">
        <v>12589</v>
      </c>
      <c r="AJ7" s="21">
        <v>-8707</v>
      </c>
      <c r="AK7" s="21">
        <v>-2151</v>
      </c>
      <c r="AL7" s="21">
        <v>70182</v>
      </c>
      <c r="AM7" s="21">
        <v>80125</v>
      </c>
      <c r="AN7" s="21">
        <v>143910</v>
      </c>
      <c r="AO7" s="21">
        <v>208301</v>
      </c>
      <c r="AP7" s="21">
        <v>270262</v>
      </c>
      <c r="AQ7" s="21">
        <v>63492</v>
      </c>
      <c r="AR7" s="21">
        <v>139923</v>
      </c>
      <c r="AS7" s="21">
        <f>284987+4194</f>
        <v>289181</v>
      </c>
      <c r="AT7" s="21">
        <v>309188</v>
      </c>
      <c r="AU7" s="21">
        <v>46059</v>
      </c>
      <c r="AV7" s="21">
        <v>77848</v>
      </c>
      <c r="AW7" s="21">
        <v>222539</v>
      </c>
      <c r="AX7" s="2">
        <v>221533</v>
      </c>
      <c r="AY7" s="2">
        <v>-566</v>
      </c>
      <c r="AZ7" s="2">
        <v>20967</v>
      </c>
      <c r="BA7" s="2">
        <v>32521</v>
      </c>
      <c r="BB7" s="2">
        <v>70014</v>
      </c>
      <c r="BC7" s="2">
        <v>59035</v>
      </c>
      <c r="BD7" s="104">
        <v>173299</v>
      </c>
      <c r="BE7" s="104">
        <v>406333</v>
      </c>
      <c r="BF7" s="104">
        <v>642907</v>
      </c>
      <c r="BG7" s="104">
        <v>252265</v>
      </c>
      <c r="BH7" s="104">
        <v>633172</v>
      </c>
      <c r="BI7" s="104">
        <v>910482</v>
      </c>
      <c r="BJ7" s="104">
        <v>1062474</v>
      </c>
      <c r="BK7" s="104">
        <v>131560</v>
      </c>
      <c r="BL7" s="104">
        <v>253335</v>
      </c>
      <c r="BM7" s="104">
        <v>327862</v>
      </c>
      <c r="BN7" s="104">
        <v>382885</v>
      </c>
      <c r="BO7" s="104">
        <v>41205</v>
      </c>
      <c r="BP7" s="104">
        <v>97936</v>
      </c>
      <c r="BQ7" s="104">
        <v>201487</v>
      </c>
      <c r="BR7" s="104">
        <v>327754</v>
      </c>
      <c r="BS7" s="104">
        <v>24248</v>
      </c>
      <c r="BT7" s="104">
        <v>42937</v>
      </c>
      <c r="BU7" s="104">
        <v>88896</v>
      </c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pans="2:94">
      <c r="B8" s="3" t="s">
        <v>95</v>
      </c>
      <c r="C8" s="2">
        <v>-4763</v>
      </c>
      <c r="D8" s="2">
        <v>1309</v>
      </c>
      <c r="E8" s="2">
        <v>-911</v>
      </c>
      <c r="F8" s="2">
        <v>-2463</v>
      </c>
      <c r="G8" s="2">
        <v>169</v>
      </c>
      <c r="H8" s="2">
        <v>-2869</v>
      </c>
      <c r="I8" s="2">
        <v>-5849</v>
      </c>
      <c r="J8" s="2">
        <v>-6792</v>
      </c>
      <c r="K8" s="2">
        <v>-373</v>
      </c>
      <c r="L8" s="2">
        <v>919</v>
      </c>
      <c r="M8" s="2">
        <v>-6540</v>
      </c>
      <c r="N8" s="2">
        <v>-5233</v>
      </c>
      <c r="O8" s="2">
        <v>-2911</v>
      </c>
      <c r="P8" s="2">
        <v>-5507</v>
      </c>
      <c r="Q8" s="2">
        <v>-7084</v>
      </c>
      <c r="R8" s="2">
        <v>-13920</v>
      </c>
      <c r="S8" s="2">
        <v>-5376</v>
      </c>
      <c r="T8" s="2">
        <v>-6352</v>
      </c>
      <c r="U8" s="2">
        <v>-6812</v>
      </c>
      <c r="V8" s="2">
        <v>-8229</v>
      </c>
      <c r="W8" s="2">
        <v>569</v>
      </c>
      <c r="X8" s="2">
        <v>-673</v>
      </c>
      <c r="Y8" s="2">
        <v>-880</v>
      </c>
      <c r="Z8" s="2">
        <v>-2569</v>
      </c>
      <c r="AA8" s="2">
        <v>-422</v>
      </c>
      <c r="AB8" s="2">
        <v>-811</v>
      </c>
      <c r="AC8" s="2">
        <v>-1529</v>
      </c>
      <c r="AD8" s="2">
        <v>-1430</v>
      </c>
      <c r="AE8" s="21">
        <f>-2427</f>
        <v>-2427</v>
      </c>
      <c r="AF8" s="2">
        <v>-2859</v>
      </c>
      <c r="AG8" s="2">
        <v>-2076</v>
      </c>
      <c r="AH8" s="2">
        <v>-19759</v>
      </c>
      <c r="AI8" s="21">
        <v>3752</v>
      </c>
      <c r="AJ8" s="21">
        <v>3450</v>
      </c>
      <c r="AK8" s="21">
        <v>-9186</v>
      </c>
      <c r="AL8" s="21">
        <v>-18205</v>
      </c>
      <c r="AM8" s="21">
        <v>-1020</v>
      </c>
      <c r="AN8" s="21">
        <v>-3766</v>
      </c>
      <c r="AO8" s="21">
        <v>-11233</v>
      </c>
      <c r="AP8" s="21">
        <v>-33032</v>
      </c>
      <c r="AQ8" s="21">
        <v>223</v>
      </c>
      <c r="AR8" s="21">
        <v>4738</v>
      </c>
      <c r="AS8" s="21">
        <v>16269</v>
      </c>
      <c r="AT8" s="21">
        <v>28281</v>
      </c>
      <c r="AU8" s="21">
        <v>8617</v>
      </c>
      <c r="AV8" s="21">
        <v>19892</v>
      </c>
      <c r="AW8" s="58">
        <v>26874</v>
      </c>
      <c r="AX8" s="2">
        <v>36168</v>
      </c>
      <c r="AY8" s="2">
        <v>-557</v>
      </c>
      <c r="AZ8" s="2">
        <v>-1372</v>
      </c>
      <c r="BA8" s="2">
        <v>21832</v>
      </c>
      <c r="BB8" s="2">
        <v>29698</v>
      </c>
      <c r="BC8" s="2">
        <v>3988</v>
      </c>
      <c r="BD8" s="2">
        <v>18890</v>
      </c>
      <c r="BE8" s="2">
        <v>16124</v>
      </c>
      <c r="BF8" s="90">
        <f>3870-4093</f>
        <v>-223</v>
      </c>
      <c r="BG8" s="90">
        <v>9035</v>
      </c>
      <c r="BH8" s="109">
        <v>-12837</v>
      </c>
      <c r="BI8" s="109">
        <v>-27650</v>
      </c>
      <c r="BJ8" s="109">
        <v>-53971</v>
      </c>
      <c r="BK8" s="21">
        <v>-4616</v>
      </c>
      <c r="BL8" s="104">
        <v>-22823</v>
      </c>
      <c r="BM8" s="104">
        <v>-39790</v>
      </c>
      <c r="BN8" s="109">
        <v>-54730</v>
      </c>
      <c r="BO8" s="109">
        <v>-18345</v>
      </c>
      <c r="BP8" s="104">
        <v>-31525</v>
      </c>
      <c r="BQ8" s="109">
        <v>-44698</v>
      </c>
      <c r="BR8" s="104">
        <v>-101964</v>
      </c>
      <c r="BS8" s="104">
        <v>-18059</v>
      </c>
      <c r="BT8" s="104">
        <v>-29602</v>
      </c>
      <c r="BU8" s="104">
        <v>-40869</v>
      </c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</row>
    <row r="9" spans="2:94">
      <c r="B9" s="3" t="s">
        <v>91</v>
      </c>
      <c r="C9" s="2">
        <v>5743</v>
      </c>
      <c r="D9" s="2">
        <v>11699</v>
      </c>
      <c r="E9" s="2">
        <v>18328</v>
      </c>
      <c r="F9" s="2">
        <v>27475</v>
      </c>
      <c r="G9" s="2">
        <v>7624</v>
      </c>
      <c r="H9" s="2">
        <v>15246</v>
      </c>
      <c r="I9" s="2">
        <v>22127</v>
      </c>
      <c r="J9" s="2">
        <v>29775</v>
      </c>
      <c r="K9" s="2">
        <v>5535</v>
      </c>
      <c r="L9" s="2">
        <v>19128</v>
      </c>
      <c r="M9" s="2">
        <v>25333</v>
      </c>
      <c r="N9" s="2">
        <v>32263</v>
      </c>
      <c r="O9" s="2">
        <v>9030</v>
      </c>
      <c r="P9" s="2">
        <v>20890</v>
      </c>
      <c r="Q9" s="2">
        <v>30878</v>
      </c>
      <c r="R9" s="2">
        <v>41871</v>
      </c>
      <c r="S9" s="2">
        <v>10362</v>
      </c>
      <c r="T9" s="2">
        <v>23635</v>
      </c>
      <c r="U9" s="2">
        <v>40509</v>
      </c>
      <c r="V9" s="2">
        <v>56294</v>
      </c>
      <c r="W9" s="2">
        <v>14212</v>
      </c>
      <c r="X9" s="2">
        <v>26658</v>
      </c>
      <c r="Y9" s="2">
        <v>40335</v>
      </c>
      <c r="Z9" s="2">
        <v>56390</v>
      </c>
      <c r="AA9" s="2">
        <v>18126</v>
      </c>
      <c r="AB9" s="2">
        <v>35231</v>
      </c>
      <c r="AC9" s="2">
        <v>54360</v>
      </c>
      <c r="AD9" s="2">
        <v>59218</v>
      </c>
      <c r="AE9" s="21">
        <v>11218</v>
      </c>
      <c r="AF9" s="2">
        <v>20849</v>
      </c>
      <c r="AG9" s="2">
        <v>29808</v>
      </c>
      <c r="AH9" s="2">
        <v>54312</v>
      </c>
      <c r="AI9" s="21">
        <v>15950</v>
      </c>
      <c r="AJ9" s="21">
        <v>32199</v>
      </c>
      <c r="AK9" s="21">
        <v>47179</v>
      </c>
      <c r="AL9" s="21">
        <v>78608</v>
      </c>
      <c r="AM9" s="21">
        <v>20734</v>
      </c>
      <c r="AN9" s="21">
        <f>42203-4340</f>
        <v>37863</v>
      </c>
      <c r="AO9" s="21">
        <v>58253</v>
      </c>
      <c r="AP9" s="21">
        <v>110073</v>
      </c>
      <c r="AQ9" s="21">
        <v>20376</v>
      </c>
      <c r="AR9" s="21">
        <v>54554</v>
      </c>
      <c r="AS9" s="21">
        <v>86254</v>
      </c>
      <c r="AT9" s="21">
        <f>87975+59197</f>
        <v>147172</v>
      </c>
      <c r="AU9" s="21">
        <f>25183+8593</f>
        <v>33776</v>
      </c>
      <c r="AV9" s="21">
        <f>52461+19777-1098</f>
        <v>71140</v>
      </c>
      <c r="AW9" s="58">
        <v>104147</v>
      </c>
      <c r="AX9" s="2">
        <v>107516</v>
      </c>
      <c r="AY9" s="2">
        <v>27669</v>
      </c>
      <c r="AZ9" s="2">
        <v>58643</v>
      </c>
      <c r="BA9" s="2">
        <v>137130</v>
      </c>
      <c r="BB9" s="2">
        <v>177793</v>
      </c>
      <c r="BC9" s="2">
        <v>27504</v>
      </c>
      <c r="BD9" s="2">
        <v>57950</v>
      </c>
      <c r="BE9" s="2">
        <f>86910+28673</f>
        <v>115583</v>
      </c>
      <c r="BF9" s="90">
        <v>157136</v>
      </c>
      <c r="BG9" s="90">
        <v>28621</v>
      </c>
      <c r="BH9" s="109">
        <v>58752</v>
      </c>
      <c r="BI9" s="104">
        <f>88603+38511</f>
        <v>127114</v>
      </c>
      <c r="BJ9" s="109">
        <f>121275+51910</f>
        <v>173185</v>
      </c>
      <c r="BK9" s="2">
        <v>37601</v>
      </c>
      <c r="BL9" s="104">
        <v>76994</v>
      </c>
      <c r="BM9" s="104">
        <f>114532+47433</f>
        <v>161965</v>
      </c>
      <c r="BN9" s="109">
        <f>151595+64425</f>
        <v>216020</v>
      </c>
      <c r="BO9" s="109">
        <f>34898+8193</f>
        <v>43091</v>
      </c>
      <c r="BP9" s="104">
        <v>73884</v>
      </c>
      <c r="BQ9" s="104">
        <f>143810+49695</f>
        <v>193505</v>
      </c>
      <c r="BR9" s="104">
        <v>194899</v>
      </c>
      <c r="BS9" s="104">
        <v>49725</v>
      </c>
      <c r="BT9" s="104">
        <v>100971</v>
      </c>
      <c r="BU9" s="104">
        <v>152601</v>
      </c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</row>
    <row r="10" spans="2:94">
      <c r="B10" s="3" t="s">
        <v>92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7286</v>
      </c>
      <c r="K10" s="2">
        <v>0</v>
      </c>
      <c r="L10" s="2">
        <v>0</v>
      </c>
      <c r="M10" s="2">
        <v>0</v>
      </c>
      <c r="N10" s="2">
        <v>-18320</v>
      </c>
      <c r="O10" s="2">
        <v>-217</v>
      </c>
      <c r="P10" s="2">
        <v>-5621</v>
      </c>
      <c r="Q10" s="2">
        <v>-16087</v>
      </c>
      <c r="R10" s="2">
        <v>-13640</v>
      </c>
      <c r="S10" s="2">
        <v>-4434</v>
      </c>
      <c r="T10" s="2">
        <v>-16122</v>
      </c>
      <c r="U10" s="2">
        <v>-19899</v>
      </c>
      <c r="V10" s="2">
        <v>-16382</v>
      </c>
      <c r="W10" s="2">
        <v>-8481</v>
      </c>
      <c r="X10" s="2">
        <v>-11185</v>
      </c>
      <c r="Y10" s="2">
        <v>-18113</v>
      </c>
      <c r="Z10" s="2">
        <v>-25434</v>
      </c>
      <c r="AA10" s="2">
        <v>2546</v>
      </c>
      <c r="AB10" s="2">
        <v>876</v>
      </c>
      <c r="AC10" s="2">
        <v>1005</v>
      </c>
      <c r="AD10" s="2">
        <v>-6718</v>
      </c>
      <c r="AE10" s="21">
        <v>0</v>
      </c>
      <c r="AF10" s="2">
        <v>0</v>
      </c>
      <c r="AG10" s="2">
        <v>0</v>
      </c>
      <c r="AH10" s="2">
        <v>-25478</v>
      </c>
      <c r="AI10" s="21">
        <v>0</v>
      </c>
      <c r="AJ10" s="21">
        <v>0</v>
      </c>
      <c r="AK10" s="21">
        <v>0</v>
      </c>
      <c r="AL10" s="21">
        <v>-23985</v>
      </c>
      <c r="AM10" s="21">
        <v>0</v>
      </c>
      <c r="AN10" s="21">
        <v>0</v>
      </c>
      <c r="AO10" s="21">
        <v>0</v>
      </c>
      <c r="AP10" s="21">
        <v>-41368</v>
      </c>
      <c r="AQ10" s="21">
        <v>0</v>
      </c>
      <c r="AR10" s="21">
        <v>0</v>
      </c>
      <c r="AS10" s="21">
        <v>0</v>
      </c>
      <c r="AT10" s="21">
        <v>-22266</v>
      </c>
      <c r="AU10" s="21">
        <v>0</v>
      </c>
      <c r="AV10" s="21">
        <v>0</v>
      </c>
      <c r="AW10" s="21">
        <v>-24110</v>
      </c>
      <c r="AX10" s="2">
        <v>36566</v>
      </c>
      <c r="AY10" s="2">
        <v>8014</v>
      </c>
      <c r="AZ10" s="2">
        <v>16939</v>
      </c>
      <c r="BA10" s="2">
        <v>-23851</v>
      </c>
      <c r="BB10" s="2">
        <v>-46211</v>
      </c>
      <c r="BC10" s="2">
        <v>3848</v>
      </c>
      <c r="BD10" s="2">
        <v>7262</v>
      </c>
      <c r="BE10" s="2">
        <v>-12088</v>
      </c>
      <c r="BF10" s="90">
        <v>-27802</v>
      </c>
      <c r="BG10" s="90">
        <v>3951</v>
      </c>
      <c r="BH10" s="109">
        <v>9704</v>
      </c>
      <c r="BI10" s="109">
        <v>-28426</v>
      </c>
      <c r="BJ10" s="109">
        <v>-38003</v>
      </c>
      <c r="BK10" s="2">
        <v>7240</v>
      </c>
      <c r="BL10" s="104">
        <v>13451</v>
      </c>
      <c r="BM10" s="104">
        <v>-39571</v>
      </c>
      <c r="BN10" s="109">
        <v>-71728</v>
      </c>
      <c r="BO10" s="109">
        <v>0</v>
      </c>
      <c r="BP10" s="104">
        <v>0</v>
      </c>
      <c r="BQ10" s="104">
        <v>-34858</v>
      </c>
      <c r="BR10" s="104">
        <v>-74626</v>
      </c>
      <c r="BS10" s="104">
        <v>0</v>
      </c>
      <c r="BT10" s="104">
        <v>0</v>
      </c>
      <c r="BU10" s="104">
        <v>-77432</v>
      </c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</row>
    <row r="11" spans="2:94">
      <c r="B11" s="3" t="s">
        <v>76</v>
      </c>
      <c r="C11" s="2">
        <v>-1804</v>
      </c>
      <c r="D11" s="2">
        <v>-3829</v>
      </c>
      <c r="E11" s="2">
        <v>-5312</v>
      </c>
      <c r="F11" s="2">
        <v>-548</v>
      </c>
      <c r="G11" s="2">
        <v>-77</v>
      </c>
      <c r="H11" s="2">
        <v>-603</v>
      </c>
      <c r="I11" s="2">
        <v>-556</v>
      </c>
      <c r="J11" s="2">
        <v>-2028</v>
      </c>
      <c r="K11" s="2">
        <v>-763</v>
      </c>
      <c r="L11" s="2">
        <v>-2605</v>
      </c>
      <c r="M11" s="2">
        <v>-3893</v>
      </c>
      <c r="N11" s="2">
        <v>-2316</v>
      </c>
      <c r="O11" s="2">
        <v>2947</v>
      </c>
      <c r="P11" s="2">
        <v>3442</v>
      </c>
      <c r="Q11" s="2">
        <v>3126</v>
      </c>
      <c r="R11" s="2">
        <v>-92</v>
      </c>
      <c r="S11" s="2">
        <v>2658</v>
      </c>
      <c r="T11" s="2">
        <v>1680</v>
      </c>
      <c r="U11" s="2">
        <v>1406</v>
      </c>
      <c r="V11" s="2">
        <v>-4235</v>
      </c>
      <c r="W11" s="2">
        <v>3731</v>
      </c>
      <c r="X11" s="2">
        <v>3018</v>
      </c>
      <c r="Y11" s="2">
        <v>3376</v>
      </c>
      <c r="Z11" s="2">
        <v>3939</v>
      </c>
      <c r="AA11" s="2">
        <v>-238</v>
      </c>
      <c r="AB11" s="2">
        <v>-1769</v>
      </c>
      <c r="AC11" s="2">
        <v>-3472</v>
      </c>
      <c r="AD11" s="2">
        <v>-6036</v>
      </c>
      <c r="AE11" s="21">
        <v>52</v>
      </c>
      <c r="AF11" s="2">
        <v>1103</v>
      </c>
      <c r="AG11" s="2">
        <v>-5156</v>
      </c>
      <c r="AH11" s="2">
        <v>-15323</v>
      </c>
      <c r="AI11" s="21">
        <v>8077</v>
      </c>
      <c r="AJ11" s="21">
        <v>-725</v>
      </c>
      <c r="AK11" s="21">
        <v>-4253</v>
      </c>
      <c r="AL11" s="21">
        <v>-10491</v>
      </c>
      <c r="AM11" s="21">
        <v>10876</v>
      </c>
      <c r="AN11" s="21">
        <v>16455</v>
      </c>
      <c r="AO11" s="21">
        <v>14032</v>
      </c>
      <c r="AP11" s="21">
        <v>12412</v>
      </c>
      <c r="AQ11" s="21">
        <v>9174</v>
      </c>
      <c r="AR11" s="21">
        <v>9083</v>
      </c>
      <c r="AS11" s="21">
        <v>25539</v>
      </c>
      <c r="AT11" s="21">
        <v>10261</v>
      </c>
      <c r="AU11" s="21">
        <v>9092</v>
      </c>
      <c r="AV11" s="21">
        <v>9901</v>
      </c>
      <c r="AW11" s="21">
        <v>-2034</v>
      </c>
      <c r="AX11" s="2">
        <v>18284</v>
      </c>
      <c r="AY11" s="2">
        <v>7902</v>
      </c>
      <c r="AZ11" s="2">
        <v>6065</v>
      </c>
      <c r="BA11" s="2">
        <v>6110</v>
      </c>
      <c r="BB11" s="2">
        <v>-3212</v>
      </c>
      <c r="BC11" s="2">
        <v>7020</v>
      </c>
      <c r="BD11" s="2">
        <v>12095</v>
      </c>
      <c r="BE11" s="2">
        <v>-35149</v>
      </c>
      <c r="BF11" s="90">
        <v>-41945</v>
      </c>
      <c r="BG11" s="90">
        <v>21053</v>
      </c>
      <c r="BH11" s="109">
        <v>12849</v>
      </c>
      <c r="BI11" s="109">
        <v>11581</v>
      </c>
      <c r="BJ11" s="109">
        <v>-3515</v>
      </c>
      <c r="BK11" s="2">
        <v>24328</v>
      </c>
      <c r="BL11" s="104">
        <v>20468</v>
      </c>
      <c r="BM11" s="104">
        <v>25289</v>
      </c>
      <c r="BN11" s="109">
        <v>24888</v>
      </c>
      <c r="BO11" s="109">
        <v>16646</v>
      </c>
      <c r="BP11" s="104">
        <v>23133</v>
      </c>
      <c r="BQ11" s="104">
        <v>11182</v>
      </c>
      <c r="BR11" s="104">
        <v>7183</v>
      </c>
      <c r="BS11" s="104">
        <v>13527</v>
      </c>
      <c r="BT11" s="104">
        <v>12654</v>
      </c>
      <c r="BU11" s="104">
        <v>25712</v>
      </c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</row>
    <row r="12" spans="2:94">
      <c r="B12" s="3" t="s">
        <v>187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23371</v>
      </c>
      <c r="AU12" s="2">
        <v>2578</v>
      </c>
      <c r="AV12" s="2">
        <v>5156</v>
      </c>
      <c r="AW12" s="61">
        <v>7166</v>
      </c>
      <c r="AX12" s="2">
        <v>8742</v>
      </c>
      <c r="AY12" s="2">
        <v>2935</v>
      </c>
      <c r="AZ12" s="2">
        <v>5869</v>
      </c>
      <c r="BA12" s="2">
        <v>7142</v>
      </c>
      <c r="BB12" s="2">
        <v>8940</v>
      </c>
      <c r="BC12" s="2">
        <v>3108</v>
      </c>
      <c r="BD12" s="2">
        <v>6216</v>
      </c>
      <c r="BE12" s="2">
        <v>5046</v>
      </c>
      <c r="BF12" s="90">
        <v>7717</v>
      </c>
      <c r="BG12" s="90">
        <v>-21859</v>
      </c>
      <c r="BH12" s="109">
        <v>-19763</v>
      </c>
      <c r="BI12" s="109">
        <v>-17667</v>
      </c>
      <c r="BJ12" s="109">
        <v>-17954</v>
      </c>
      <c r="BK12" s="2">
        <v>1621</v>
      </c>
      <c r="BL12" s="104">
        <v>3242</v>
      </c>
      <c r="BM12" s="104">
        <v>873</v>
      </c>
      <c r="BN12" s="104">
        <v>1579</v>
      </c>
      <c r="BO12" s="104">
        <v>1915</v>
      </c>
      <c r="BP12" s="104">
        <v>3830</v>
      </c>
      <c r="BQ12" s="104">
        <v>5746</v>
      </c>
      <c r="BR12" s="104">
        <v>3490</v>
      </c>
      <c r="BS12" s="104">
        <v>2457</v>
      </c>
      <c r="BT12" s="104">
        <v>4914</v>
      </c>
      <c r="BU12" s="104">
        <v>3450</v>
      </c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</row>
    <row r="13" spans="2:94">
      <c r="B13" s="3" t="s">
        <v>93</v>
      </c>
      <c r="C13" s="2">
        <v>1699</v>
      </c>
      <c r="D13" s="2">
        <v>2502</v>
      </c>
      <c r="E13" s="2">
        <v>4177</v>
      </c>
      <c r="F13" s="2">
        <v>4027</v>
      </c>
      <c r="G13" s="2">
        <v>97</v>
      </c>
      <c r="H13" s="2">
        <v>-448</v>
      </c>
      <c r="I13" s="2">
        <v>305</v>
      </c>
      <c r="J13" s="2">
        <v>-2663</v>
      </c>
      <c r="K13" s="2">
        <v>296</v>
      </c>
      <c r="L13" s="2">
        <v>1148</v>
      </c>
      <c r="M13" s="2">
        <v>1502</v>
      </c>
      <c r="N13" s="2">
        <v>8590</v>
      </c>
      <c r="O13" s="2">
        <v>-681</v>
      </c>
      <c r="P13" s="2">
        <v>-299</v>
      </c>
      <c r="Q13" s="2">
        <v>842</v>
      </c>
      <c r="R13" s="2">
        <v>903</v>
      </c>
      <c r="S13" s="2">
        <v>1173</v>
      </c>
      <c r="T13" s="2">
        <v>4649</v>
      </c>
      <c r="U13" s="2">
        <v>1126</v>
      </c>
      <c r="V13" s="2">
        <v>3527</v>
      </c>
      <c r="W13" s="2">
        <v>-5496</v>
      </c>
      <c r="X13" s="2">
        <v>-3299</v>
      </c>
      <c r="Y13" s="2">
        <v>-4189</v>
      </c>
      <c r="Z13" s="2">
        <v>-2950</v>
      </c>
      <c r="AA13" s="2">
        <v>-2046</v>
      </c>
      <c r="AB13" s="2">
        <v>-2046</v>
      </c>
      <c r="AC13" s="2">
        <v>-2046</v>
      </c>
      <c r="AD13" s="2">
        <v>1726</v>
      </c>
      <c r="AE13" s="21">
        <v>0</v>
      </c>
      <c r="AF13" s="2">
        <v>0</v>
      </c>
      <c r="AG13" s="2">
        <v>0</v>
      </c>
      <c r="AH13" s="2">
        <v>7008</v>
      </c>
      <c r="AI13" s="21">
        <v>3277</v>
      </c>
      <c r="AJ13" s="21">
        <v>6595</v>
      </c>
      <c r="AK13" s="21">
        <v>9786</v>
      </c>
      <c r="AL13" s="21">
        <v>10647</v>
      </c>
      <c r="AM13" s="21">
        <v>659</v>
      </c>
      <c r="AN13" s="21">
        <v>2148</v>
      </c>
      <c r="AO13" s="21">
        <v>3315</v>
      </c>
      <c r="AP13" s="21">
        <v>4972</v>
      </c>
      <c r="AQ13" s="21">
        <v>626</v>
      </c>
      <c r="AR13" s="21">
        <v>1236</v>
      </c>
      <c r="AS13" s="21">
        <v>2917</v>
      </c>
      <c r="AT13" s="21">
        <v>-2071</v>
      </c>
      <c r="AU13" s="21">
        <v>381</v>
      </c>
      <c r="AV13" s="21">
        <v>634</v>
      </c>
      <c r="AW13" s="21">
        <v>1001</v>
      </c>
      <c r="AX13" s="2">
        <v>8095</v>
      </c>
      <c r="AY13" s="2">
        <v>1174</v>
      </c>
      <c r="AZ13" s="2">
        <v>2886</v>
      </c>
      <c r="BA13" s="2">
        <v>-5793</v>
      </c>
      <c r="BB13" s="2">
        <v>-5585</v>
      </c>
      <c r="BC13" s="2">
        <v>-415</v>
      </c>
      <c r="BD13" s="2">
        <v>-829</v>
      </c>
      <c r="BE13" s="2">
        <v>357</v>
      </c>
      <c r="BF13" s="90">
        <v>206</v>
      </c>
      <c r="BG13" s="90">
        <v>43</v>
      </c>
      <c r="BH13" s="109">
        <v>-3248</v>
      </c>
      <c r="BI13" s="109">
        <v>-2381</v>
      </c>
      <c r="BJ13" s="109">
        <v>951</v>
      </c>
      <c r="BK13" s="2">
        <v>-414</v>
      </c>
      <c r="BL13" s="104">
        <v>-829</v>
      </c>
      <c r="BM13" s="104">
        <v>-1924</v>
      </c>
      <c r="BN13" s="104">
        <v>10871</v>
      </c>
      <c r="BO13" s="104">
        <v>-1823</v>
      </c>
      <c r="BP13" s="104">
        <v>-12122</v>
      </c>
      <c r="BQ13" s="104">
        <v>-13599</v>
      </c>
      <c r="BR13" s="104">
        <v>-12987</v>
      </c>
      <c r="BS13" s="104">
        <v>-407</v>
      </c>
      <c r="BT13" s="104">
        <v>-878</v>
      </c>
      <c r="BU13" s="104">
        <v>-918</v>
      </c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</row>
    <row r="14" spans="2:94">
      <c r="B14" s="3" t="s">
        <v>210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1">
        <f>16888-4583</f>
        <v>12305</v>
      </c>
      <c r="AF14" s="2">
        <f>8413-12931</f>
        <v>-4518</v>
      </c>
      <c r="AG14" s="2">
        <v>20003</v>
      </c>
      <c r="AH14" s="2">
        <v>8118</v>
      </c>
      <c r="AI14" s="21">
        <v>-7096</v>
      </c>
      <c r="AJ14" s="21">
        <v>-6794</v>
      </c>
      <c r="AK14" s="21">
        <v>-7289</v>
      </c>
      <c r="AL14" s="21">
        <v>-8118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90">
        <v>0</v>
      </c>
      <c r="BG14" s="90">
        <v>0</v>
      </c>
      <c r="BH14" s="90">
        <v>0</v>
      </c>
      <c r="BI14" s="90">
        <v>0</v>
      </c>
      <c r="BJ14" s="90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P14" s="16"/>
    </row>
    <row r="15" spans="2:94">
      <c r="B15" s="3" t="s">
        <v>196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-197104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90">
        <v>0</v>
      </c>
      <c r="BG15" s="90">
        <v>0</v>
      </c>
      <c r="BH15" s="90">
        <v>0</v>
      </c>
      <c r="BI15" s="90">
        <v>0</v>
      </c>
      <c r="BJ15" s="90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</row>
    <row r="16" spans="2:94">
      <c r="B16" s="3" t="s">
        <v>181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-75143</v>
      </c>
      <c r="AT16" s="21">
        <v>-75143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90">
        <v>0</v>
      </c>
      <c r="BG16" s="90">
        <v>0</v>
      </c>
      <c r="BH16" s="90">
        <v>0</v>
      </c>
      <c r="BI16" s="90">
        <v>0</v>
      </c>
      <c r="BJ16" s="90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21">
        <v>0</v>
      </c>
      <c r="BU16" s="21">
        <v>0</v>
      </c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</row>
    <row r="17" spans="2:94" ht="15.75" thickBot="1">
      <c r="B17" s="3" t="s">
        <v>64</v>
      </c>
      <c r="C17" s="2">
        <v>154</v>
      </c>
      <c r="D17" s="2">
        <v>555</v>
      </c>
      <c r="E17" s="2">
        <v>2064</v>
      </c>
      <c r="F17" s="2">
        <v>2953</v>
      </c>
      <c r="G17" s="2">
        <v>486</v>
      </c>
      <c r="H17" s="2">
        <v>7655</v>
      </c>
      <c r="I17" s="2">
        <v>2967</v>
      </c>
      <c r="J17" s="2">
        <v>4310</v>
      </c>
      <c r="K17" s="2">
        <v>528</v>
      </c>
      <c r="L17" s="2">
        <v>4041</v>
      </c>
      <c r="M17" s="2">
        <v>6163</v>
      </c>
      <c r="N17" s="2">
        <v>-1811</v>
      </c>
      <c r="O17" s="2">
        <v>1882</v>
      </c>
      <c r="P17" s="2">
        <v>3381</v>
      </c>
      <c r="Q17" s="2">
        <v>7076</v>
      </c>
      <c r="R17" s="2">
        <v>1929</v>
      </c>
      <c r="S17" s="2">
        <v>696</v>
      </c>
      <c r="T17" s="2">
        <v>1304</v>
      </c>
      <c r="U17" s="2">
        <v>4338</v>
      </c>
      <c r="V17" s="2">
        <v>-1660</v>
      </c>
      <c r="W17" s="2">
        <v>1373</v>
      </c>
      <c r="X17" s="2">
        <v>3755</v>
      </c>
      <c r="Y17" s="2">
        <v>5246</v>
      </c>
      <c r="Z17" s="2">
        <v>494</v>
      </c>
      <c r="AA17" s="2">
        <v>2053</v>
      </c>
      <c r="AB17" s="2">
        <v>4229</v>
      </c>
      <c r="AC17" s="2">
        <v>5868</v>
      </c>
      <c r="AD17" s="2">
        <v>2818</v>
      </c>
      <c r="AE17" s="21">
        <v>4222</v>
      </c>
      <c r="AF17" s="2">
        <v>11526</v>
      </c>
      <c r="AG17" s="2">
        <v>16491</v>
      </c>
      <c r="AH17" s="2">
        <v>11569</v>
      </c>
      <c r="AI17" s="21">
        <v>1652</v>
      </c>
      <c r="AJ17" s="21">
        <v>-911</v>
      </c>
      <c r="AK17" s="21">
        <v>-901</v>
      </c>
      <c r="AL17" s="21">
        <v>524</v>
      </c>
      <c r="AM17" s="21">
        <v>3712</v>
      </c>
      <c r="AN17" s="21">
        <v>14892</v>
      </c>
      <c r="AO17" s="21">
        <f>6+21751+4107</f>
        <v>25864</v>
      </c>
      <c r="AP17" s="21">
        <v>3491</v>
      </c>
      <c r="AQ17" s="21">
        <v>9308</v>
      </c>
      <c r="AR17" s="21">
        <v>20551</v>
      </c>
      <c r="AS17" s="21">
        <v>42564</v>
      </c>
      <c r="AT17" s="21">
        <v>5186</v>
      </c>
      <c r="AU17" s="21">
        <f>7268+1549</f>
        <v>8817</v>
      </c>
      <c r="AV17" s="21">
        <f>13847+1359</f>
        <v>15206</v>
      </c>
      <c r="AW17" s="58">
        <f>31102+275-80993+2952</f>
        <v>-46664</v>
      </c>
      <c r="AX17" s="21">
        <v>4560</v>
      </c>
      <c r="AY17" s="21">
        <v>1412</v>
      </c>
      <c r="AZ17" s="21">
        <v>6321</v>
      </c>
      <c r="BA17" s="21">
        <f>7158+1401-7074+550</f>
        <v>2035</v>
      </c>
      <c r="BB17" s="21">
        <v>-342</v>
      </c>
      <c r="BC17" s="21">
        <v>10699</v>
      </c>
      <c r="BD17" s="21">
        <v>23265</v>
      </c>
      <c r="BE17" s="21">
        <f>101+2289-5280+49881+3236</f>
        <v>50227</v>
      </c>
      <c r="BF17" s="90">
        <f>2289-1564+5278+4730</f>
        <v>10733</v>
      </c>
      <c r="BG17" s="90">
        <f>1331+29612+1315</f>
        <v>32258</v>
      </c>
      <c r="BH17" s="90">
        <v>66462</v>
      </c>
      <c r="BI17" s="90">
        <v>68640</v>
      </c>
      <c r="BJ17" s="90">
        <f>3895-165+7283+3258-3952</f>
        <v>10319</v>
      </c>
      <c r="BK17" s="21">
        <f>111+1218+19153-172</f>
        <v>20310</v>
      </c>
      <c r="BL17" s="21">
        <f>111+37589+3593</f>
        <v>41293</v>
      </c>
      <c r="BM17" s="21">
        <f>111+50631+4372</f>
        <v>55114</v>
      </c>
      <c r="BN17" s="21">
        <f>111-93-10627+1967+4583</f>
        <v>-4059</v>
      </c>
      <c r="BO17" s="21">
        <f>9504-507+2446</f>
        <v>11443</v>
      </c>
      <c r="BP17" s="21">
        <f>17235+20876-979+3665</f>
        <v>40797</v>
      </c>
      <c r="BQ17" s="21">
        <f>10002-801+37394</f>
        <v>46595</v>
      </c>
      <c r="BR17" s="21">
        <f>65637+1607+1032+9006-3936</f>
        <v>73346</v>
      </c>
      <c r="BS17" s="21">
        <f>8737+44-1511+3483+1211</f>
        <v>11964</v>
      </c>
      <c r="BT17" s="21">
        <f>14279+686+10028-1975+2432</f>
        <v>25450</v>
      </c>
      <c r="BU17" s="21">
        <f>55598+792-2252+20458+76+486</f>
        <v>75158</v>
      </c>
      <c r="BV17" s="108"/>
      <c r="BW17" s="108"/>
      <c r="BX17" s="108"/>
      <c r="BY17" s="108"/>
      <c r="BZ17" s="108"/>
      <c r="CA17" s="108"/>
      <c r="CB17" s="21"/>
      <c r="CC17" s="108"/>
      <c r="CD17" s="108"/>
      <c r="CE17" s="108"/>
      <c r="CF17" s="16"/>
      <c r="CG17" s="16"/>
      <c r="CH17" s="16"/>
    </row>
    <row r="18" spans="2:94" ht="15.75" thickBot="1">
      <c r="B18" s="13" t="s">
        <v>20</v>
      </c>
      <c r="C18" s="9">
        <f t="shared" ref="C18:AH18" si="10">SUM(C19:C23)</f>
        <v>-28836</v>
      </c>
      <c r="D18" s="9">
        <f t="shared" si="10"/>
        <v>-96176</v>
      </c>
      <c r="E18" s="9">
        <f t="shared" si="10"/>
        <v>-46959</v>
      </c>
      <c r="F18" s="9">
        <f t="shared" si="10"/>
        <v>-113232</v>
      </c>
      <c r="G18" s="9">
        <f t="shared" si="10"/>
        <v>-20174</v>
      </c>
      <c r="H18" s="9">
        <f t="shared" si="10"/>
        <v>-23837</v>
      </c>
      <c r="I18" s="9">
        <f t="shared" si="10"/>
        <v>50044</v>
      </c>
      <c r="J18" s="9">
        <f t="shared" si="10"/>
        <v>82316</v>
      </c>
      <c r="K18" s="9">
        <f t="shared" si="10"/>
        <v>-4054</v>
      </c>
      <c r="L18" s="9">
        <f t="shared" si="10"/>
        <v>-22210</v>
      </c>
      <c r="M18" s="9">
        <f t="shared" si="10"/>
        <v>-54188</v>
      </c>
      <c r="N18" s="9">
        <f t="shared" si="10"/>
        <v>-87817</v>
      </c>
      <c r="O18" s="9">
        <f t="shared" si="10"/>
        <v>17766</v>
      </c>
      <c r="P18" s="9">
        <f t="shared" si="10"/>
        <v>38061</v>
      </c>
      <c r="Q18" s="9">
        <f t="shared" si="10"/>
        <v>30026</v>
      </c>
      <c r="R18" s="9">
        <f t="shared" si="10"/>
        <v>-2257</v>
      </c>
      <c r="S18" s="9">
        <f t="shared" si="10"/>
        <v>-1434</v>
      </c>
      <c r="T18" s="9">
        <f t="shared" si="10"/>
        <v>4931</v>
      </c>
      <c r="U18" s="9">
        <f t="shared" si="10"/>
        <v>-27594</v>
      </c>
      <c r="V18" s="9">
        <f t="shared" si="10"/>
        <v>-46990</v>
      </c>
      <c r="W18" s="9">
        <f t="shared" si="10"/>
        <v>-39781</v>
      </c>
      <c r="X18" s="9">
        <f t="shared" si="10"/>
        <v>-35943</v>
      </c>
      <c r="Y18" s="9">
        <f t="shared" si="10"/>
        <v>-31499</v>
      </c>
      <c r="Z18" s="9">
        <f t="shared" si="10"/>
        <v>-25502</v>
      </c>
      <c r="AA18" s="9">
        <f t="shared" si="10"/>
        <v>13876</v>
      </c>
      <c r="AB18" s="9">
        <f t="shared" si="10"/>
        <v>39670</v>
      </c>
      <c r="AC18" s="9">
        <f t="shared" si="10"/>
        <v>14839</v>
      </c>
      <c r="AD18" s="9">
        <f t="shared" si="10"/>
        <v>-5264</v>
      </c>
      <c r="AE18" s="9">
        <f t="shared" si="10"/>
        <v>-55577</v>
      </c>
      <c r="AF18" s="9">
        <f t="shared" si="10"/>
        <v>-95983</v>
      </c>
      <c r="AG18" s="9">
        <f t="shared" si="10"/>
        <v>-152236</v>
      </c>
      <c r="AH18" s="9">
        <f t="shared" si="10"/>
        <v>-213326</v>
      </c>
      <c r="AI18" s="12">
        <f t="shared" ref="AI18:AY18" si="11">SUM(AI19:AI23)</f>
        <v>69489</v>
      </c>
      <c r="AJ18" s="12">
        <f t="shared" si="11"/>
        <v>176746</v>
      </c>
      <c r="AK18" s="12">
        <f t="shared" si="11"/>
        <v>223925</v>
      </c>
      <c r="AL18" s="12">
        <f t="shared" si="11"/>
        <v>239166</v>
      </c>
      <c r="AM18" s="12">
        <f t="shared" si="11"/>
        <v>48610</v>
      </c>
      <c r="AN18" s="12">
        <f t="shared" si="11"/>
        <v>40832</v>
      </c>
      <c r="AO18" s="12">
        <f t="shared" si="11"/>
        <v>37537</v>
      </c>
      <c r="AP18" s="12">
        <f t="shared" si="11"/>
        <v>34871</v>
      </c>
      <c r="AQ18" s="12">
        <f t="shared" si="11"/>
        <v>-24170</v>
      </c>
      <c r="AR18" s="12">
        <f t="shared" si="11"/>
        <v>-49734</v>
      </c>
      <c r="AS18" s="12">
        <f t="shared" si="11"/>
        <v>-75819</v>
      </c>
      <c r="AT18" s="12">
        <f t="shared" si="11"/>
        <v>-89690</v>
      </c>
      <c r="AU18" s="12">
        <f t="shared" si="11"/>
        <v>-35175</v>
      </c>
      <c r="AV18" s="12">
        <f t="shared" si="11"/>
        <v>-41566</v>
      </c>
      <c r="AW18" s="12">
        <f t="shared" si="11"/>
        <v>-75262</v>
      </c>
      <c r="AX18" s="12">
        <f t="shared" si="11"/>
        <v>-5530</v>
      </c>
      <c r="AY18" s="12">
        <f t="shared" si="11"/>
        <v>-7284</v>
      </c>
      <c r="AZ18" s="12">
        <f t="shared" ref="AZ18:BA18" si="12">SUM(AZ19:AZ23)</f>
        <v>-66787</v>
      </c>
      <c r="BA18" s="12">
        <f t="shared" si="12"/>
        <v>3667</v>
      </c>
      <c r="BB18" s="12">
        <f t="shared" ref="BB18:BC18" si="13">SUM(BB19:BB23)</f>
        <v>48725</v>
      </c>
      <c r="BC18" s="12">
        <f t="shared" si="13"/>
        <v>-38979</v>
      </c>
      <c r="BD18" s="12">
        <f t="shared" ref="BD18:BE18" si="14">SUM(BD19:BD23)</f>
        <v>-52787</v>
      </c>
      <c r="BE18" s="12">
        <f t="shared" si="14"/>
        <v>-104697</v>
      </c>
      <c r="BF18" s="12">
        <f t="shared" ref="BF18:BG18" si="15">SUM(BF19:BF23)</f>
        <v>-130364</v>
      </c>
      <c r="BG18" s="12">
        <f t="shared" si="15"/>
        <v>10338</v>
      </c>
      <c r="BH18" s="12">
        <f t="shared" ref="BH18:BI18" si="16">SUM(BH19:BH23)</f>
        <v>-52532</v>
      </c>
      <c r="BI18" s="12">
        <f t="shared" si="16"/>
        <v>-70217</v>
      </c>
      <c r="BJ18" s="12">
        <f t="shared" ref="BJ18:BM18" si="17">SUM(BJ19:BJ23)</f>
        <v>-13117</v>
      </c>
      <c r="BK18" s="12">
        <f t="shared" si="17"/>
        <v>64374</v>
      </c>
      <c r="BL18" s="12">
        <f t="shared" si="17"/>
        <v>123251</v>
      </c>
      <c r="BM18" s="12">
        <f t="shared" si="17"/>
        <v>144414</v>
      </c>
      <c r="BN18" s="12">
        <f t="shared" ref="BN18:BO18" si="18">SUM(BN19:BN23)</f>
        <v>94128</v>
      </c>
      <c r="BO18" s="12">
        <f t="shared" si="18"/>
        <v>-31274</v>
      </c>
      <c r="BP18" s="12">
        <f t="shared" ref="BP18:BR18" si="19">SUM(BP19:BP23)</f>
        <v>-68845</v>
      </c>
      <c r="BQ18" s="12">
        <f t="shared" si="19"/>
        <v>-162270</v>
      </c>
      <c r="BR18" s="12">
        <f t="shared" si="19"/>
        <v>9947</v>
      </c>
      <c r="BS18" s="12">
        <f t="shared" ref="BS18:BU18" si="20">SUM(BS19:BS23)</f>
        <v>64537</v>
      </c>
      <c r="BT18" s="12">
        <f t="shared" si="20"/>
        <v>58642</v>
      </c>
      <c r="BU18" s="12">
        <f t="shared" si="20"/>
        <v>87650</v>
      </c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</row>
    <row r="19" spans="2:94">
      <c r="B19" s="20" t="s">
        <v>96</v>
      </c>
      <c r="C19" s="2">
        <v>-17427</v>
      </c>
      <c r="D19" s="2">
        <v>-78146</v>
      </c>
      <c r="E19" s="2">
        <v>-28737</v>
      </c>
      <c r="F19" s="2">
        <v>-18842</v>
      </c>
      <c r="G19" s="2">
        <v>25924</v>
      </c>
      <c r="H19" s="2">
        <v>6945</v>
      </c>
      <c r="I19" s="2">
        <v>-13379</v>
      </c>
      <c r="J19" s="2">
        <v>6502</v>
      </c>
      <c r="K19" s="2">
        <v>-17773</v>
      </c>
      <c r="L19" s="2">
        <v>-46789</v>
      </c>
      <c r="M19" s="2">
        <v>-33052</v>
      </c>
      <c r="N19" s="2">
        <v>-48327</v>
      </c>
      <c r="O19" s="2">
        <v>4532</v>
      </c>
      <c r="P19" s="2">
        <v>25951</v>
      </c>
      <c r="Q19" s="2">
        <v>25270</v>
      </c>
      <c r="R19" s="2">
        <v>22167</v>
      </c>
      <c r="S19" s="2">
        <v>-31987</v>
      </c>
      <c r="T19" s="2">
        <v>-28575</v>
      </c>
      <c r="U19" s="2">
        <v>-27750</v>
      </c>
      <c r="V19" s="2">
        <v>-31952</v>
      </c>
      <c r="W19" s="2">
        <v>-35416</v>
      </c>
      <c r="X19" s="2">
        <v>-23079</v>
      </c>
      <c r="Y19" s="2">
        <v>-47812</v>
      </c>
      <c r="Z19" s="2">
        <v>-42079</v>
      </c>
      <c r="AA19" s="2">
        <v>5353</v>
      </c>
      <c r="AB19" s="2">
        <v>40200</v>
      </c>
      <c r="AC19" s="2">
        <v>45941</v>
      </c>
      <c r="AD19" s="2">
        <v>59850</v>
      </c>
      <c r="AE19" s="21">
        <v>-7641</v>
      </c>
      <c r="AF19" s="2">
        <v>-15684</v>
      </c>
      <c r="AG19" s="2">
        <v>-1608</v>
      </c>
      <c r="AH19" s="2">
        <v>-48477</v>
      </c>
      <c r="AI19" s="21">
        <v>20071</v>
      </c>
      <c r="AJ19" s="21">
        <v>48333</v>
      </c>
      <c r="AK19" s="21">
        <v>35212</v>
      </c>
      <c r="AL19" s="21">
        <v>7830</v>
      </c>
      <c r="AM19" s="21">
        <v>26505</v>
      </c>
      <c r="AN19" s="21">
        <v>14874</v>
      </c>
      <c r="AO19" s="21">
        <v>4721</v>
      </c>
      <c r="AP19" s="21">
        <v>2874</v>
      </c>
      <c r="AQ19" s="21">
        <v>-19971</v>
      </c>
      <c r="AR19" s="21">
        <v>-21318</v>
      </c>
      <c r="AS19" s="21">
        <v>-7181</v>
      </c>
      <c r="AT19" s="21">
        <v>6988</v>
      </c>
      <c r="AU19" s="21">
        <v>2546</v>
      </c>
      <c r="AV19" s="21">
        <v>19922</v>
      </c>
      <c r="AW19" s="21">
        <v>24481</v>
      </c>
      <c r="AX19" s="21">
        <v>35407</v>
      </c>
      <c r="AY19" s="21">
        <v>-37768</v>
      </c>
      <c r="AZ19" s="21">
        <v>-89820</v>
      </c>
      <c r="BA19" s="21">
        <v>-11878</v>
      </c>
      <c r="BB19" s="21">
        <v>-58582</v>
      </c>
      <c r="BC19" s="21">
        <v>-45502</v>
      </c>
      <c r="BD19" s="21">
        <v>-27187</v>
      </c>
      <c r="BE19" s="21">
        <v>-102487</v>
      </c>
      <c r="BF19" s="21">
        <v>-128261</v>
      </c>
      <c r="BG19" s="21">
        <v>4345</v>
      </c>
      <c r="BH19" s="104">
        <v>-44771</v>
      </c>
      <c r="BI19" s="104">
        <v>20186</v>
      </c>
      <c r="BJ19" s="104">
        <v>82953</v>
      </c>
      <c r="BK19" s="21">
        <v>-28240</v>
      </c>
      <c r="BL19" s="104">
        <v>14236</v>
      </c>
      <c r="BM19" s="104">
        <v>40279</v>
      </c>
      <c r="BN19" s="104">
        <v>12055</v>
      </c>
      <c r="BO19" s="104">
        <v>14443</v>
      </c>
      <c r="BP19" s="104">
        <v>30153</v>
      </c>
      <c r="BQ19" s="104">
        <v>-31704</v>
      </c>
      <c r="BR19" s="104">
        <v>11939</v>
      </c>
      <c r="BS19" s="104">
        <v>6534</v>
      </c>
      <c r="BT19" s="104">
        <v>-37727</v>
      </c>
      <c r="BU19" s="104">
        <v>10255</v>
      </c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</row>
    <row r="20" spans="2:94">
      <c r="B20" s="20" t="s">
        <v>5</v>
      </c>
      <c r="C20" s="2">
        <v>-6447</v>
      </c>
      <c r="D20" s="2">
        <v>-11564</v>
      </c>
      <c r="E20" s="2">
        <v>-18407</v>
      </c>
      <c r="F20" s="2">
        <v>-89043</v>
      </c>
      <c r="G20" s="2">
        <v>-46341</v>
      </c>
      <c r="H20" s="2">
        <v>-36644</v>
      </c>
      <c r="I20" s="2">
        <v>53999</v>
      </c>
      <c r="J20" s="2">
        <v>69781</v>
      </c>
      <c r="K20" s="2">
        <v>4455</v>
      </c>
      <c r="L20" s="2">
        <v>19242</v>
      </c>
      <c r="M20" s="2">
        <v>-24043</v>
      </c>
      <c r="N20" s="2">
        <v>-44600</v>
      </c>
      <c r="O20" s="2">
        <v>9923</v>
      </c>
      <c r="P20" s="2">
        <v>13245</v>
      </c>
      <c r="Q20" s="2">
        <v>-1500</v>
      </c>
      <c r="R20" s="2">
        <v>-26099</v>
      </c>
      <c r="S20" s="2">
        <v>31012</v>
      </c>
      <c r="T20" s="2">
        <v>34785</v>
      </c>
      <c r="U20" s="2">
        <v>4006</v>
      </c>
      <c r="V20" s="2">
        <v>-12866</v>
      </c>
      <c r="W20" s="2">
        <v>1080</v>
      </c>
      <c r="X20" s="2">
        <v>-6617</v>
      </c>
      <c r="Y20" s="2">
        <v>15389</v>
      </c>
      <c r="Z20" s="2">
        <v>15607</v>
      </c>
      <c r="AA20" s="2">
        <v>5192</v>
      </c>
      <c r="AB20" s="2">
        <v>-8055</v>
      </c>
      <c r="AC20" s="2">
        <v>-38769</v>
      </c>
      <c r="AD20" s="2">
        <v>-79249</v>
      </c>
      <c r="AE20" s="21">
        <v>-48537</v>
      </c>
      <c r="AF20" s="2">
        <v>-83885</v>
      </c>
      <c r="AG20" s="2">
        <v>-108931</v>
      </c>
      <c r="AH20" s="2">
        <v>-101432</v>
      </c>
      <c r="AI20" s="21">
        <v>55658</v>
      </c>
      <c r="AJ20" s="21">
        <v>126376</v>
      </c>
      <c r="AK20" s="21">
        <v>188029</v>
      </c>
      <c r="AL20" s="21">
        <v>236651</v>
      </c>
      <c r="AM20" s="21">
        <v>3932</v>
      </c>
      <c r="AN20" s="21">
        <v>8931</v>
      </c>
      <c r="AO20" s="21">
        <v>14655</v>
      </c>
      <c r="AP20" s="21">
        <v>11040</v>
      </c>
      <c r="AQ20" s="21">
        <v>-13284</v>
      </c>
      <c r="AR20" s="21">
        <v>-41519</v>
      </c>
      <c r="AS20" s="21">
        <v>-74065</v>
      </c>
      <c r="AT20" s="21">
        <v>-111039</v>
      </c>
      <c r="AU20" s="21">
        <v>-40417</v>
      </c>
      <c r="AV20" s="21">
        <f>-63073+1098</f>
        <v>-61975</v>
      </c>
      <c r="AW20" s="58">
        <v>13362</v>
      </c>
      <c r="AX20" s="21">
        <v>-19037</v>
      </c>
      <c r="AY20" s="21">
        <v>29843</v>
      </c>
      <c r="AZ20" s="21">
        <v>18722</v>
      </c>
      <c r="BA20" s="21">
        <v>-15894</v>
      </c>
      <c r="BB20" s="21">
        <v>46237</v>
      </c>
      <c r="BC20" s="21">
        <v>1486</v>
      </c>
      <c r="BD20" s="21">
        <v>-48428</v>
      </c>
      <c r="BE20" s="21">
        <v>-72272</v>
      </c>
      <c r="BF20" s="21">
        <v>-132498</v>
      </c>
      <c r="BG20" s="21">
        <v>-37906</v>
      </c>
      <c r="BH20" s="104">
        <v>-64377</v>
      </c>
      <c r="BI20" s="104">
        <v>-153703</v>
      </c>
      <c r="BJ20" s="104">
        <v>-157549</v>
      </c>
      <c r="BK20" s="21">
        <v>54251</v>
      </c>
      <c r="BL20" s="104">
        <v>68287</v>
      </c>
      <c r="BM20" s="104">
        <v>71554</v>
      </c>
      <c r="BN20" s="104">
        <v>64935</v>
      </c>
      <c r="BO20" s="104">
        <v>-39925</v>
      </c>
      <c r="BP20" s="104">
        <v>-83568</v>
      </c>
      <c r="BQ20" s="104">
        <v>-115892</v>
      </c>
      <c r="BR20" s="104">
        <v>-23114</v>
      </c>
      <c r="BS20" s="104">
        <v>-6693</v>
      </c>
      <c r="BT20" s="104">
        <v>46951</v>
      </c>
      <c r="BU20" s="104">
        <v>27664</v>
      </c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6"/>
      <c r="CH20" s="16"/>
    </row>
    <row r="21" spans="2:94">
      <c r="B21" s="20" t="s">
        <v>6</v>
      </c>
      <c r="C21" s="2">
        <v>-5132</v>
      </c>
      <c r="D21" s="2">
        <v>-7418</v>
      </c>
      <c r="E21" s="2">
        <v>-2580</v>
      </c>
      <c r="F21" s="2">
        <v>-2030</v>
      </c>
      <c r="G21" s="2">
        <v>-65</v>
      </c>
      <c r="H21" s="2">
        <v>6777</v>
      </c>
      <c r="I21" s="2">
        <v>6381</v>
      </c>
      <c r="J21" s="2">
        <v>4878</v>
      </c>
      <c r="K21" s="2">
        <v>9508</v>
      </c>
      <c r="L21" s="2">
        <v>5516</v>
      </c>
      <c r="M21" s="2">
        <v>4113</v>
      </c>
      <c r="N21" s="2">
        <v>7327</v>
      </c>
      <c r="O21" s="2">
        <v>3462</v>
      </c>
      <c r="P21" s="2">
        <v>-1171</v>
      </c>
      <c r="Q21" s="2">
        <v>3597</v>
      </c>
      <c r="R21" s="2">
        <v>749</v>
      </c>
      <c r="S21" s="2">
        <v>-233</v>
      </c>
      <c r="T21" s="2">
        <v>-1165</v>
      </c>
      <c r="U21" s="2">
        <v>-1881</v>
      </c>
      <c r="V21" s="2">
        <v>-1261</v>
      </c>
      <c r="W21" s="2">
        <v>-5310</v>
      </c>
      <c r="X21" s="2">
        <v>-5892</v>
      </c>
      <c r="Y21" s="2">
        <v>4979</v>
      </c>
      <c r="Z21" s="2">
        <v>6413</v>
      </c>
      <c r="AA21" s="2">
        <v>3958</v>
      </c>
      <c r="AB21" s="2">
        <v>7119</v>
      </c>
      <c r="AC21" s="2">
        <v>7607</v>
      </c>
      <c r="AD21" s="2">
        <v>11086</v>
      </c>
      <c r="AE21" s="21">
        <f>17995</f>
        <v>17995</v>
      </c>
      <c r="AF21" s="2">
        <v>21193</v>
      </c>
      <c r="AG21" s="2">
        <v>19404</v>
      </c>
      <c r="AH21" s="2">
        <v>20933</v>
      </c>
      <c r="AI21" s="21">
        <v>1133</v>
      </c>
      <c r="AJ21" s="21">
        <v>1449</v>
      </c>
      <c r="AK21" s="21">
        <v>18170</v>
      </c>
      <c r="AL21" s="21">
        <v>8299</v>
      </c>
      <c r="AM21" s="21">
        <v>8167</v>
      </c>
      <c r="AN21" s="21">
        <v>5505</v>
      </c>
      <c r="AO21" s="21">
        <v>6333</v>
      </c>
      <c r="AP21" s="21">
        <v>1351</v>
      </c>
      <c r="AQ21" s="21">
        <v>-356</v>
      </c>
      <c r="AR21" s="21">
        <v>345</v>
      </c>
      <c r="AS21" s="21">
        <v>591</v>
      </c>
      <c r="AT21" s="21">
        <v>2511</v>
      </c>
      <c r="AU21" s="21">
        <v>-3919</v>
      </c>
      <c r="AV21" s="21">
        <v>-5791</v>
      </c>
      <c r="AW21" s="21">
        <v>-117876</v>
      </c>
      <c r="AX21" s="21">
        <v>-2588</v>
      </c>
      <c r="AY21" s="21">
        <v>-1877</v>
      </c>
      <c r="AZ21" s="21">
        <v>-5251</v>
      </c>
      <c r="BA21" s="21">
        <v>20314</v>
      </c>
      <c r="BB21" s="21">
        <v>43995</v>
      </c>
      <c r="BC21" s="21">
        <v>5615</v>
      </c>
      <c r="BD21" s="21">
        <v>31455</v>
      </c>
      <c r="BE21" s="21">
        <v>63997</v>
      </c>
      <c r="BF21" s="21">
        <v>127339</v>
      </c>
      <c r="BG21" s="21">
        <v>48080</v>
      </c>
      <c r="BH21" s="104">
        <v>47473</v>
      </c>
      <c r="BI21" s="104">
        <v>55721</v>
      </c>
      <c r="BJ21" s="104">
        <v>51395</v>
      </c>
      <c r="BK21" s="21">
        <v>9891</v>
      </c>
      <c r="BL21" s="104">
        <v>5594</v>
      </c>
      <c r="BM21" s="104">
        <v>9</v>
      </c>
      <c r="BN21" s="104">
        <v>-12594</v>
      </c>
      <c r="BO21" s="104">
        <v>-4124</v>
      </c>
      <c r="BP21" s="104">
        <v>-10438</v>
      </c>
      <c r="BQ21" s="104">
        <v>-671</v>
      </c>
      <c r="BR21" s="104">
        <v>25174</v>
      </c>
      <c r="BS21" s="104">
        <v>64774</v>
      </c>
      <c r="BT21" s="104">
        <v>53149</v>
      </c>
      <c r="BU21" s="104">
        <v>57165</v>
      </c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6"/>
      <c r="CH21" s="16"/>
    </row>
    <row r="22" spans="2:94">
      <c r="B22" s="20" t="s">
        <v>152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1">
        <v>-16000</v>
      </c>
      <c r="AF22" s="2">
        <v>-16000</v>
      </c>
      <c r="AG22" s="2">
        <v>-46165</v>
      </c>
      <c r="AH22" s="2">
        <v>-76329</v>
      </c>
      <c r="AI22" s="21">
        <v>2155</v>
      </c>
      <c r="AJ22" s="21">
        <v>5667</v>
      </c>
      <c r="AK22" s="21">
        <v>9559</v>
      </c>
      <c r="AL22" s="21">
        <v>12821</v>
      </c>
      <c r="AM22" s="21">
        <v>3283</v>
      </c>
      <c r="AN22" s="21">
        <v>6705</v>
      </c>
      <c r="AO22" s="21">
        <v>10200</v>
      </c>
      <c r="AP22" s="21">
        <v>13745</v>
      </c>
      <c r="AQ22" s="21">
        <v>2941</v>
      </c>
      <c r="AR22" s="21">
        <v>6281</v>
      </c>
      <c r="AS22" s="21">
        <v>9931</v>
      </c>
      <c r="AT22" s="21">
        <v>13377</v>
      </c>
      <c r="AU22" s="21">
        <v>3191</v>
      </c>
      <c r="AV22" s="21">
        <v>6681</v>
      </c>
      <c r="AW22" s="21">
        <v>10441</v>
      </c>
      <c r="AX22" s="21">
        <v>14167</v>
      </c>
      <c r="AY22" s="21">
        <v>3300</v>
      </c>
      <c r="AZ22" s="21">
        <v>6959</v>
      </c>
      <c r="BA22" s="21">
        <v>10787</v>
      </c>
      <c r="BB22" s="21">
        <v>14337</v>
      </c>
      <c r="BC22" s="21">
        <v>4908</v>
      </c>
      <c r="BD22" s="21">
        <v>7002</v>
      </c>
      <c r="BE22" s="21">
        <v>11074</v>
      </c>
      <c r="BF22" s="21">
        <v>13025</v>
      </c>
      <c r="BG22" s="21">
        <v>500</v>
      </c>
      <c r="BH22" s="104">
        <v>1000</v>
      </c>
      <c r="BI22" s="104">
        <v>1500</v>
      </c>
      <c r="BJ22" s="104">
        <v>2000</v>
      </c>
      <c r="BK22" s="21">
        <v>500</v>
      </c>
      <c r="BL22" s="104">
        <v>1000</v>
      </c>
      <c r="BM22" s="104">
        <v>1500</v>
      </c>
      <c r="BN22" s="104">
        <v>2000</v>
      </c>
      <c r="BO22" s="104">
        <v>167</v>
      </c>
      <c r="BP22" s="104">
        <v>167</v>
      </c>
      <c r="BQ22" s="104">
        <v>167</v>
      </c>
      <c r="BR22" s="104">
        <v>167</v>
      </c>
      <c r="BS22" s="104">
        <v>0</v>
      </c>
      <c r="BT22" s="104">
        <v>0</v>
      </c>
      <c r="BU22" s="104">
        <v>0</v>
      </c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6"/>
      <c r="CH22" s="16"/>
    </row>
    <row r="23" spans="2:94" ht="15.75" thickBot="1">
      <c r="B23" s="20" t="s">
        <v>97</v>
      </c>
      <c r="C23" s="2">
        <v>170</v>
      </c>
      <c r="D23" s="2">
        <v>952</v>
      </c>
      <c r="E23" s="2">
        <v>2765</v>
      </c>
      <c r="F23" s="2">
        <v>-3317</v>
      </c>
      <c r="G23" s="2">
        <v>308</v>
      </c>
      <c r="H23" s="2">
        <v>-915</v>
      </c>
      <c r="I23" s="2">
        <v>3043</v>
      </c>
      <c r="J23" s="2">
        <v>1155</v>
      </c>
      <c r="K23" s="2">
        <v>-244</v>
      </c>
      <c r="L23" s="2">
        <v>-179</v>
      </c>
      <c r="M23" s="2">
        <v>-1206</v>
      </c>
      <c r="N23" s="2">
        <v>-2217</v>
      </c>
      <c r="O23" s="2">
        <v>-151</v>
      </c>
      <c r="P23" s="2">
        <v>36</v>
      </c>
      <c r="Q23" s="2">
        <v>2659</v>
      </c>
      <c r="R23" s="2">
        <v>926</v>
      </c>
      <c r="S23" s="2">
        <v>-226</v>
      </c>
      <c r="T23" s="2">
        <v>-114</v>
      </c>
      <c r="U23" s="2">
        <v>-1969</v>
      </c>
      <c r="V23" s="2">
        <v>-911</v>
      </c>
      <c r="W23" s="2">
        <v>-135</v>
      </c>
      <c r="X23" s="2">
        <v>-355</v>
      </c>
      <c r="Y23" s="2">
        <v>-4055</v>
      </c>
      <c r="Z23" s="2">
        <v>-5443</v>
      </c>
      <c r="AA23" s="2">
        <v>-627</v>
      </c>
      <c r="AB23" s="2">
        <v>406</v>
      </c>
      <c r="AC23" s="2">
        <v>60</v>
      </c>
      <c r="AD23" s="2">
        <v>3049</v>
      </c>
      <c r="AE23" s="21">
        <f>-1394</f>
        <v>-1394</v>
      </c>
      <c r="AF23" s="2">
        <v>-1607</v>
      </c>
      <c r="AG23" s="2">
        <v>-14936</v>
      </c>
      <c r="AH23" s="2">
        <v>-8021</v>
      </c>
      <c r="AI23" s="21">
        <v>-9528</v>
      </c>
      <c r="AJ23" s="21">
        <v>-5079</v>
      </c>
      <c r="AK23" s="21">
        <v>-27045</v>
      </c>
      <c r="AL23" s="21">
        <v>-26435</v>
      </c>
      <c r="AM23" s="21">
        <v>6723</v>
      </c>
      <c r="AN23" s="21">
        <v>4817</v>
      </c>
      <c r="AO23" s="21">
        <f>155+1473</f>
        <v>1628</v>
      </c>
      <c r="AP23" s="21">
        <v>5861</v>
      </c>
      <c r="AQ23" s="21">
        <v>6500</v>
      </c>
      <c r="AR23" s="21">
        <v>6477</v>
      </c>
      <c r="AS23" s="21">
        <f>-5256+161</f>
        <v>-5095</v>
      </c>
      <c r="AT23" s="21">
        <v>-1527</v>
      </c>
      <c r="AU23" s="21">
        <v>3424</v>
      </c>
      <c r="AV23" s="21">
        <v>-403</v>
      </c>
      <c r="AW23" s="21">
        <v>-5670</v>
      </c>
      <c r="AX23" s="21">
        <v>-33479</v>
      </c>
      <c r="AY23" s="21">
        <v>-782</v>
      </c>
      <c r="AZ23" s="21">
        <v>2603</v>
      </c>
      <c r="BA23" s="21">
        <v>338</v>
      </c>
      <c r="BB23" s="21">
        <v>2738</v>
      </c>
      <c r="BC23" s="21">
        <v>-5486</v>
      </c>
      <c r="BD23" s="21">
        <v>-15629</v>
      </c>
      <c r="BE23" s="21">
        <v>-5009</v>
      </c>
      <c r="BF23" s="21">
        <v>-9969</v>
      </c>
      <c r="BG23" s="21">
        <v>-4681</v>
      </c>
      <c r="BH23" s="104">
        <v>8143</v>
      </c>
      <c r="BI23" s="104">
        <v>6079</v>
      </c>
      <c r="BJ23" s="104">
        <f>6381+1703</f>
        <v>8084</v>
      </c>
      <c r="BK23" s="21">
        <f>31893-3921</f>
        <v>27972</v>
      </c>
      <c r="BL23" s="104">
        <f>31848+2286</f>
        <v>34134</v>
      </c>
      <c r="BM23" s="104">
        <f>31440-368</f>
        <v>31072</v>
      </c>
      <c r="BN23" s="104">
        <v>27732</v>
      </c>
      <c r="BO23" s="104">
        <v>-1835</v>
      </c>
      <c r="BP23" s="104">
        <f>-5376+217</f>
        <v>-5159</v>
      </c>
      <c r="BQ23" s="104">
        <f>-13953-217</f>
        <v>-14170</v>
      </c>
      <c r="BR23" s="104">
        <v>-4219</v>
      </c>
      <c r="BS23" s="104">
        <v>-78</v>
      </c>
      <c r="BT23" s="104">
        <v>-3731</v>
      </c>
      <c r="BU23" s="104">
        <v>-7434</v>
      </c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6"/>
      <c r="CH23" s="16"/>
    </row>
    <row r="24" spans="2:94" ht="15.75" thickBot="1">
      <c r="B24" s="13" t="s">
        <v>21</v>
      </c>
      <c r="C24" s="12">
        <f t="shared" ref="C24:AW24" si="21">SUM(C25:C29)</f>
        <v>21032</v>
      </c>
      <c r="D24" s="12">
        <f t="shared" si="21"/>
        <v>46555</v>
      </c>
      <c r="E24" s="12">
        <f t="shared" si="21"/>
        <v>53984</v>
      </c>
      <c r="F24" s="12">
        <f t="shared" si="21"/>
        <v>48906</v>
      </c>
      <c r="G24" s="12">
        <f t="shared" si="21"/>
        <v>-43136</v>
      </c>
      <c r="H24" s="12">
        <f t="shared" si="21"/>
        <v>-50544</v>
      </c>
      <c r="I24" s="12">
        <f t="shared" si="21"/>
        <v>-53961</v>
      </c>
      <c r="J24" s="12">
        <f t="shared" si="21"/>
        <v>-48275</v>
      </c>
      <c r="K24" s="12">
        <f t="shared" si="21"/>
        <v>14836</v>
      </c>
      <c r="L24" s="12">
        <f t="shared" si="21"/>
        <v>13678</v>
      </c>
      <c r="M24" s="12">
        <f t="shared" si="21"/>
        <v>23426</v>
      </c>
      <c r="N24" s="12">
        <f t="shared" si="21"/>
        <v>22104</v>
      </c>
      <c r="O24" s="12">
        <f t="shared" si="21"/>
        <v>-14170</v>
      </c>
      <c r="P24" s="12">
        <f t="shared" si="21"/>
        <v>-16584</v>
      </c>
      <c r="Q24" s="12">
        <f t="shared" si="21"/>
        <v>-12812</v>
      </c>
      <c r="R24" s="12">
        <f t="shared" si="21"/>
        <v>-11288</v>
      </c>
      <c r="S24" s="12">
        <f t="shared" si="21"/>
        <v>-500</v>
      </c>
      <c r="T24" s="12">
        <f t="shared" si="21"/>
        <v>5649</v>
      </c>
      <c r="U24" s="12">
        <f t="shared" si="21"/>
        <v>10174</v>
      </c>
      <c r="V24" s="12">
        <f t="shared" si="21"/>
        <v>1476</v>
      </c>
      <c r="W24" s="12">
        <f t="shared" si="21"/>
        <v>11375</v>
      </c>
      <c r="X24" s="12">
        <f t="shared" si="21"/>
        <v>2789</v>
      </c>
      <c r="Y24" s="12">
        <f t="shared" si="21"/>
        <v>9019</v>
      </c>
      <c r="Z24" s="12">
        <f t="shared" si="21"/>
        <v>8923</v>
      </c>
      <c r="AA24" s="12">
        <f t="shared" si="21"/>
        <v>2576</v>
      </c>
      <c r="AB24" s="12">
        <f t="shared" si="21"/>
        <v>178</v>
      </c>
      <c r="AC24" s="12">
        <f t="shared" si="21"/>
        <v>4811</v>
      </c>
      <c r="AD24" s="12">
        <f t="shared" si="21"/>
        <v>29786</v>
      </c>
      <c r="AE24" s="12">
        <f t="shared" si="21"/>
        <v>-7238</v>
      </c>
      <c r="AF24" s="12">
        <f t="shared" si="21"/>
        <v>-7585</v>
      </c>
      <c r="AG24" s="12">
        <f t="shared" si="21"/>
        <v>5778</v>
      </c>
      <c r="AH24" s="12">
        <f t="shared" si="21"/>
        <v>32018</v>
      </c>
      <c r="AI24" s="12">
        <f t="shared" si="21"/>
        <v>-6573</v>
      </c>
      <c r="AJ24" s="12">
        <f t="shared" si="21"/>
        <v>-41510</v>
      </c>
      <c r="AK24" s="12">
        <f t="shared" si="21"/>
        <v>-39165</v>
      </c>
      <c r="AL24" s="12">
        <f t="shared" si="21"/>
        <v>-37791</v>
      </c>
      <c r="AM24" s="12">
        <f t="shared" si="21"/>
        <v>-1433</v>
      </c>
      <c r="AN24" s="12">
        <f t="shared" si="21"/>
        <v>7068</v>
      </c>
      <c r="AO24" s="12">
        <f t="shared" si="21"/>
        <v>6645</v>
      </c>
      <c r="AP24" s="12">
        <f t="shared" si="21"/>
        <v>30710</v>
      </c>
      <c r="AQ24" s="12">
        <f t="shared" si="21"/>
        <v>2167</v>
      </c>
      <c r="AR24" s="12">
        <f t="shared" si="21"/>
        <v>-36089</v>
      </c>
      <c r="AS24" s="12">
        <f t="shared" si="21"/>
        <v>-54946</v>
      </c>
      <c r="AT24" s="12">
        <f t="shared" si="21"/>
        <v>-28193</v>
      </c>
      <c r="AU24" s="12">
        <f t="shared" si="21"/>
        <v>-39313</v>
      </c>
      <c r="AV24" s="12">
        <f t="shared" si="21"/>
        <v>-76277</v>
      </c>
      <c r="AW24" s="12">
        <f t="shared" si="21"/>
        <v>-41095</v>
      </c>
      <c r="AX24" s="12">
        <f t="shared" ref="AX24:BC24" si="22">SUM(AX25:AX29)</f>
        <v>-66923</v>
      </c>
      <c r="AY24" s="12">
        <f t="shared" si="22"/>
        <v>-3541</v>
      </c>
      <c r="AZ24" s="12">
        <f t="shared" si="22"/>
        <v>1585</v>
      </c>
      <c r="BA24" s="12">
        <f t="shared" si="22"/>
        <v>-26295</v>
      </c>
      <c r="BB24" s="12">
        <f t="shared" si="22"/>
        <v>-22146</v>
      </c>
      <c r="BC24" s="12">
        <f t="shared" si="22"/>
        <v>10308</v>
      </c>
      <c r="BD24" s="12">
        <f t="shared" ref="BD24:BE24" si="23">SUM(BD25:BD29)</f>
        <v>558</v>
      </c>
      <c r="BE24" s="12">
        <f t="shared" si="23"/>
        <v>55594</v>
      </c>
      <c r="BF24" s="12">
        <f t="shared" ref="BF24:BG24" si="24">SUM(BF25:BF29)</f>
        <v>141366</v>
      </c>
      <c r="BG24" s="12">
        <f t="shared" si="24"/>
        <v>-85835</v>
      </c>
      <c r="BH24" s="12">
        <f t="shared" ref="BH24:BI24" si="25">SUM(BH25:BH29)</f>
        <v>-59616</v>
      </c>
      <c r="BI24" s="12">
        <f t="shared" si="25"/>
        <v>-78514</v>
      </c>
      <c r="BJ24" s="12">
        <f t="shared" ref="BJ24:BM24" si="26">SUM(BJ25:BJ29)</f>
        <v>74235</v>
      </c>
      <c r="BK24" s="12">
        <f t="shared" si="26"/>
        <v>-115255</v>
      </c>
      <c r="BL24" s="12">
        <f t="shared" si="26"/>
        <v>-191082</v>
      </c>
      <c r="BM24" s="12">
        <f t="shared" si="26"/>
        <v>-201292</v>
      </c>
      <c r="BN24" s="12">
        <f t="shared" ref="BN24:BO24" si="27">SUM(BN25:BN29)</f>
        <v>-123289</v>
      </c>
      <c r="BO24" s="12">
        <f t="shared" si="27"/>
        <v>-105416</v>
      </c>
      <c r="BP24" s="12">
        <f t="shared" ref="BP24:BR24" si="28">SUM(BP25:BP29)</f>
        <v>-110438</v>
      </c>
      <c r="BQ24" s="12">
        <f t="shared" si="28"/>
        <v>-61689</v>
      </c>
      <c r="BR24" s="12">
        <f t="shared" si="28"/>
        <v>-69922</v>
      </c>
      <c r="BS24" s="12">
        <f t="shared" ref="BS24:BU24" si="29">SUM(BS25:BS29)</f>
        <v>-34659</v>
      </c>
      <c r="BT24" s="12">
        <f t="shared" si="29"/>
        <v>-51805</v>
      </c>
      <c r="BU24" s="12">
        <f t="shared" si="29"/>
        <v>-14986</v>
      </c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</row>
    <row r="25" spans="2:94">
      <c r="B25" s="20" t="s">
        <v>78</v>
      </c>
      <c r="C25" s="2">
        <v>3760</v>
      </c>
      <c r="D25" s="2">
        <v>6834</v>
      </c>
      <c r="E25" s="2">
        <v>8981</v>
      </c>
      <c r="F25" s="2">
        <v>7758</v>
      </c>
      <c r="G25" s="2">
        <v>-4057</v>
      </c>
      <c r="H25" s="2">
        <v>-7200</v>
      </c>
      <c r="I25" s="2">
        <v>-12165</v>
      </c>
      <c r="J25" s="2">
        <v>-4451</v>
      </c>
      <c r="K25" s="2">
        <v>5623</v>
      </c>
      <c r="L25" s="2">
        <v>1949</v>
      </c>
      <c r="M25" s="2">
        <v>5387</v>
      </c>
      <c r="N25" s="2">
        <v>8305</v>
      </c>
      <c r="O25" s="2">
        <v>-3355</v>
      </c>
      <c r="P25" s="2">
        <v>-2396</v>
      </c>
      <c r="Q25" s="2">
        <v>-4354</v>
      </c>
      <c r="R25" s="2">
        <v>-4531</v>
      </c>
      <c r="S25" s="2">
        <v>-2868</v>
      </c>
      <c r="T25" s="2">
        <v>-2341</v>
      </c>
      <c r="U25" s="2">
        <v>-3201</v>
      </c>
      <c r="V25" s="2">
        <v>-3417</v>
      </c>
      <c r="W25" s="2">
        <v>4314</v>
      </c>
      <c r="X25" s="2">
        <v>3238</v>
      </c>
      <c r="Y25" s="2">
        <v>1727</v>
      </c>
      <c r="Z25" s="2">
        <v>1258</v>
      </c>
      <c r="AA25" s="2">
        <v>6603</v>
      </c>
      <c r="AB25" s="2">
        <v>3493</v>
      </c>
      <c r="AC25" s="2">
        <v>4309</v>
      </c>
      <c r="AD25" s="2">
        <v>14581</v>
      </c>
      <c r="AE25" s="21">
        <v>-3253</v>
      </c>
      <c r="AF25" s="2">
        <v>-6181</v>
      </c>
      <c r="AG25" s="2">
        <v>7052</v>
      </c>
      <c r="AH25" s="2">
        <v>22805</v>
      </c>
      <c r="AI25" s="21">
        <v>4940</v>
      </c>
      <c r="AJ25" s="21">
        <v>-19143</v>
      </c>
      <c r="AK25" s="21">
        <v>-20646</v>
      </c>
      <c r="AL25" s="21">
        <v>-17574</v>
      </c>
      <c r="AM25" s="21">
        <v>-584</v>
      </c>
      <c r="AN25" s="21">
        <v>9406</v>
      </c>
      <c r="AO25" s="21">
        <v>9079</v>
      </c>
      <c r="AP25" s="21">
        <v>8966</v>
      </c>
      <c r="AQ25" s="21">
        <v>20795</v>
      </c>
      <c r="AR25" s="21">
        <v>-5946</v>
      </c>
      <c r="AS25" s="21">
        <v>-7811</v>
      </c>
      <c r="AT25" s="21">
        <v>-5551</v>
      </c>
      <c r="AU25" s="21">
        <v>-1625</v>
      </c>
      <c r="AV25" s="21">
        <v>-648</v>
      </c>
      <c r="AW25" s="21">
        <v>199</v>
      </c>
      <c r="AX25" s="21">
        <v>8265</v>
      </c>
      <c r="AY25" s="21">
        <v>5553</v>
      </c>
      <c r="AZ25" s="21">
        <v>-1159</v>
      </c>
      <c r="BA25" s="21">
        <v>-636</v>
      </c>
      <c r="BB25" s="21">
        <v>3798</v>
      </c>
      <c r="BC25" s="21">
        <v>10588</v>
      </c>
      <c r="BD25" s="21">
        <v>4088</v>
      </c>
      <c r="BE25" s="21">
        <v>20904</v>
      </c>
      <c r="BF25" s="21">
        <v>37399</v>
      </c>
      <c r="BG25" s="21">
        <v>1895</v>
      </c>
      <c r="BH25" s="104">
        <v>6222</v>
      </c>
      <c r="BI25" s="104">
        <v>13621</v>
      </c>
      <c r="BJ25" s="104">
        <v>20186</v>
      </c>
      <c r="BK25" s="21">
        <v>-6216</v>
      </c>
      <c r="BL25" s="104">
        <v>-6520</v>
      </c>
      <c r="BM25" s="104">
        <v>-6763</v>
      </c>
      <c r="BN25" s="104">
        <v>20086</v>
      </c>
      <c r="BO25" s="104">
        <v>-34000</v>
      </c>
      <c r="BP25" s="104">
        <v>-21240</v>
      </c>
      <c r="BQ25" s="104">
        <v>-12446</v>
      </c>
      <c r="BR25" s="104">
        <v>-16982</v>
      </c>
      <c r="BS25" s="104">
        <v>7408</v>
      </c>
      <c r="BT25" s="104">
        <v>-38</v>
      </c>
      <c r="BU25" s="104">
        <v>6046</v>
      </c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6"/>
      <c r="CH25" s="16"/>
    </row>
    <row r="26" spans="2:94">
      <c r="B26" s="20" t="s">
        <v>98</v>
      </c>
      <c r="C26" s="2">
        <v>9538</v>
      </c>
      <c r="D26" s="2">
        <v>28700</v>
      </c>
      <c r="E26" s="2">
        <v>35334</v>
      </c>
      <c r="F26" s="2">
        <v>25997</v>
      </c>
      <c r="G26" s="2">
        <v>-24574</v>
      </c>
      <c r="H26" s="2">
        <v>-24631</v>
      </c>
      <c r="I26" s="2">
        <v>-23896</v>
      </c>
      <c r="J26" s="2">
        <v>-25007</v>
      </c>
      <c r="K26" s="2">
        <v>8847</v>
      </c>
      <c r="L26" s="2">
        <v>13069</v>
      </c>
      <c r="M26" s="2">
        <v>17539</v>
      </c>
      <c r="N26" s="2">
        <v>4743</v>
      </c>
      <c r="O26" s="2">
        <v>815</v>
      </c>
      <c r="P26" s="2">
        <v>-924</v>
      </c>
      <c r="Q26" s="2">
        <v>-3085</v>
      </c>
      <c r="R26" s="2">
        <v>-6603</v>
      </c>
      <c r="S26" s="2">
        <v>5812</v>
      </c>
      <c r="T26" s="2">
        <v>14573</v>
      </c>
      <c r="U26" s="2">
        <v>14224</v>
      </c>
      <c r="V26" s="2">
        <v>-570</v>
      </c>
      <c r="W26" s="2">
        <v>4457</v>
      </c>
      <c r="X26" s="2">
        <v>6553</v>
      </c>
      <c r="Y26" s="2">
        <v>4633</v>
      </c>
      <c r="Z26" s="2">
        <v>4985</v>
      </c>
      <c r="AA26" s="2">
        <v>1984</v>
      </c>
      <c r="AB26" s="2">
        <v>3896</v>
      </c>
      <c r="AC26" s="2">
        <v>2005</v>
      </c>
      <c r="AD26" s="2">
        <v>3421</v>
      </c>
      <c r="AE26" s="21">
        <v>2659</v>
      </c>
      <c r="AF26" s="2">
        <v>6123</v>
      </c>
      <c r="AG26" s="2">
        <v>-5008</v>
      </c>
      <c r="AH26" s="2">
        <v>-2259</v>
      </c>
      <c r="AI26" s="21">
        <v>-1403</v>
      </c>
      <c r="AJ26" s="21">
        <v>-5700</v>
      </c>
      <c r="AK26" s="21">
        <v>-14100</v>
      </c>
      <c r="AL26" s="21">
        <v>-14487</v>
      </c>
      <c r="AM26" s="21">
        <v>1474</v>
      </c>
      <c r="AN26" s="21">
        <v>5932</v>
      </c>
      <c r="AO26" s="21">
        <v>-2817</v>
      </c>
      <c r="AP26" s="21">
        <v>-1971</v>
      </c>
      <c r="AQ26" s="21">
        <v>9504</v>
      </c>
      <c r="AR26" s="21">
        <v>14670</v>
      </c>
      <c r="AS26" s="21">
        <v>8646</v>
      </c>
      <c r="AT26" s="21">
        <f>13732-6084</f>
        <v>7648</v>
      </c>
      <c r="AU26" s="21">
        <f>6282+3354-11786</f>
        <v>-2150</v>
      </c>
      <c r="AV26" s="21">
        <f>-12081+4493-11913</f>
        <v>-19501</v>
      </c>
      <c r="AW26" s="21">
        <f>-7706+51241-12163</f>
        <v>31372</v>
      </c>
      <c r="AX26" s="21">
        <v>-17283</v>
      </c>
      <c r="AY26" s="21">
        <v>7235</v>
      </c>
      <c r="AZ26" s="21">
        <v>8943</v>
      </c>
      <c r="BA26" s="21">
        <f>-2966+9686-9816</f>
        <v>-3096</v>
      </c>
      <c r="BB26" s="21">
        <v>4688</v>
      </c>
      <c r="BC26" s="21">
        <v>10184</v>
      </c>
      <c r="BD26" s="21">
        <v>11677</v>
      </c>
      <c r="BE26" s="21">
        <v>44120</v>
      </c>
      <c r="BF26" s="104">
        <f>7633+100700-54572</f>
        <v>53761</v>
      </c>
      <c r="BG26" s="21">
        <f>4346+27814-75077</f>
        <v>-42917</v>
      </c>
      <c r="BH26" s="104">
        <v>-3396</v>
      </c>
      <c r="BI26" s="104">
        <v>-30163</v>
      </c>
      <c r="BJ26" s="104">
        <f>6258+185401-204652</f>
        <v>-12993</v>
      </c>
      <c r="BK26" s="21">
        <f>-1750+9218-29380</f>
        <v>-21912</v>
      </c>
      <c r="BL26" s="104">
        <f>-8811+18788</f>
        <v>9977</v>
      </c>
      <c r="BM26" s="104">
        <f>-14095+23098</f>
        <v>9003</v>
      </c>
      <c r="BN26" s="104">
        <f>-6600+11796-43537</f>
        <v>-38341</v>
      </c>
      <c r="BO26" s="104">
        <f>522+4021-10041</f>
        <v>-5498</v>
      </c>
      <c r="BP26" s="104">
        <v>-5518</v>
      </c>
      <c r="BQ26" s="104">
        <f>-701+36195-26338</f>
        <v>9156</v>
      </c>
      <c r="BR26" s="104">
        <v>14997</v>
      </c>
      <c r="BS26" s="104">
        <v>-14216</v>
      </c>
      <c r="BT26" s="104">
        <v>-11413</v>
      </c>
      <c r="BU26" s="104">
        <v>-14836</v>
      </c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6"/>
      <c r="CH26" s="16"/>
      <c r="CP26" s="16"/>
    </row>
    <row r="27" spans="2:94">
      <c r="B27" s="20" t="s">
        <v>157</v>
      </c>
      <c r="C27" s="2">
        <v>470</v>
      </c>
      <c r="D27" s="2">
        <v>3432</v>
      </c>
      <c r="E27" s="2">
        <v>7476</v>
      </c>
      <c r="F27" s="2">
        <v>13843</v>
      </c>
      <c r="G27" s="2">
        <v>-15643</v>
      </c>
      <c r="H27" s="2">
        <v>-18117</v>
      </c>
      <c r="I27" s="2">
        <v>-17697</v>
      </c>
      <c r="J27" s="2">
        <v>-13325</v>
      </c>
      <c r="K27" s="2">
        <v>-320</v>
      </c>
      <c r="L27" s="2">
        <v>-2634</v>
      </c>
      <c r="M27" s="2">
        <v>768</v>
      </c>
      <c r="N27" s="2">
        <v>14400</v>
      </c>
      <c r="O27" s="2">
        <v>-11634</v>
      </c>
      <c r="P27" s="2">
        <v>-13266</v>
      </c>
      <c r="Q27" s="2">
        <v>-8827</v>
      </c>
      <c r="R27" s="2">
        <v>-298</v>
      </c>
      <c r="S27" s="2">
        <v>-4803</v>
      </c>
      <c r="T27" s="2">
        <v>-6311</v>
      </c>
      <c r="U27" s="2">
        <v>-1616</v>
      </c>
      <c r="V27" s="2">
        <v>6672</v>
      </c>
      <c r="W27" s="2">
        <v>1275</v>
      </c>
      <c r="X27" s="2">
        <v>-8295</v>
      </c>
      <c r="Y27" s="2">
        <v>-2272</v>
      </c>
      <c r="Z27" s="2">
        <v>1810</v>
      </c>
      <c r="AA27" s="2">
        <v>-5898</v>
      </c>
      <c r="AB27" s="2">
        <v>-6536</v>
      </c>
      <c r="AC27" s="2">
        <v>-1944</v>
      </c>
      <c r="AD27" s="2">
        <v>7807</v>
      </c>
      <c r="AE27" s="21">
        <v>-4654</v>
      </c>
      <c r="AF27" s="2">
        <v>-5881</v>
      </c>
      <c r="AG27" s="2">
        <v>-921</v>
      </c>
      <c r="AH27" s="2">
        <v>10162</v>
      </c>
      <c r="AI27" s="21">
        <v>-12471</v>
      </c>
      <c r="AJ27" s="21">
        <v>-15597</v>
      </c>
      <c r="AK27" s="21">
        <v>-12897</v>
      </c>
      <c r="AL27" s="21">
        <v>-11713</v>
      </c>
      <c r="AM27" s="21">
        <v>-2110</v>
      </c>
      <c r="AN27" s="21">
        <v>-5195</v>
      </c>
      <c r="AO27" s="21">
        <v>569</v>
      </c>
      <c r="AP27" s="21">
        <v>27904</v>
      </c>
      <c r="AQ27" s="21">
        <v>-26686</v>
      </c>
      <c r="AR27" s="21">
        <v>-33750</v>
      </c>
      <c r="AS27" s="21">
        <v>-29590</v>
      </c>
      <c r="AT27" s="21">
        <v>7556</v>
      </c>
      <c r="AU27" s="21">
        <v>-33442</v>
      </c>
      <c r="AV27" s="21">
        <v>-41018</v>
      </c>
      <c r="AW27" s="21">
        <v>-36703</v>
      </c>
      <c r="AX27" s="21">
        <v>-12858</v>
      </c>
      <c r="AY27" s="21">
        <v>-22568</v>
      </c>
      <c r="AZ27" s="21">
        <v>-12781</v>
      </c>
      <c r="BA27" s="21">
        <v>-12760</v>
      </c>
      <c r="BB27" s="21">
        <v>-14815</v>
      </c>
      <c r="BC27" s="21">
        <v>-7916</v>
      </c>
      <c r="BD27" s="21">
        <v>-10115</v>
      </c>
      <c r="BE27" s="21">
        <v>-1906</v>
      </c>
      <c r="BF27" s="21">
        <v>66042</v>
      </c>
      <c r="BG27" s="21">
        <v>-59972</v>
      </c>
      <c r="BH27" s="104">
        <v>-70690</v>
      </c>
      <c r="BI27" s="104">
        <v>-61743</v>
      </c>
      <c r="BJ27" s="104">
        <v>22333</v>
      </c>
      <c r="BK27" s="21">
        <v>-75045</v>
      </c>
      <c r="BL27" s="104">
        <v>-88252</v>
      </c>
      <c r="BM27" s="104">
        <v>-80106</v>
      </c>
      <c r="BN27" s="104">
        <v>-32184</v>
      </c>
      <c r="BO27" s="104">
        <v>-40569</v>
      </c>
      <c r="BP27" s="104">
        <v>-48903</v>
      </c>
      <c r="BQ27" s="104">
        <v>-42665</v>
      </c>
      <c r="BR27" s="104">
        <v>-2587</v>
      </c>
      <c r="BS27" s="104">
        <v>-25535</v>
      </c>
      <c r="BT27" s="104">
        <v>-43947</v>
      </c>
      <c r="BU27" s="104">
        <v>-32212</v>
      </c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6"/>
      <c r="CH27" s="16"/>
    </row>
    <row r="28" spans="2:94">
      <c r="B28" s="20" t="s">
        <v>160</v>
      </c>
      <c r="C28" s="2">
        <v>7264</v>
      </c>
      <c r="D28" s="2">
        <v>7589</v>
      </c>
      <c r="E28" s="2">
        <v>2193</v>
      </c>
      <c r="F28" s="2">
        <v>1308</v>
      </c>
      <c r="G28" s="2">
        <v>1138</v>
      </c>
      <c r="H28" s="2">
        <v>-596</v>
      </c>
      <c r="I28" s="2">
        <v>-203</v>
      </c>
      <c r="J28" s="2">
        <v>-5492</v>
      </c>
      <c r="K28" s="2">
        <v>686</v>
      </c>
      <c r="L28" s="2">
        <v>1294</v>
      </c>
      <c r="M28" s="2">
        <v>-268</v>
      </c>
      <c r="N28" s="2">
        <v>-5344</v>
      </c>
      <c r="O28" s="2">
        <v>4</v>
      </c>
      <c r="P28" s="2">
        <v>2</v>
      </c>
      <c r="Q28" s="2">
        <v>3454</v>
      </c>
      <c r="R28" s="2">
        <v>144</v>
      </c>
      <c r="S28" s="2">
        <v>1359</v>
      </c>
      <c r="T28" s="2">
        <v>-272</v>
      </c>
      <c r="U28" s="2">
        <v>767</v>
      </c>
      <c r="V28" s="2">
        <v>-1209</v>
      </c>
      <c r="W28" s="2">
        <v>1329</v>
      </c>
      <c r="X28" s="2">
        <v>1293</v>
      </c>
      <c r="Y28" s="2">
        <v>4931</v>
      </c>
      <c r="Z28" s="2">
        <v>870</v>
      </c>
      <c r="AA28" s="2">
        <v>-113</v>
      </c>
      <c r="AB28" s="2">
        <v>-675</v>
      </c>
      <c r="AC28" s="2">
        <v>441</v>
      </c>
      <c r="AD28" s="2">
        <v>3977</v>
      </c>
      <c r="AE28" s="21">
        <v>-1990</v>
      </c>
      <c r="AF28" s="2">
        <v>-1646</v>
      </c>
      <c r="AG28" s="2">
        <v>4655</v>
      </c>
      <c r="AH28" s="2">
        <v>1310</v>
      </c>
      <c r="AI28" s="21">
        <v>2361</v>
      </c>
      <c r="AJ28" s="21">
        <v>-1070</v>
      </c>
      <c r="AK28" s="21">
        <v>8478</v>
      </c>
      <c r="AL28" s="21">
        <v>5983</v>
      </c>
      <c r="AM28" s="21">
        <v>-213</v>
      </c>
      <c r="AN28" s="21">
        <v>-3075</v>
      </c>
      <c r="AO28" s="21">
        <v>-186</v>
      </c>
      <c r="AP28" s="21">
        <v>-4189</v>
      </c>
      <c r="AQ28" s="21">
        <v>-1446</v>
      </c>
      <c r="AR28" s="21">
        <v>-11063</v>
      </c>
      <c r="AS28" s="21">
        <v>-26191</v>
      </c>
      <c r="AT28" s="21">
        <v>-10822</v>
      </c>
      <c r="AU28" s="21">
        <f>5948</f>
        <v>5948</v>
      </c>
      <c r="AV28" s="21">
        <f>4089</f>
        <v>4089</v>
      </c>
      <c r="AW28" s="58">
        <f>3956+641</f>
        <v>4597</v>
      </c>
      <c r="AX28" s="21">
        <v>2738</v>
      </c>
      <c r="AY28" s="21">
        <v>13011</v>
      </c>
      <c r="AZ28" s="21">
        <v>19439</v>
      </c>
      <c r="BA28" s="21">
        <f>-1681+17201</f>
        <v>15520</v>
      </c>
      <c r="BB28" s="21">
        <v>16517</v>
      </c>
      <c r="BC28" s="21">
        <v>3864</v>
      </c>
      <c r="BD28" s="21">
        <v>9846</v>
      </c>
      <c r="BE28" s="21">
        <v>17232</v>
      </c>
      <c r="BF28" s="104">
        <f>12515+354+1885</f>
        <v>14754</v>
      </c>
      <c r="BG28" s="21">
        <f>13012+8059</f>
        <v>21071</v>
      </c>
      <c r="BH28" s="104">
        <v>22915</v>
      </c>
      <c r="BI28" s="104">
        <v>29323</v>
      </c>
      <c r="BJ28" s="104">
        <f>19175+56321+4681</f>
        <v>80177</v>
      </c>
      <c r="BK28" s="21">
        <f>558-8696+1370</f>
        <v>-6768</v>
      </c>
      <c r="BL28" s="104">
        <f>2707-57526-64-36111</f>
        <v>-90994</v>
      </c>
      <c r="BM28" s="104">
        <f>-3600-51080+227-40663</f>
        <v>-95116</v>
      </c>
      <c r="BN28" s="104">
        <v>-39499</v>
      </c>
      <c r="BO28" s="104">
        <f>-360-18833-1416</f>
        <v>-20609</v>
      </c>
      <c r="BP28" s="104">
        <f>10819-1988-17395-447-11595</f>
        <v>-20606</v>
      </c>
      <c r="BQ28" s="104">
        <f>1061+4694+484</f>
        <v>6239</v>
      </c>
      <c r="BR28" s="104">
        <v>-38898</v>
      </c>
      <c r="BS28" s="104">
        <f>1968+13659-2497-8688</f>
        <v>4442</v>
      </c>
      <c r="BT28" s="104">
        <f>14102+15456-2833-9242</f>
        <v>17483</v>
      </c>
      <c r="BU28" s="104">
        <f>14515+15014-1708-15820+36700</f>
        <v>48701</v>
      </c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6"/>
      <c r="CH28" s="16"/>
    </row>
    <row r="29" spans="2:94">
      <c r="B29" s="20" t="s">
        <v>188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/>
      <c r="AT29" s="21">
        <v>-27024</v>
      </c>
      <c r="AU29" s="21">
        <v>-8044</v>
      </c>
      <c r="AV29" s="21">
        <v>-19199</v>
      </c>
      <c r="AW29" s="21">
        <v>-40560</v>
      </c>
      <c r="AX29" s="21">
        <v>-47785</v>
      </c>
      <c r="AY29" s="21">
        <v>-6772</v>
      </c>
      <c r="AZ29" s="21">
        <v>-12857</v>
      </c>
      <c r="BA29" s="21">
        <v>-25323</v>
      </c>
      <c r="BB29" s="21">
        <v>-32334</v>
      </c>
      <c r="BC29" s="21">
        <v>-6412</v>
      </c>
      <c r="BD29" s="21">
        <v>-14938</v>
      </c>
      <c r="BE29" s="21">
        <v>-24756</v>
      </c>
      <c r="BF29" s="21">
        <v>-30590</v>
      </c>
      <c r="BG29" s="21">
        <v>-5912</v>
      </c>
      <c r="BH29" s="104">
        <v>-14667</v>
      </c>
      <c r="BI29" s="104">
        <v>-29552</v>
      </c>
      <c r="BJ29" s="104">
        <v>-35468</v>
      </c>
      <c r="BK29" s="21">
        <v>-5314</v>
      </c>
      <c r="BL29" s="104">
        <v>-15293</v>
      </c>
      <c r="BM29" s="104">
        <v>-28310</v>
      </c>
      <c r="BN29" s="104">
        <v>-33351</v>
      </c>
      <c r="BO29" s="104">
        <v>-4740</v>
      </c>
      <c r="BP29" s="104">
        <v>-14171</v>
      </c>
      <c r="BQ29" s="104">
        <v>-21973</v>
      </c>
      <c r="BR29" s="104">
        <v>-26452</v>
      </c>
      <c r="BS29" s="104">
        <v>-6758</v>
      </c>
      <c r="BT29" s="104">
        <v>-13890</v>
      </c>
      <c r="BU29" s="104">
        <v>-22685</v>
      </c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6"/>
      <c r="CH29" s="16"/>
    </row>
    <row r="30" spans="2:94" ht="15.75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104"/>
      <c r="BI30" s="104"/>
      <c r="BJ30" s="104"/>
      <c r="BK30" s="2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4"/>
      <c r="CG30" s="16"/>
      <c r="CH30" s="16"/>
      <c r="CI30" s="102"/>
    </row>
    <row r="31" spans="2:94" ht="15.75" thickBot="1">
      <c r="B31" s="9" t="s">
        <v>22</v>
      </c>
      <c r="C31" s="9">
        <f t="shared" ref="C31:AH31" si="30">SUM(C32:C37)</f>
        <v>-13968</v>
      </c>
      <c r="D31" s="9">
        <f t="shared" si="30"/>
        <v>-40813</v>
      </c>
      <c r="E31" s="9">
        <f t="shared" si="30"/>
        <v>-61768</v>
      </c>
      <c r="F31" s="9">
        <f t="shared" si="30"/>
        <v>-92606</v>
      </c>
      <c r="G31" s="9">
        <f t="shared" si="30"/>
        <v>-14873</v>
      </c>
      <c r="H31" s="9">
        <f t="shared" si="30"/>
        <v>-29882</v>
      </c>
      <c r="I31" s="9">
        <f t="shared" si="30"/>
        <v>-44913</v>
      </c>
      <c r="J31" s="9">
        <f t="shared" si="30"/>
        <v>-86733</v>
      </c>
      <c r="K31" s="9">
        <f t="shared" si="30"/>
        <v>-34200</v>
      </c>
      <c r="L31" s="9">
        <f t="shared" si="30"/>
        <v>-113852</v>
      </c>
      <c r="M31" s="9">
        <f t="shared" si="30"/>
        <v>-121213</v>
      </c>
      <c r="N31" s="9">
        <f t="shared" si="30"/>
        <v>-141100</v>
      </c>
      <c r="O31" s="9">
        <f t="shared" si="30"/>
        <v>-9440</v>
      </c>
      <c r="P31" s="9">
        <f t="shared" si="30"/>
        <v>-37818</v>
      </c>
      <c r="Q31" s="9">
        <f t="shared" si="30"/>
        <v>-71084</v>
      </c>
      <c r="R31" s="9">
        <f t="shared" si="30"/>
        <v>-109234</v>
      </c>
      <c r="S31" s="9">
        <f t="shared" si="30"/>
        <v>-33396</v>
      </c>
      <c r="T31" s="9">
        <f t="shared" si="30"/>
        <v>23387</v>
      </c>
      <c r="U31" s="9">
        <f t="shared" si="30"/>
        <v>-13136</v>
      </c>
      <c r="V31" s="9">
        <f t="shared" si="30"/>
        <v>-38405</v>
      </c>
      <c r="W31" s="9">
        <f t="shared" si="30"/>
        <v>-6200</v>
      </c>
      <c r="X31" s="9">
        <f t="shared" si="30"/>
        <v>-30525</v>
      </c>
      <c r="Y31" s="9">
        <f t="shared" si="30"/>
        <v>-173130</v>
      </c>
      <c r="Z31" s="9">
        <f t="shared" si="30"/>
        <v>-187722</v>
      </c>
      <c r="AA31" s="9">
        <f t="shared" si="30"/>
        <v>-84635</v>
      </c>
      <c r="AB31" s="9">
        <f t="shared" si="30"/>
        <v>-152227</v>
      </c>
      <c r="AC31" s="9">
        <f t="shared" si="30"/>
        <v>-200327</v>
      </c>
      <c r="AD31" s="9">
        <f t="shared" si="30"/>
        <v>-189796</v>
      </c>
      <c r="AE31" s="9">
        <f t="shared" si="30"/>
        <v>5399</v>
      </c>
      <c r="AF31" s="9">
        <f t="shared" si="30"/>
        <v>14189</v>
      </c>
      <c r="AG31" s="9">
        <f t="shared" si="30"/>
        <v>-7106</v>
      </c>
      <c r="AH31" s="9">
        <f t="shared" si="30"/>
        <v>37790</v>
      </c>
      <c r="AI31" s="12">
        <f t="shared" ref="AI31:BN31" si="31">SUM(AI32:AI37)</f>
        <v>-30772</v>
      </c>
      <c r="AJ31" s="12">
        <f t="shared" si="31"/>
        <v>-59241</v>
      </c>
      <c r="AK31" s="12">
        <f t="shared" si="31"/>
        <v>-120872</v>
      </c>
      <c r="AL31" s="12">
        <f t="shared" si="31"/>
        <v>-140208</v>
      </c>
      <c r="AM31" s="12">
        <f t="shared" si="31"/>
        <v>1924</v>
      </c>
      <c r="AN31" s="12">
        <f t="shared" si="31"/>
        <v>-17843</v>
      </c>
      <c r="AO31" s="12">
        <f t="shared" si="31"/>
        <v>-29603</v>
      </c>
      <c r="AP31" s="12">
        <f t="shared" si="31"/>
        <v>-374472</v>
      </c>
      <c r="AQ31" s="12">
        <f t="shared" si="31"/>
        <v>219318</v>
      </c>
      <c r="AR31" s="12">
        <f t="shared" si="31"/>
        <v>-22066</v>
      </c>
      <c r="AS31" s="12">
        <f t="shared" si="31"/>
        <v>-45818</v>
      </c>
      <c r="AT31" s="12">
        <f t="shared" si="31"/>
        <v>-99322</v>
      </c>
      <c r="AU31" s="12">
        <f t="shared" si="31"/>
        <v>-41736</v>
      </c>
      <c r="AV31" s="12">
        <f t="shared" si="31"/>
        <v>-85330</v>
      </c>
      <c r="AW31" s="12">
        <f t="shared" si="31"/>
        <v>-257850</v>
      </c>
      <c r="AX31" s="12">
        <f t="shared" si="31"/>
        <v>-242052</v>
      </c>
      <c r="AY31" s="12">
        <f t="shared" si="31"/>
        <v>-15709</v>
      </c>
      <c r="AZ31" s="12">
        <f t="shared" si="31"/>
        <v>-36671</v>
      </c>
      <c r="BA31" s="12">
        <f t="shared" si="31"/>
        <v>-149456</v>
      </c>
      <c r="BB31" s="12">
        <f t="shared" si="31"/>
        <v>-197499</v>
      </c>
      <c r="BC31" s="12">
        <f t="shared" si="31"/>
        <v>-30878</v>
      </c>
      <c r="BD31" s="12">
        <f t="shared" si="31"/>
        <v>-37678</v>
      </c>
      <c r="BE31" s="12">
        <f t="shared" si="31"/>
        <v>-226694</v>
      </c>
      <c r="BF31" s="12">
        <f t="shared" si="31"/>
        <v>-376782</v>
      </c>
      <c r="BG31" s="12">
        <f t="shared" si="31"/>
        <v>-128214</v>
      </c>
      <c r="BH31" s="12">
        <f t="shared" si="31"/>
        <v>-162988</v>
      </c>
      <c r="BI31" s="12">
        <f t="shared" si="31"/>
        <v>-292173</v>
      </c>
      <c r="BJ31" s="12">
        <f t="shared" si="31"/>
        <v>-381891</v>
      </c>
      <c r="BK31" s="12">
        <f t="shared" si="31"/>
        <v>-38347</v>
      </c>
      <c r="BL31" s="12">
        <f t="shared" si="31"/>
        <v>-102185</v>
      </c>
      <c r="BM31" s="12">
        <f t="shared" si="31"/>
        <v>-206262</v>
      </c>
      <c r="BN31" s="12">
        <f t="shared" si="31"/>
        <v>-244970</v>
      </c>
      <c r="BO31" s="12">
        <f t="shared" ref="BO31:BP31" si="32">SUM(BO32:BO37)</f>
        <v>15937</v>
      </c>
      <c r="BP31" s="12">
        <f t="shared" si="32"/>
        <v>63847</v>
      </c>
      <c r="BQ31" s="12">
        <f t="shared" ref="BQ31:BR31" si="33">SUM(BQ32:BQ37)</f>
        <v>34066</v>
      </c>
      <c r="BR31" s="12">
        <f t="shared" si="33"/>
        <v>-97127</v>
      </c>
      <c r="BS31" s="12">
        <f t="shared" ref="BS31:BU31" si="34">SUM(BS32:BS37)</f>
        <v>-62087</v>
      </c>
      <c r="BT31" s="12">
        <f t="shared" si="34"/>
        <v>-90088</v>
      </c>
      <c r="BU31" s="12">
        <f t="shared" si="34"/>
        <v>-84590</v>
      </c>
      <c r="BV31" s="16"/>
      <c r="BW31" s="16"/>
      <c r="BX31" s="16"/>
      <c r="BY31" s="16"/>
      <c r="BZ31" s="105"/>
      <c r="CA31" s="105"/>
      <c r="CB31" s="105"/>
      <c r="CC31" s="105"/>
      <c r="CD31" s="16"/>
      <c r="CE31" s="16"/>
      <c r="CF31" s="16"/>
      <c r="CG31" s="16"/>
      <c r="CH31" s="16"/>
      <c r="CI31" s="102"/>
    </row>
    <row r="32" spans="2:94">
      <c r="B32" s="3" t="s">
        <v>26</v>
      </c>
      <c r="C32" s="2">
        <v>-13968</v>
      </c>
      <c r="D32" s="2">
        <v>-40813</v>
      </c>
      <c r="E32" s="2">
        <v>-61768</v>
      </c>
      <c r="F32" s="2">
        <v>-93273</v>
      </c>
      <c r="G32" s="2">
        <v>-14873</v>
      </c>
      <c r="H32" s="2">
        <v>-30353</v>
      </c>
      <c r="I32" s="2">
        <v>-45521</v>
      </c>
      <c r="J32" s="2">
        <v>-60597</v>
      </c>
      <c r="K32" s="2">
        <v>-14844</v>
      </c>
      <c r="L32" s="2">
        <v>-27506</v>
      </c>
      <c r="M32" s="2">
        <v>-46586</v>
      </c>
      <c r="N32" s="2">
        <v>-66839</v>
      </c>
      <c r="O32" s="2">
        <v>-24062</v>
      </c>
      <c r="P32" s="2">
        <v>-52461</v>
      </c>
      <c r="Q32" s="2">
        <v>-89660</v>
      </c>
      <c r="R32" s="2">
        <v>-127313</v>
      </c>
      <c r="S32" s="2">
        <v>-33396</v>
      </c>
      <c r="T32" s="2">
        <v>-63360</v>
      </c>
      <c r="U32" s="2">
        <v>-98978</v>
      </c>
      <c r="V32" s="2">
        <v>-124286</v>
      </c>
      <c r="W32" s="2">
        <v>-32842</v>
      </c>
      <c r="X32" s="2">
        <v>-57167</v>
      </c>
      <c r="Y32" s="2">
        <v>-77078</v>
      </c>
      <c r="Z32" s="2">
        <v>-100635</v>
      </c>
      <c r="AA32" s="2">
        <v>-24191</v>
      </c>
      <c r="AB32" s="2">
        <v>-44782</v>
      </c>
      <c r="AC32" s="2">
        <v>-68163</v>
      </c>
      <c r="AD32" s="2">
        <v>-105148</v>
      </c>
      <c r="AE32" s="21">
        <v>-17719</v>
      </c>
      <c r="AF32" s="2">
        <v>-32649</v>
      </c>
      <c r="AG32" s="2">
        <v>-56812</v>
      </c>
      <c r="AH32" s="2">
        <v>-111092</v>
      </c>
      <c r="AI32" s="58">
        <v>-26595</v>
      </c>
      <c r="AJ32" s="58">
        <v>-55196</v>
      </c>
      <c r="AK32" s="58">
        <v>-82531</v>
      </c>
      <c r="AL32" s="58">
        <v>-104996</v>
      </c>
      <c r="AM32" s="58">
        <v>-16868</v>
      </c>
      <c r="AN32" s="58">
        <v>-38165</v>
      </c>
      <c r="AO32" s="58">
        <v>-59452</v>
      </c>
      <c r="AP32" s="58">
        <v>-90544</v>
      </c>
      <c r="AQ32" s="58">
        <v>-14469</v>
      </c>
      <c r="AR32" s="58">
        <v>-31428</v>
      </c>
      <c r="AS32" s="58">
        <v>-57931</v>
      </c>
      <c r="AT32" s="58">
        <f>-67703-23593</f>
        <v>-91296</v>
      </c>
      <c r="AU32" s="58">
        <f>-15825-3346</f>
        <v>-19171</v>
      </c>
      <c r="AV32" s="58">
        <f>-41438-10833</f>
        <v>-52271</v>
      </c>
      <c r="AW32" s="58">
        <v>-83094</v>
      </c>
      <c r="AX32" s="2">
        <v>-116257</v>
      </c>
      <c r="AY32" s="2">
        <v>-12162</v>
      </c>
      <c r="AZ32" s="2">
        <v>-22635</v>
      </c>
      <c r="BA32" s="2">
        <v>-37764</v>
      </c>
      <c r="BB32" s="2">
        <v>-52970</v>
      </c>
      <c r="BC32" s="2">
        <v>-12384</v>
      </c>
      <c r="BD32" s="2">
        <v>-37006</v>
      </c>
      <c r="BE32" s="2">
        <v>-73184</v>
      </c>
      <c r="BF32" s="16">
        <f>-81321-45802</f>
        <v>-127123</v>
      </c>
      <c r="BG32" s="2">
        <v>-33285</v>
      </c>
      <c r="BH32" s="2">
        <v>-86395</v>
      </c>
      <c r="BI32" s="2">
        <v>-156564</v>
      </c>
      <c r="BJ32" s="2">
        <f>-195731-64519</f>
        <v>-260250</v>
      </c>
      <c r="BK32" s="2">
        <f>-44233-12815</f>
        <v>-57048</v>
      </c>
      <c r="BL32" s="2">
        <f>-85229-32855-7500</f>
        <v>-125584</v>
      </c>
      <c r="BM32" s="2">
        <f>-147566-54666-15000</f>
        <v>-217232</v>
      </c>
      <c r="BN32" s="2">
        <f>-257113-71726</f>
        <v>-328839</v>
      </c>
      <c r="BO32" s="2">
        <v>-42038</v>
      </c>
      <c r="BP32" s="2">
        <v>-113960</v>
      </c>
      <c r="BQ32" s="2">
        <v>-221450</v>
      </c>
      <c r="BR32" s="21">
        <v>-288672</v>
      </c>
      <c r="BS32" s="21">
        <v>-42472</v>
      </c>
      <c r="BT32" s="21">
        <v>-114640</v>
      </c>
      <c r="BU32" s="21">
        <f>-138944-49376</f>
        <v>-188320</v>
      </c>
      <c r="BV32" s="16"/>
      <c r="BW32" s="16"/>
      <c r="BX32" s="16"/>
      <c r="BY32" s="16"/>
      <c r="BZ32" s="105"/>
      <c r="CA32" s="105"/>
      <c r="CB32" s="105"/>
      <c r="CC32" s="105"/>
      <c r="CD32" s="16"/>
      <c r="CE32" s="16"/>
      <c r="CF32" s="16"/>
      <c r="CG32" s="16"/>
      <c r="CH32" s="16"/>
      <c r="CI32" s="102"/>
    </row>
    <row r="33" spans="2:86">
      <c r="B33" s="3" t="s">
        <v>99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-24167</v>
      </c>
      <c r="K33" s="2">
        <v>-19356</v>
      </c>
      <c r="L33" s="2">
        <v>-86116</v>
      </c>
      <c r="M33" s="2">
        <v>-82847</v>
      </c>
      <c r="N33" s="2">
        <v>-82696</v>
      </c>
      <c r="O33" s="2">
        <v>16370</v>
      </c>
      <c r="P33" s="2">
        <v>16369</v>
      </c>
      <c r="Q33" s="2">
        <v>20302</v>
      </c>
      <c r="R33" s="2">
        <v>20301</v>
      </c>
      <c r="S33" s="2">
        <v>0</v>
      </c>
      <c r="T33" s="2">
        <v>86506</v>
      </c>
      <c r="U33" s="2">
        <v>86506</v>
      </c>
      <c r="V33" s="2">
        <v>86507</v>
      </c>
      <c r="W33" s="2">
        <v>27707</v>
      </c>
      <c r="X33" s="2">
        <v>27707</v>
      </c>
      <c r="Y33" s="2">
        <v>-94987</v>
      </c>
      <c r="Z33" s="2">
        <v>-87030</v>
      </c>
      <c r="AA33" s="2">
        <v>-59408</v>
      </c>
      <c r="AB33" s="2">
        <v>-106652</v>
      </c>
      <c r="AC33" s="2">
        <v>-131371</v>
      </c>
      <c r="AD33" s="2">
        <v>-83855</v>
      </c>
      <c r="AE33" s="21">
        <v>23118</v>
      </c>
      <c r="AF33" s="2">
        <v>45790</v>
      </c>
      <c r="AG33" s="2">
        <v>48488</v>
      </c>
      <c r="AH33" s="2">
        <v>147352</v>
      </c>
      <c r="AI33" s="21">
        <v>-4217</v>
      </c>
      <c r="AJ33" s="21">
        <v>-4085</v>
      </c>
      <c r="AK33" s="21">
        <v>-38381</v>
      </c>
      <c r="AL33" s="21">
        <v>-35299</v>
      </c>
      <c r="AM33" s="21">
        <v>18786</v>
      </c>
      <c r="AN33" s="21">
        <v>20316</v>
      </c>
      <c r="AO33" s="21">
        <v>29843</v>
      </c>
      <c r="AP33" s="21">
        <v>-283966</v>
      </c>
      <c r="AQ33" s="21">
        <v>233609</v>
      </c>
      <c r="AR33" s="21">
        <v>330455</v>
      </c>
      <c r="AS33" s="21">
        <v>337244</v>
      </c>
      <c r="AT33" s="21">
        <v>312874</v>
      </c>
      <c r="AU33" s="21">
        <v>-22565</v>
      </c>
      <c r="AV33" s="21">
        <v>7221</v>
      </c>
      <c r="AW33" s="21">
        <v>-11283</v>
      </c>
      <c r="AX33" s="2">
        <v>33182</v>
      </c>
      <c r="AY33" s="2">
        <v>-3746</v>
      </c>
      <c r="AZ33" s="2">
        <v>-14235</v>
      </c>
      <c r="BA33" s="2">
        <v>-111941</v>
      </c>
      <c r="BB33" s="2">
        <v>-145016</v>
      </c>
      <c r="BC33" s="2">
        <v>-18494</v>
      </c>
      <c r="BD33" s="2">
        <v>-653</v>
      </c>
      <c r="BE33" s="2">
        <v>-153950</v>
      </c>
      <c r="BF33" s="2">
        <v>-250098</v>
      </c>
      <c r="BG33" s="2">
        <v>-95681</v>
      </c>
      <c r="BH33" s="104">
        <v>-77378</v>
      </c>
      <c r="BI33" s="104">
        <v>-136394</v>
      </c>
      <c r="BJ33" s="104">
        <v>-123022</v>
      </c>
      <c r="BK33" s="2">
        <v>17501</v>
      </c>
      <c r="BL33" s="104">
        <v>21553</v>
      </c>
      <c r="BM33" s="104">
        <v>8983</v>
      </c>
      <c r="BN33" s="104">
        <v>81607</v>
      </c>
      <c r="BO33" s="104">
        <v>95048</v>
      </c>
      <c r="BP33" s="104">
        <v>214880</v>
      </c>
      <c r="BQ33" s="104">
        <v>292252</v>
      </c>
      <c r="BR33" s="104">
        <v>238507</v>
      </c>
      <c r="BS33" s="104">
        <v>-3421</v>
      </c>
      <c r="BT33" s="104">
        <v>39985</v>
      </c>
      <c r="BU33" s="104">
        <v>119134</v>
      </c>
      <c r="BV33" s="16"/>
      <c r="BW33" s="16"/>
      <c r="BX33" s="16"/>
      <c r="BY33" s="16"/>
      <c r="BZ33" s="105"/>
      <c r="CA33" s="105"/>
      <c r="CB33" s="105"/>
      <c r="CC33" s="105"/>
      <c r="CD33" s="16"/>
      <c r="CE33" s="16"/>
      <c r="CF33" s="16"/>
      <c r="CG33" s="16"/>
      <c r="CH33" s="16"/>
    </row>
    <row r="34" spans="2:86">
      <c r="B34" s="3" t="s">
        <v>179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1">
        <v>-321371</v>
      </c>
      <c r="AS34" s="21">
        <v>-321371</v>
      </c>
      <c r="AT34" s="21">
        <v>-321371</v>
      </c>
      <c r="AU34" s="2">
        <v>0</v>
      </c>
      <c r="AV34" s="2">
        <v>-40280</v>
      </c>
      <c r="AW34" s="2">
        <v>-163473</v>
      </c>
      <c r="AX34" s="2">
        <v>-160685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1">
        <v>0</v>
      </c>
      <c r="BS34" s="21">
        <v>0</v>
      </c>
      <c r="BT34" s="21">
        <v>0</v>
      </c>
      <c r="BU34" s="21">
        <v>0</v>
      </c>
      <c r="BV34" s="16"/>
      <c r="BW34" s="16"/>
      <c r="BX34" s="16"/>
      <c r="BY34" s="16"/>
      <c r="BZ34" s="105"/>
      <c r="CA34" s="105"/>
      <c r="CB34" s="105"/>
      <c r="CC34" s="105"/>
      <c r="CD34" s="16"/>
      <c r="CE34" s="16"/>
      <c r="CF34" s="16"/>
      <c r="CG34" s="16"/>
      <c r="CH34" s="16"/>
    </row>
    <row r="35" spans="2:86">
      <c r="B35" s="3" t="s">
        <v>229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-37822</v>
      </c>
      <c r="BP35" s="2">
        <v>-37822</v>
      </c>
      <c r="BQ35" s="2">
        <v>-37822</v>
      </c>
      <c r="BR35" s="21">
        <v>-48799</v>
      </c>
      <c r="BS35" s="21">
        <v>-16325</v>
      </c>
      <c r="BT35" s="21">
        <v>-16325</v>
      </c>
      <c r="BU35" s="21">
        <v>-16325</v>
      </c>
      <c r="BV35" s="16"/>
      <c r="BW35" s="16"/>
      <c r="BX35" s="16"/>
      <c r="BY35" s="16"/>
      <c r="BZ35" s="105"/>
      <c r="CA35" s="105"/>
      <c r="CB35" s="105"/>
      <c r="CC35" s="105"/>
      <c r="CD35" s="16"/>
      <c r="CE35" s="16"/>
      <c r="CF35" s="16"/>
      <c r="CG35" s="16"/>
      <c r="CH35" s="16"/>
    </row>
    <row r="36" spans="2:86">
      <c r="B36" s="3" t="s">
        <v>64</v>
      </c>
      <c r="C36" s="2">
        <v>0</v>
      </c>
      <c r="D36" s="2">
        <v>0</v>
      </c>
      <c r="E36" s="2">
        <v>0</v>
      </c>
      <c r="F36" s="2">
        <v>667</v>
      </c>
      <c r="G36" s="2"/>
      <c r="H36" s="2">
        <v>471</v>
      </c>
      <c r="I36" s="2">
        <v>608</v>
      </c>
      <c r="J36" s="2">
        <v>-1969</v>
      </c>
      <c r="K36" s="2">
        <v>0</v>
      </c>
      <c r="L36" s="2">
        <v>-230</v>
      </c>
      <c r="M36" s="2">
        <v>8220</v>
      </c>
      <c r="N36" s="2">
        <v>8435</v>
      </c>
      <c r="O36" s="2">
        <v>-1748</v>
      </c>
      <c r="P36" s="2">
        <v>-1726</v>
      </c>
      <c r="Q36" s="2">
        <v>-1726</v>
      </c>
      <c r="R36" s="2">
        <v>-2222</v>
      </c>
      <c r="S36" s="2">
        <v>0</v>
      </c>
      <c r="T36" s="2">
        <v>241</v>
      </c>
      <c r="U36" s="2">
        <v>-664</v>
      </c>
      <c r="V36" s="2">
        <v>-626</v>
      </c>
      <c r="W36" s="2">
        <v>-1065</v>
      </c>
      <c r="X36" s="2">
        <v>-1065</v>
      </c>
      <c r="Y36" s="2">
        <v>-1065</v>
      </c>
      <c r="Z36" s="2">
        <v>-57</v>
      </c>
      <c r="AA36" s="2">
        <v>-1036</v>
      </c>
      <c r="AB36" s="2">
        <v>-793</v>
      </c>
      <c r="AC36" s="2">
        <v>-793</v>
      </c>
      <c r="AD36" s="2">
        <v>-793</v>
      </c>
      <c r="AE36" s="2">
        <v>0</v>
      </c>
      <c r="AF36" s="2">
        <v>1048</v>
      </c>
      <c r="AG36" s="2">
        <f>1048+170</f>
        <v>1218</v>
      </c>
      <c r="AH36" s="2">
        <v>1530</v>
      </c>
      <c r="AI36" s="21">
        <v>40</v>
      </c>
      <c r="AJ36" s="21">
        <v>40</v>
      </c>
      <c r="AK36" s="21">
        <v>40</v>
      </c>
      <c r="AL36" s="21">
        <v>87</v>
      </c>
      <c r="AM36" s="21">
        <v>6</v>
      </c>
      <c r="AN36" s="21">
        <v>6</v>
      </c>
      <c r="AO36" s="21">
        <v>6</v>
      </c>
      <c r="AP36" s="21">
        <v>38</v>
      </c>
      <c r="AQ36" s="21">
        <v>178</v>
      </c>
      <c r="AR36" s="21">
        <v>278</v>
      </c>
      <c r="AS36" s="21">
        <v>-3760</v>
      </c>
      <c r="AT36" s="21">
        <v>471</v>
      </c>
      <c r="AU36" s="2">
        <v>0</v>
      </c>
      <c r="AV36" s="2">
        <v>0</v>
      </c>
      <c r="AW36" s="2">
        <v>0</v>
      </c>
      <c r="AX36" s="2">
        <v>1708</v>
      </c>
      <c r="AY36" s="2">
        <v>199</v>
      </c>
      <c r="AZ36" s="2">
        <v>199</v>
      </c>
      <c r="BA36" s="2">
        <v>249</v>
      </c>
      <c r="BB36" s="2">
        <v>487</v>
      </c>
      <c r="BC36" s="2">
        <v>0</v>
      </c>
      <c r="BD36" s="2">
        <v>-19</v>
      </c>
      <c r="BE36" s="2">
        <v>440</v>
      </c>
      <c r="BF36" s="2">
        <v>439</v>
      </c>
      <c r="BG36" s="2">
        <v>752</v>
      </c>
      <c r="BH36" s="2">
        <v>785</v>
      </c>
      <c r="BI36" s="2">
        <v>785</v>
      </c>
      <c r="BJ36" s="2">
        <v>1381</v>
      </c>
      <c r="BK36" s="2">
        <f>1200</f>
        <v>1200</v>
      </c>
      <c r="BL36" s="2">
        <v>1611</v>
      </c>
      <c r="BM36" s="2">
        <v>1784</v>
      </c>
      <c r="BN36" s="2">
        <v>2027</v>
      </c>
      <c r="BO36" s="2">
        <v>673</v>
      </c>
      <c r="BP36" s="2">
        <v>673</v>
      </c>
      <c r="BQ36" s="2">
        <v>1003</v>
      </c>
      <c r="BR36" s="21">
        <v>1791</v>
      </c>
      <c r="BS36" s="21">
        <v>131</v>
      </c>
      <c r="BT36" s="21">
        <v>892</v>
      </c>
      <c r="BU36" s="21">
        <v>1015</v>
      </c>
      <c r="BV36" s="16"/>
      <c r="BW36" s="16"/>
      <c r="BX36" s="16"/>
      <c r="BY36" s="16"/>
      <c r="BZ36" s="105"/>
      <c r="CA36" s="105"/>
      <c r="CB36" s="105"/>
      <c r="CC36" s="105"/>
      <c r="CD36" s="16"/>
      <c r="CE36" s="16"/>
      <c r="CF36" s="16"/>
      <c r="CG36" s="16"/>
      <c r="CH36" s="16"/>
    </row>
    <row r="37" spans="2:86">
      <c r="B37" s="3" t="s">
        <v>224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235</v>
      </c>
      <c r="BM37" s="2">
        <v>203</v>
      </c>
      <c r="BN37" s="2">
        <v>235</v>
      </c>
      <c r="BO37" s="2">
        <v>76</v>
      </c>
      <c r="BP37" s="2">
        <v>76</v>
      </c>
      <c r="BQ37" s="2">
        <v>83</v>
      </c>
      <c r="BR37" s="21">
        <v>46</v>
      </c>
      <c r="BS37" s="21">
        <v>0</v>
      </c>
      <c r="BT37" s="21">
        <v>0</v>
      </c>
      <c r="BU37" s="21">
        <v>-94</v>
      </c>
      <c r="BV37" s="16"/>
      <c r="BW37" s="16"/>
      <c r="BX37" s="16"/>
      <c r="BY37" s="16"/>
      <c r="BZ37" s="105"/>
      <c r="CA37" s="105"/>
      <c r="CB37" s="105"/>
      <c r="CC37" s="105"/>
      <c r="CD37" s="16"/>
      <c r="CE37" s="16"/>
      <c r="CF37" s="16"/>
      <c r="CG37" s="16"/>
      <c r="CH37" s="16"/>
    </row>
    <row r="38" spans="2:86" ht="15.75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16"/>
      <c r="BW38" s="16"/>
      <c r="BX38" s="16"/>
      <c r="BY38" s="16"/>
      <c r="BZ38" s="105"/>
      <c r="CA38" s="105"/>
      <c r="CB38" s="105"/>
      <c r="CC38" s="105"/>
      <c r="CD38" s="16"/>
      <c r="CE38" s="16"/>
      <c r="CF38" s="16"/>
      <c r="CG38" s="16"/>
      <c r="CH38" s="16"/>
    </row>
    <row r="39" spans="2:86" ht="15.75" thickBot="1">
      <c r="B39" s="9" t="s">
        <v>23</v>
      </c>
      <c r="C39" s="12">
        <f t="shared" ref="C39:AH39" si="35">SUM(C40:C46)</f>
        <v>-7689</v>
      </c>
      <c r="D39" s="12">
        <f t="shared" si="35"/>
        <v>-18717</v>
      </c>
      <c r="E39" s="12">
        <f t="shared" si="35"/>
        <v>-55052</v>
      </c>
      <c r="F39" s="12">
        <f t="shared" si="35"/>
        <v>-49901</v>
      </c>
      <c r="G39" s="12">
        <f t="shared" si="35"/>
        <v>25117</v>
      </c>
      <c r="H39" s="12">
        <f t="shared" si="35"/>
        <v>-22738</v>
      </c>
      <c r="I39" s="12">
        <f t="shared" si="35"/>
        <v>3788</v>
      </c>
      <c r="J39" s="12">
        <f t="shared" si="35"/>
        <v>16870</v>
      </c>
      <c r="K39" s="12">
        <f t="shared" si="35"/>
        <v>-2836</v>
      </c>
      <c r="L39" s="12">
        <f t="shared" si="35"/>
        <v>-17376</v>
      </c>
      <c r="M39" s="12">
        <f t="shared" si="35"/>
        <v>-51549</v>
      </c>
      <c r="N39" s="12">
        <f t="shared" si="35"/>
        <v>-56273</v>
      </c>
      <c r="O39" s="12">
        <f t="shared" si="35"/>
        <v>-21656</v>
      </c>
      <c r="P39" s="12">
        <f t="shared" si="35"/>
        <v>-29582</v>
      </c>
      <c r="Q39" s="12">
        <f t="shared" si="35"/>
        <v>14084</v>
      </c>
      <c r="R39" s="12">
        <f t="shared" si="35"/>
        <v>-16531</v>
      </c>
      <c r="S39" s="12">
        <f t="shared" si="35"/>
        <v>-23803</v>
      </c>
      <c r="T39" s="12">
        <f t="shared" si="35"/>
        <v>-11557</v>
      </c>
      <c r="U39" s="12">
        <f t="shared" si="35"/>
        <v>-36668</v>
      </c>
      <c r="V39" s="12">
        <f t="shared" si="35"/>
        <v>-36668</v>
      </c>
      <c r="W39" s="12">
        <f t="shared" si="35"/>
        <v>-14471</v>
      </c>
      <c r="X39" s="12">
        <f t="shared" si="35"/>
        <v>-12527</v>
      </c>
      <c r="Y39" s="12">
        <f t="shared" si="35"/>
        <v>-12510</v>
      </c>
      <c r="Z39" s="12">
        <f t="shared" si="35"/>
        <v>-12486</v>
      </c>
      <c r="AA39" s="12">
        <f t="shared" si="35"/>
        <v>-13985</v>
      </c>
      <c r="AB39" s="12">
        <f t="shared" si="35"/>
        <v>-17381</v>
      </c>
      <c r="AC39" s="12">
        <f t="shared" si="35"/>
        <v>-35328</v>
      </c>
      <c r="AD39" s="12">
        <f t="shared" si="35"/>
        <v>-37811</v>
      </c>
      <c r="AE39" s="12">
        <f t="shared" si="35"/>
        <v>-11799</v>
      </c>
      <c r="AF39" s="12">
        <f t="shared" si="35"/>
        <v>-15811</v>
      </c>
      <c r="AG39" s="12">
        <f t="shared" si="35"/>
        <v>-38114</v>
      </c>
      <c r="AH39" s="12">
        <f t="shared" si="35"/>
        <v>-64668</v>
      </c>
      <c r="AI39" s="12">
        <f t="shared" ref="AI39:BN39" si="36">SUM(AI40:AI46)</f>
        <v>-27161</v>
      </c>
      <c r="AJ39" s="12">
        <f t="shared" si="36"/>
        <v>-25494</v>
      </c>
      <c r="AK39" s="12">
        <f t="shared" si="36"/>
        <v>-23772</v>
      </c>
      <c r="AL39" s="12">
        <f t="shared" si="36"/>
        <v>-8570</v>
      </c>
      <c r="AM39" s="12">
        <f t="shared" si="36"/>
        <v>-55161</v>
      </c>
      <c r="AN39" s="12">
        <f t="shared" si="36"/>
        <v>-59938</v>
      </c>
      <c r="AO39" s="12">
        <f t="shared" si="36"/>
        <v>-96551</v>
      </c>
      <c r="AP39" s="12">
        <f t="shared" si="36"/>
        <v>-117879</v>
      </c>
      <c r="AQ39" s="12">
        <f t="shared" si="36"/>
        <v>-20642</v>
      </c>
      <c r="AR39" s="12">
        <f t="shared" si="36"/>
        <v>-48952</v>
      </c>
      <c r="AS39" s="12">
        <f t="shared" si="36"/>
        <v>-83504</v>
      </c>
      <c r="AT39" s="12">
        <f t="shared" si="36"/>
        <v>-130332</v>
      </c>
      <c r="AU39" s="12">
        <f t="shared" si="36"/>
        <v>-21593</v>
      </c>
      <c r="AV39" s="12">
        <f t="shared" si="36"/>
        <v>-82756</v>
      </c>
      <c r="AW39" s="12">
        <f t="shared" si="36"/>
        <v>15815</v>
      </c>
      <c r="AX39" s="12">
        <f t="shared" si="36"/>
        <v>-38247</v>
      </c>
      <c r="AY39" s="12">
        <f t="shared" si="36"/>
        <v>25641</v>
      </c>
      <c r="AZ39" s="12">
        <f t="shared" si="36"/>
        <v>79943</v>
      </c>
      <c r="BA39" s="12">
        <f t="shared" si="36"/>
        <v>38395</v>
      </c>
      <c r="BB39" s="12">
        <f t="shared" si="36"/>
        <v>-43399</v>
      </c>
      <c r="BC39" s="12">
        <f t="shared" si="36"/>
        <v>-81428</v>
      </c>
      <c r="BD39" s="12">
        <f t="shared" si="36"/>
        <v>-134113</v>
      </c>
      <c r="BE39" s="12">
        <f t="shared" si="36"/>
        <v>-217531</v>
      </c>
      <c r="BF39" s="12">
        <f t="shared" si="36"/>
        <v>-256934</v>
      </c>
      <c r="BG39" s="12">
        <f t="shared" si="36"/>
        <v>-19794</v>
      </c>
      <c r="BH39" s="12">
        <f t="shared" si="36"/>
        <v>-255110</v>
      </c>
      <c r="BI39" s="12">
        <f t="shared" si="36"/>
        <v>-381239</v>
      </c>
      <c r="BJ39" s="12">
        <f t="shared" si="36"/>
        <v>-555123</v>
      </c>
      <c r="BK39" s="12">
        <f t="shared" si="36"/>
        <v>-22258</v>
      </c>
      <c r="BL39" s="12">
        <f t="shared" si="36"/>
        <v>-130693</v>
      </c>
      <c r="BM39" s="12">
        <f t="shared" si="36"/>
        <v>-225169</v>
      </c>
      <c r="BN39" s="12">
        <f t="shared" si="36"/>
        <v>-363910</v>
      </c>
      <c r="BO39" s="12">
        <f t="shared" ref="BO39:BQ39" si="37">SUM(BO40:BO46)</f>
        <v>-24194</v>
      </c>
      <c r="BP39" s="12">
        <f t="shared" si="37"/>
        <v>-33376</v>
      </c>
      <c r="BQ39" s="12">
        <f t="shared" si="37"/>
        <v>-48916</v>
      </c>
      <c r="BR39" s="12">
        <f>SUM(BR40:BR46)</f>
        <v>-137694</v>
      </c>
      <c r="BS39" s="12">
        <f>SUM(BS40:BS46)</f>
        <v>-68047</v>
      </c>
      <c r="BT39" s="12">
        <f>SUM(BT40:BT46)</f>
        <v>-146731</v>
      </c>
      <c r="BU39" s="12">
        <f>SUM(BU40:BU46)</f>
        <v>-321720</v>
      </c>
      <c r="BV39" s="16"/>
      <c r="BW39" s="16"/>
      <c r="BX39" s="16"/>
      <c r="BY39" s="16"/>
      <c r="BZ39" s="105"/>
      <c r="CA39" s="105"/>
      <c r="CB39" s="105"/>
      <c r="CC39" s="105"/>
      <c r="CD39" s="16"/>
      <c r="CE39" s="16"/>
      <c r="CF39" s="16"/>
      <c r="CG39" s="16"/>
      <c r="CH39" s="16"/>
    </row>
    <row r="40" spans="2:86">
      <c r="B40" s="3" t="s">
        <v>87</v>
      </c>
      <c r="C40" s="2">
        <v>3071</v>
      </c>
      <c r="D40" s="2">
        <v>0</v>
      </c>
      <c r="E40" s="2">
        <v>0</v>
      </c>
      <c r="F40" s="2">
        <v>4636</v>
      </c>
      <c r="G40" s="2">
        <v>25117</v>
      </c>
      <c r="H40" s="2">
        <v>11147</v>
      </c>
      <c r="I40" s="2">
        <v>37744</v>
      </c>
      <c r="J40" s="2">
        <v>197588</v>
      </c>
      <c r="K40" s="2">
        <v>39403</v>
      </c>
      <c r="L40" s="2">
        <v>62508</v>
      </c>
      <c r="M40" s="2">
        <v>59479</v>
      </c>
      <c r="N40" s="2">
        <v>58996</v>
      </c>
      <c r="O40" s="2">
        <v>0</v>
      </c>
      <c r="P40" s="2">
        <v>0</v>
      </c>
      <c r="Q40" s="2">
        <v>67037</v>
      </c>
      <c r="R40" s="2">
        <v>72692</v>
      </c>
      <c r="S40" s="2">
        <v>11550</v>
      </c>
      <c r="T40" s="2">
        <v>53210</v>
      </c>
      <c r="U40" s="2">
        <v>53210</v>
      </c>
      <c r="V40" s="2">
        <v>70889</v>
      </c>
      <c r="W40" s="2">
        <v>4370</v>
      </c>
      <c r="X40" s="2">
        <v>8280</v>
      </c>
      <c r="Y40" s="2">
        <v>17825</v>
      </c>
      <c r="Z40" s="2">
        <v>17848</v>
      </c>
      <c r="AA40" s="2">
        <v>0</v>
      </c>
      <c r="AB40" s="2">
        <v>383</v>
      </c>
      <c r="AC40" s="2">
        <v>1271</v>
      </c>
      <c r="AD40" s="2">
        <v>5551</v>
      </c>
      <c r="AE40" s="58">
        <v>660</v>
      </c>
      <c r="AF40" s="2">
        <v>2362</v>
      </c>
      <c r="AG40" s="2">
        <v>76647</v>
      </c>
      <c r="AH40" s="2">
        <v>77880</v>
      </c>
      <c r="AI40" s="58">
        <v>2049</v>
      </c>
      <c r="AJ40" s="58">
        <v>4313</v>
      </c>
      <c r="AK40" s="58">
        <v>7207</v>
      </c>
      <c r="AL40" s="58">
        <v>23461</v>
      </c>
      <c r="AM40" s="58">
        <v>7756</v>
      </c>
      <c r="AN40" s="58">
        <v>15681</v>
      </c>
      <c r="AO40" s="58">
        <v>27246</v>
      </c>
      <c r="AP40" s="58">
        <v>29243</v>
      </c>
      <c r="AQ40" s="58">
        <v>388</v>
      </c>
      <c r="AR40" s="58">
        <v>3331</v>
      </c>
      <c r="AS40" s="58">
        <v>31672</v>
      </c>
      <c r="AT40" s="58">
        <v>30790</v>
      </c>
      <c r="AU40" s="58">
        <v>0</v>
      </c>
      <c r="AV40" s="58">
        <v>0</v>
      </c>
      <c r="AW40" s="58">
        <v>137000</v>
      </c>
      <c r="AX40" s="2">
        <v>137000</v>
      </c>
      <c r="AY40" s="2">
        <v>47833</v>
      </c>
      <c r="AZ40" s="2">
        <v>151946</v>
      </c>
      <c r="BA40" s="2">
        <v>188626</v>
      </c>
      <c r="BB40" s="2">
        <v>188626</v>
      </c>
      <c r="BC40" s="2">
        <v>0</v>
      </c>
      <c r="BD40" s="2">
        <v>0</v>
      </c>
      <c r="BE40" s="2">
        <v>2785</v>
      </c>
      <c r="BF40" s="2">
        <v>2785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56566</v>
      </c>
      <c r="BQ40" s="2">
        <v>94292</v>
      </c>
      <c r="BR40" s="21">
        <v>196099</v>
      </c>
      <c r="BS40" s="21">
        <v>0</v>
      </c>
      <c r="BT40" s="21">
        <v>0</v>
      </c>
      <c r="BU40" s="21">
        <v>-196099</v>
      </c>
      <c r="BV40" s="16"/>
      <c r="BW40" s="16"/>
      <c r="BX40" s="16"/>
      <c r="BY40" s="16"/>
      <c r="BZ40" s="105"/>
      <c r="CA40" s="105"/>
      <c r="CB40" s="105"/>
      <c r="CC40" s="105"/>
      <c r="CD40" s="16"/>
      <c r="CE40" s="16"/>
      <c r="CF40" s="16"/>
      <c r="CG40" s="16"/>
      <c r="CH40" s="16"/>
    </row>
    <row r="41" spans="2:86">
      <c r="B41" s="3" t="s">
        <v>100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-146798</v>
      </c>
      <c r="K41" s="2">
        <v>-33497</v>
      </c>
      <c r="L41" s="2">
        <v>-70373</v>
      </c>
      <c r="M41" s="2">
        <v>-102087</v>
      </c>
      <c r="N41" s="2">
        <v>-106328</v>
      </c>
      <c r="O41" s="2">
        <v>0</v>
      </c>
      <c r="P41" s="2">
        <v>0</v>
      </c>
      <c r="Q41" s="2">
        <v>-23371</v>
      </c>
      <c r="R41" s="2">
        <v>-59102</v>
      </c>
      <c r="S41" s="2">
        <v>-13590</v>
      </c>
      <c r="T41" s="2">
        <v>-41771</v>
      </c>
      <c r="U41" s="2">
        <v>-66800</v>
      </c>
      <c r="V41" s="2">
        <v>-84479</v>
      </c>
      <c r="W41" s="2">
        <v>0</v>
      </c>
      <c r="X41" s="2">
        <v>0</v>
      </c>
      <c r="Y41" s="2">
        <v>-9528</v>
      </c>
      <c r="Z41" s="2">
        <v>-9528</v>
      </c>
      <c r="AA41" s="2">
        <v>-143</v>
      </c>
      <c r="AB41" s="2">
        <v>-294</v>
      </c>
      <c r="AC41" s="2">
        <v>-449</v>
      </c>
      <c r="AD41" s="2">
        <v>-629</v>
      </c>
      <c r="AE41" s="58">
        <v>-467</v>
      </c>
      <c r="AF41" s="2">
        <v>-1030</v>
      </c>
      <c r="AG41" s="2">
        <v>-48544</v>
      </c>
      <c r="AH41" s="2">
        <v>-74718</v>
      </c>
      <c r="AI41" s="58">
        <v>-535</v>
      </c>
      <c r="AJ41" s="58">
        <v>-1132</v>
      </c>
      <c r="AK41" s="58">
        <v>-2192</v>
      </c>
      <c r="AL41" s="58">
        <v>-3244</v>
      </c>
      <c r="AM41" s="58">
        <v>-1294</v>
      </c>
      <c r="AN41" s="58">
        <v>-1097</v>
      </c>
      <c r="AO41" s="58">
        <v>-1798</v>
      </c>
      <c r="AP41" s="58">
        <v>-2572</v>
      </c>
      <c r="AQ41" s="58">
        <v>-799</v>
      </c>
      <c r="AR41" s="58">
        <v>-7795</v>
      </c>
      <c r="AS41" s="58">
        <v>-42916</v>
      </c>
      <c r="AT41" s="58">
        <v>-52522</v>
      </c>
      <c r="AU41" s="58">
        <v>-10428</v>
      </c>
      <c r="AV41" s="58">
        <v>-21093</v>
      </c>
      <c r="AW41" s="58">
        <v>-32138</v>
      </c>
      <c r="AX41" s="2">
        <v>-42940</v>
      </c>
      <c r="AY41" s="2">
        <v>-10787</v>
      </c>
      <c r="AZ41" s="2">
        <v>-53884</v>
      </c>
      <c r="BA41" s="2">
        <v>-111380</v>
      </c>
      <c r="BB41" s="2">
        <v>-156259</v>
      </c>
      <c r="BC41" s="2">
        <v>-42156</v>
      </c>
      <c r="BD41" s="2">
        <v>-67722</v>
      </c>
      <c r="BE41" s="2">
        <v>-116033</v>
      </c>
      <c r="BF41" s="2">
        <v>-126299</v>
      </c>
      <c r="BG41" s="2">
        <v>-9054</v>
      </c>
      <c r="BH41" s="104">
        <v>-28115</v>
      </c>
      <c r="BI41" s="104">
        <v>-64800</v>
      </c>
      <c r="BJ41" s="104">
        <v>-71663</v>
      </c>
      <c r="BK41" s="2">
        <v>-7080</v>
      </c>
      <c r="BL41" s="104">
        <v>-24026</v>
      </c>
      <c r="BM41" s="104">
        <v>-58764</v>
      </c>
      <c r="BN41" s="104">
        <v>-67114</v>
      </c>
      <c r="BO41" s="104">
        <v>-8355</v>
      </c>
      <c r="BP41" s="104">
        <v>-26702</v>
      </c>
      <c r="BQ41" s="104">
        <v>-62358</v>
      </c>
      <c r="BR41" s="104">
        <v>-70512</v>
      </c>
      <c r="BS41" s="104">
        <v>-49632</v>
      </c>
      <c r="BT41" s="104">
        <v>-96977</v>
      </c>
      <c r="BU41" s="104">
        <v>-34115</v>
      </c>
      <c r="BV41" s="16"/>
      <c r="BW41" s="16"/>
      <c r="BX41" s="16"/>
      <c r="BY41" s="16"/>
      <c r="BZ41" s="105"/>
      <c r="CA41" s="105"/>
      <c r="CB41" s="105"/>
      <c r="CC41" s="105"/>
      <c r="CD41" s="16"/>
      <c r="CE41" s="16"/>
      <c r="CF41" s="16"/>
      <c r="CG41" s="16"/>
      <c r="CH41" s="16"/>
    </row>
    <row r="42" spans="2:86">
      <c r="B42" s="3" t="s">
        <v>197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-2804</v>
      </c>
      <c r="AV42" s="2">
        <v>-6413</v>
      </c>
      <c r="AW42" s="61">
        <v>-10423</v>
      </c>
      <c r="AX42" s="2">
        <v>-17904</v>
      </c>
      <c r="AY42" s="2">
        <v>-6182</v>
      </c>
      <c r="AZ42" s="2">
        <v>-12896</v>
      </c>
      <c r="BA42" s="2">
        <v>-19938</v>
      </c>
      <c r="BB42" s="2">
        <v>-26768</v>
      </c>
      <c r="BC42" s="2">
        <v>-6446</v>
      </c>
      <c r="BD42" s="2">
        <v>-13525</v>
      </c>
      <c r="BE42" s="2">
        <v>-20094</v>
      </c>
      <c r="BF42" s="2">
        <v>-26149</v>
      </c>
      <c r="BG42" s="2">
        <v>-5265</v>
      </c>
      <c r="BH42" s="104">
        <v>-13495</v>
      </c>
      <c r="BI42" s="104">
        <v>-22932</v>
      </c>
      <c r="BJ42" s="104">
        <v>-34707</v>
      </c>
      <c r="BK42" s="2">
        <v>-15178</v>
      </c>
      <c r="BL42" s="104">
        <v>-33915</v>
      </c>
      <c r="BM42" s="104">
        <v>-51811</v>
      </c>
      <c r="BN42" s="104">
        <v>-70879</v>
      </c>
      <c r="BO42" s="104">
        <v>-15839</v>
      </c>
      <c r="BP42" s="104">
        <v>-45740</v>
      </c>
      <c r="BQ42" s="104">
        <v>-70188</v>
      </c>
      <c r="BR42" s="104">
        <v>-89663</v>
      </c>
      <c r="BS42" s="104">
        <v>-18415</v>
      </c>
      <c r="BT42" s="104">
        <v>-37556</v>
      </c>
      <c r="BU42" s="104">
        <v>-54689</v>
      </c>
      <c r="BV42" s="16"/>
      <c r="BW42" s="16"/>
      <c r="BX42" s="16"/>
      <c r="BY42" s="16"/>
      <c r="BZ42" s="105"/>
      <c r="CA42" s="105"/>
      <c r="CB42" s="105"/>
      <c r="CC42" s="105"/>
      <c r="CD42" s="16"/>
      <c r="CE42" s="16"/>
      <c r="CF42" s="16"/>
      <c r="CG42" s="16"/>
      <c r="CH42" s="16"/>
    </row>
    <row r="43" spans="2:86">
      <c r="B43" s="3" t="s">
        <v>137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-4621</v>
      </c>
      <c r="AD43" s="2">
        <v>-11204</v>
      </c>
      <c r="AE43" s="58">
        <v>-5992</v>
      </c>
      <c r="AF43" s="2">
        <v>-10510</v>
      </c>
      <c r="AG43" s="2">
        <v>-12909</v>
      </c>
      <c r="AH43" s="2">
        <v>-14522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/>
      <c r="AY43" s="58"/>
      <c r="AZ43" s="58"/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2">
        <v>0</v>
      </c>
      <c r="BJ43" s="2">
        <v>0</v>
      </c>
      <c r="BK43" s="58">
        <v>0</v>
      </c>
      <c r="BL43" s="58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1">
        <v>0</v>
      </c>
      <c r="BS43" s="21">
        <v>0</v>
      </c>
      <c r="BT43" s="21">
        <v>-3198</v>
      </c>
      <c r="BU43" s="21">
        <v>-10193</v>
      </c>
      <c r="BV43" s="16"/>
      <c r="BW43" s="16"/>
      <c r="BX43" s="16"/>
      <c r="BY43" s="16"/>
      <c r="BZ43" s="105"/>
      <c r="CA43" s="105"/>
      <c r="CB43" s="105"/>
      <c r="CC43" s="105"/>
      <c r="CD43" s="16"/>
      <c r="CE43" s="16"/>
      <c r="CF43" s="16"/>
      <c r="CG43" s="16"/>
      <c r="CH43" s="16"/>
    </row>
    <row r="44" spans="2:86">
      <c r="B44" s="3" t="s">
        <v>182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3900</v>
      </c>
      <c r="AT44" s="58">
        <v>0</v>
      </c>
      <c r="AU44" s="58">
        <v>0</v>
      </c>
      <c r="AV44" s="58">
        <v>0</v>
      </c>
      <c r="AW44" s="58">
        <v>0</v>
      </c>
      <c r="AX44" s="58"/>
      <c r="AY44" s="58"/>
      <c r="AZ44" s="58"/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2">
        <v>0</v>
      </c>
      <c r="BJ44" s="2">
        <v>0</v>
      </c>
      <c r="BK44" s="58">
        <v>0</v>
      </c>
      <c r="BL44" s="58">
        <v>0</v>
      </c>
      <c r="BM44" s="2">
        <v>0</v>
      </c>
      <c r="BN44" s="2">
        <v>0</v>
      </c>
      <c r="BO44" s="2">
        <v>0</v>
      </c>
      <c r="BP44" s="2">
        <v>0</v>
      </c>
      <c r="BQ44" s="2">
        <v>24956</v>
      </c>
      <c r="BR44" s="58">
        <v>0</v>
      </c>
      <c r="BS44" s="58">
        <v>0</v>
      </c>
      <c r="BT44" s="58">
        <v>0</v>
      </c>
      <c r="BU44" s="58">
        <v>0</v>
      </c>
      <c r="BV44" s="16"/>
      <c r="BW44" s="16"/>
      <c r="BX44" s="16"/>
      <c r="BY44" s="16"/>
      <c r="BZ44" s="105"/>
      <c r="CA44" s="105"/>
      <c r="CB44" s="105"/>
      <c r="CC44" s="105"/>
      <c r="CD44" s="16"/>
      <c r="CE44" s="16"/>
      <c r="CF44" s="16"/>
      <c r="CG44" s="16"/>
      <c r="CH44" s="16"/>
    </row>
    <row r="45" spans="2:86">
      <c r="B45" s="3" t="s">
        <v>213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-2712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0</v>
      </c>
      <c r="BN45" s="58">
        <v>0</v>
      </c>
      <c r="BO45" s="58">
        <v>0</v>
      </c>
      <c r="BP45" s="58">
        <v>0</v>
      </c>
      <c r="BQ45" s="58">
        <v>0</v>
      </c>
      <c r="BR45" s="58">
        <v>0</v>
      </c>
      <c r="BS45" s="58">
        <v>0</v>
      </c>
      <c r="BT45" s="58">
        <v>0</v>
      </c>
      <c r="BU45" s="58">
        <v>0</v>
      </c>
      <c r="BV45" s="16"/>
      <c r="BW45" s="16"/>
      <c r="BX45" s="16"/>
      <c r="BY45" s="16"/>
      <c r="BZ45" s="105"/>
      <c r="CA45" s="105"/>
      <c r="CB45" s="105"/>
      <c r="CC45" s="105"/>
      <c r="CD45" s="16"/>
      <c r="CE45" s="16"/>
      <c r="CF45" s="16"/>
      <c r="CG45" s="16"/>
      <c r="CH45" s="16"/>
    </row>
    <row r="46" spans="2:86">
      <c r="B46" s="3" t="s">
        <v>101</v>
      </c>
      <c r="C46" s="2">
        <v>-10760</v>
      </c>
      <c r="D46" s="2">
        <v>-18717</v>
      </c>
      <c r="E46" s="2">
        <v>-55052</v>
      </c>
      <c r="F46" s="2">
        <v>-54537</v>
      </c>
      <c r="G46" s="2">
        <v>0</v>
      </c>
      <c r="H46" s="2">
        <v>-33885</v>
      </c>
      <c r="I46" s="2">
        <v>-33956</v>
      </c>
      <c r="J46" s="2">
        <v>-33920</v>
      </c>
      <c r="K46" s="2">
        <v>-8742</v>
      </c>
      <c r="L46" s="2">
        <v>-9511</v>
      </c>
      <c r="M46" s="2">
        <v>-8941</v>
      </c>
      <c r="N46" s="2">
        <v>-8941</v>
      </c>
      <c r="O46" s="2">
        <v>-21656</v>
      </c>
      <c r="P46" s="2">
        <v>-29582</v>
      </c>
      <c r="Q46" s="2">
        <v>-29582</v>
      </c>
      <c r="R46" s="2">
        <v>-30121</v>
      </c>
      <c r="S46" s="2">
        <v>-21763</v>
      </c>
      <c r="T46" s="2">
        <v>-22996</v>
      </c>
      <c r="U46" s="2">
        <v>-23078</v>
      </c>
      <c r="V46" s="2">
        <v>-23078</v>
      </c>
      <c r="W46" s="2">
        <v>-18841</v>
      </c>
      <c r="X46" s="2">
        <v>-20807</v>
      </c>
      <c r="Y46" s="2">
        <v>-20807</v>
      </c>
      <c r="Z46" s="2">
        <v>-20806</v>
      </c>
      <c r="AA46" s="2">
        <v>-13842</v>
      </c>
      <c r="AB46" s="2">
        <v>-17470</v>
      </c>
      <c r="AC46" s="2">
        <v>-31529</v>
      </c>
      <c r="AD46" s="2">
        <v>-31529</v>
      </c>
      <c r="AE46" s="58">
        <v>-6000</v>
      </c>
      <c r="AF46" s="2">
        <v>-6633</v>
      </c>
      <c r="AG46" s="2">
        <v>-53308</v>
      </c>
      <c r="AH46" s="2">
        <v>-53308</v>
      </c>
      <c r="AI46" s="58">
        <v>-28675</v>
      </c>
      <c r="AJ46" s="58">
        <v>-28675</v>
      </c>
      <c r="AK46" s="58">
        <v>-28787</v>
      </c>
      <c r="AL46" s="58">
        <v>-28787</v>
      </c>
      <c r="AM46" s="58">
        <v>-61623</v>
      </c>
      <c r="AN46" s="58">
        <v>-74522</v>
      </c>
      <c r="AO46" s="58">
        <v>-121999</v>
      </c>
      <c r="AP46" s="58">
        <v>-144550</v>
      </c>
      <c r="AQ46" s="58">
        <v>-20231</v>
      </c>
      <c r="AR46" s="58">
        <v>-44488</v>
      </c>
      <c r="AS46" s="58">
        <v>-76160</v>
      </c>
      <c r="AT46" s="58">
        <v>-108600</v>
      </c>
      <c r="AU46" s="58">
        <v>-8361</v>
      </c>
      <c r="AV46" s="58">
        <v>-55250</v>
      </c>
      <c r="AW46" s="58">
        <v>-78624</v>
      </c>
      <c r="AX46" s="2">
        <v>-114403</v>
      </c>
      <c r="AY46" s="2">
        <v>-5223</v>
      </c>
      <c r="AZ46" s="2">
        <v>-5223</v>
      </c>
      <c r="BA46" s="2">
        <v>-18913</v>
      </c>
      <c r="BB46" s="2">
        <v>-48998</v>
      </c>
      <c r="BC46" s="2">
        <v>-32826</v>
      </c>
      <c r="BD46" s="2">
        <v>-52866</v>
      </c>
      <c r="BE46" s="2">
        <v>-84189</v>
      </c>
      <c r="BF46" s="2">
        <v>-104559</v>
      </c>
      <c r="BG46" s="2">
        <v>-5475</v>
      </c>
      <c r="BH46" s="2">
        <v>-213500</v>
      </c>
      <c r="BI46" s="2">
        <v>-293507</v>
      </c>
      <c r="BJ46" s="2">
        <v>-448753</v>
      </c>
      <c r="BK46" s="2">
        <v>0</v>
      </c>
      <c r="BL46" s="2">
        <v>-72752</v>
      </c>
      <c r="BM46" s="2">
        <v>-114594</v>
      </c>
      <c r="BN46" s="2">
        <v>-225917</v>
      </c>
      <c r="BO46" s="2">
        <v>0</v>
      </c>
      <c r="BP46" s="2">
        <v>-17500</v>
      </c>
      <c r="BQ46" s="2">
        <v>-35618</v>
      </c>
      <c r="BR46" s="21">
        <v>-173618</v>
      </c>
      <c r="BS46" s="21">
        <v>0</v>
      </c>
      <c r="BT46" s="21">
        <v>-9000</v>
      </c>
      <c r="BU46" s="21">
        <v>-26624</v>
      </c>
      <c r="BV46" s="16"/>
      <c r="BW46" s="16"/>
      <c r="BX46" s="16"/>
      <c r="BY46" s="16"/>
      <c r="BZ46" s="105"/>
      <c r="CA46" s="105"/>
      <c r="CB46" s="105"/>
      <c r="CC46" s="105"/>
      <c r="CD46" s="16"/>
      <c r="CE46" s="16"/>
      <c r="CF46" s="16"/>
      <c r="CG46" s="16"/>
      <c r="CH46" s="16"/>
    </row>
    <row r="47" spans="2:86" ht="15.75" thickBo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16"/>
      <c r="BW47" s="16"/>
      <c r="BX47" s="16"/>
      <c r="BY47" s="16"/>
      <c r="BZ47" s="105"/>
      <c r="CA47" s="105"/>
      <c r="CB47" s="105"/>
      <c r="CC47" s="105"/>
      <c r="CD47" s="16"/>
      <c r="CE47" s="16"/>
      <c r="CF47" s="16"/>
      <c r="CG47" s="16"/>
      <c r="CH47" s="16"/>
    </row>
    <row r="48" spans="2:86" ht="15.75" thickBot="1">
      <c r="B48" s="9" t="s">
        <v>24</v>
      </c>
      <c r="C48" s="12">
        <f t="shared" ref="C48:AH48" si="38">C6+C31+C39</f>
        <v>12405</v>
      </c>
      <c r="D48" s="12">
        <f t="shared" si="38"/>
        <v>57175</v>
      </c>
      <c r="E48" s="12">
        <f t="shared" si="38"/>
        <v>181752</v>
      </c>
      <c r="F48" s="12">
        <f t="shared" si="38"/>
        <v>162471</v>
      </c>
      <c r="G48" s="12">
        <f t="shared" si="38"/>
        <v>-22086</v>
      </c>
      <c r="H48" s="12">
        <f t="shared" si="38"/>
        <v>-80150</v>
      </c>
      <c r="I48" s="12">
        <f t="shared" si="38"/>
        <v>-1707</v>
      </c>
      <c r="J48" s="12">
        <f t="shared" si="38"/>
        <v>22698</v>
      </c>
      <c r="K48" s="12">
        <f t="shared" si="38"/>
        <v>-2607</v>
      </c>
      <c r="L48" s="12">
        <f t="shared" si="38"/>
        <v>-50747</v>
      </c>
      <c r="M48" s="12">
        <f t="shared" si="38"/>
        <v>-76646</v>
      </c>
      <c r="N48" s="12">
        <f t="shared" si="38"/>
        <v>-115943</v>
      </c>
      <c r="O48" s="12">
        <f t="shared" si="38"/>
        <v>18675</v>
      </c>
      <c r="P48" s="12">
        <f t="shared" si="38"/>
        <v>32391</v>
      </c>
      <c r="Q48" s="12">
        <f t="shared" si="38"/>
        <v>51769</v>
      </c>
      <c r="R48" s="12">
        <f t="shared" si="38"/>
        <v>-31379</v>
      </c>
      <c r="S48" s="12">
        <f t="shared" si="38"/>
        <v>-33579</v>
      </c>
      <c r="T48" s="12">
        <f t="shared" si="38"/>
        <v>72843</v>
      </c>
      <c r="U48" s="12">
        <f t="shared" si="38"/>
        <v>25156</v>
      </c>
      <c r="V48" s="12">
        <f t="shared" si="38"/>
        <v>-5728</v>
      </c>
      <c r="W48" s="12">
        <f t="shared" si="38"/>
        <v>-34513</v>
      </c>
      <c r="X48" s="12">
        <f t="shared" si="38"/>
        <v>-30102</v>
      </c>
      <c r="Y48" s="12">
        <f t="shared" si="38"/>
        <v>-132263</v>
      </c>
      <c r="Z48" s="12">
        <f t="shared" si="38"/>
        <v>-113190</v>
      </c>
      <c r="AA48" s="12">
        <f t="shared" si="38"/>
        <v>-33890</v>
      </c>
      <c r="AB48" s="12">
        <f t="shared" si="38"/>
        <v>-37060</v>
      </c>
      <c r="AC48" s="12">
        <f t="shared" si="38"/>
        <v>-84273</v>
      </c>
      <c r="AD48" s="12">
        <f t="shared" si="38"/>
        <v>-61812</v>
      </c>
      <c r="AE48" s="12">
        <f t="shared" si="38"/>
        <v>-10254</v>
      </c>
      <c r="AF48" s="12">
        <f t="shared" si="38"/>
        <v>33863</v>
      </c>
      <c r="AG48" s="12">
        <f t="shared" si="38"/>
        <v>22068</v>
      </c>
      <c r="AH48" s="12">
        <f t="shared" si="38"/>
        <v>-14039</v>
      </c>
      <c r="AI48" s="12">
        <f t="shared" ref="AI48:BR48" si="39">AI6+AI31+AI39</f>
        <v>43184</v>
      </c>
      <c r="AJ48" s="12">
        <f t="shared" si="39"/>
        <v>75608</v>
      </c>
      <c r="AK48" s="12">
        <f t="shared" si="39"/>
        <v>73301</v>
      </c>
      <c r="AL48" s="12">
        <f t="shared" si="39"/>
        <v>151759</v>
      </c>
      <c r="AM48" s="12">
        <f t="shared" si="39"/>
        <v>109026</v>
      </c>
      <c r="AN48" s="12">
        <f t="shared" si="39"/>
        <v>181621</v>
      </c>
      <c r="AO48" s="12">
        <f t="shared" si="39"/>
        <v>216560</v>
      </c>
      <c r="AP48" s="12">
        <f t="shared" si="39"/>
        <v>-99960</v>
      </c>
      <c r="AQ48" s="12">
        <f t="shared" si="39"/>
        <v>279872</v>
      </c>
      <c r="AR48" s="12">
        <f t="shared" si="39"/>
        <v>73244</v>
      </c>
      <c r="AS48" s="12">
        <f t="shared" si="39"/>
        <v>127494</v>
      </c>
      <c r="AT48" s="12">
        <f t="shared" si="39"/>
        <v>76442</v>
      </c>
      <c r="AU48" s="12">
        <f t="shared" si="39"/>
        <v>-28497</v>
      </c>
      <c r="AV48" s="12">
        <f t="shared" si="39"/>
        <v>-86152</v>
      </c>
      <c r="AW48" s="12">
        <f t="shared" si="39"/>
        <v>-69473</v>
      </c>
      <c r="AX48" s="12">
        <f t="shared" si="39"/>
        <v>-108392</v>
      </c>
      <c r="AY48" s="12">
        <f t="shared" si="39"/>
        <v>47090</v>
      </c>
      <c r="AZ48" s="12">
        <f t="shared" si="39"/>
        <v>94388</v>
      </c>
      <c r="BA48" s="12">
        <f t="shared" si="39"/>
        <v>43437</v>
      </c>
      <c r="BB48" s="12">
        <f t="shared" si="39"/>
        <v>16776</v>
      </c>
      <c r="BC48" s="12">
        <f t="shared" si="39"/>
        <v>-26190</v>
      </c>
      <c r="BD48" s="12">
        <f t="shared" si="39"/>
        <v>74128</v>
      </c>
      <c r="BE48" s="12">
        <f t="shared" si="39"/>
        <v>53105</v>
      </c>
      <c r="BF48" s="12">
        <f t="shared" si="39"/>
        <v>126015</v>
      </c>
      <c r="BG48" s="12">
        <f t="shared" si="39"/>
        <v>101862</v>
      </c>
      <c r="BH48" s="12">
        <f t="shared" si="39"/>
        <v>214845</v>
      </c>
      <c r="BI48" s="12">
        <f t="shared" si="39"/>
        <v>219550</v>
      </c>
      <c r="BJ48" s="12">
        <f t="shared" si="39"/>
        <v>257590</v>
      </c>
      <c r="BK48" s="12">
        <f t="shared" si="39"/>
        <v>106144</v>
      </c>
      <c r="BL48" s="12">
        <f t="shared" si="39"/>
        <v>84422</v>
      </c>
      <c r="BM48" s="12">
        <f t="shared" si="39"/>
        <v>1509</v>
      </c>
      <c r="BN48" s="12">
        <f t="shared" si="39"/>
        <v>-132315</v>
      </c>
      <c r="BO48" s="12">
        <f t="shared" si="39"/>
        <v>-50815</v>
      </c>
      <c r="BP48" s="12">
        <f t="shared" si="39"/>
        <v>47121</v>
      </c>
      <c r="BQ48" s="12">
        <f t="shared" si="39"/>
        <v>126551</v>
      </c>
      <c r="BR48" s="12">
        <f t="shared" si="39"/>
        <v>122299</v>
      </c>
      <c r="BS48" s="12">
        <f t="shared" ref="BS48:BU48" si="40">BS6+BS31+BS39</f>
        <v>-16801</v>
      </c>
      <c r="BT48" s="12">
        <f t="shared" si="40"/>
        <v>-73536</v>
      </c>
      <c r="BU48" s="12">
        <f t="shared" si="40"/>
        <v>-107048</v>
      </c>
      <c r="BV48" s="16"/>
      <c r="BW48" s="16"/>
      <c r="BX48" s="16"/>
      <c r="BY48" s="16"/>
      <c r="BZ48" s="105"/>
      <c r="CA48" s="105"/>
      <c r="CB48" s="105"/>
      <c r="CC48" s="105"/>
      <c r="CD48" s="16"/>
      <c r="CE48" s="16"/>
      <c r="CF48" s="16"/>
      <c r="CG48" s="16"/>
      <c r="CH48" s="16"/>
    </row>
    <row r="49" spans="2:86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16"/>
      <c r="BW49" s="16"/>
      <c r="BX49" s="16"/>
      <c r="BY49" s="16"/>
      <c r="BZ49" s="105"/>
      <c r="CA49" s="105"/>
      <c r="CB49" s="105"/>
      <c r="CC49" s="105"/>
      <c r="CD49" s="16"/>
      <c r="CE49" s="16"/>
      <c r="CF49" s="16"/>
      <c r="CG49" s="16"/>
      <c r="CH49" s="16"/>
    </row>
    <row r="50" spans="2:86">
      <c r="B50" t="s">
        <v>25</v>
      </c>
      <c r="C50" s="2">
        <v>197563</v>
      </c>
      <c r="D50" s="2">
        <v>197563</v>
      </c>
      <c r="E50" s="2">
        <v>197563</v>
      </c>
      <c r="F50" s="2">
        <v>197563</v>
      </c>
      <c r="G50" s="2">
        <v>360034</v>
      </c>
      <c r="H50" s="2">
        <v>360034</v>
      </c>
      <c r="I50" s="2">
        <v>360034</v>
      </c>
      <c r="J50" s="2">
        <v>360034</v>
      </c>
      <c r="K50" s="2">
        <v>382732</v>
      </c>
      <c r="L50" s="2">
        <v>382732</v>
      </c>
      <c r="M50" s="2">
        <v>382732</v>
      </c>
      <c r="N50" s="2">
        <v>382732</v>
      </c>
      <c r="O50" s="2">
        <v>266789</v>
      </c>
      <c r="P50" s="2">
        <v>266789</v>
      </c>
      <c r="Q50" s="2">
        <v>266789</v>
      </c>
      <c r="R50" s="2">
        <v>266789</v>
      </c>
      <c r="S50" s="2">
        <v>235410</v>
      </c>
      <c r="T50" s="2">
        <v>235410</v>
      </c>
      <c r="U50" s="2">
        <v>235410</v>
      </c>
      <c r="V50" s="2">
        <v>235410</v>
      </c>
      <c r="W50" s="2">
        <v>229682</v>
      </c>
      <c r="X50" s="2">
        <v>229682</v>
      </c>
      <c r="Y50" s="2">
        <v>229682</v>
      </c>
      <c r="Z50" s="2">
        <v>229682</v>
      </c>
      <c r="AA50" s="2">
        <v>116492</v>
      </c>
      <c r="AB50" s="2">
        <v>116492</v>
      </c>
      <c r="AC50" s="2">
        <v>116492</v>
      </c>
      <c r="AD50" s="2">
        <v>116492</v>
      </c>
      <c r="AE50" s="2">
        <v>54680</v>
      </c>
      <c r="AF50" s="2">
        <v>54680</v>
      </c>
      <c r="AG50" s="2">
        <v>54680</v>
      </c>
      <c r="AH50" s="2">
        <v>54680</v>
      </c>
      <c r="AI50" s="2">
        <v>40641</v>
      </c>
      <c r="AJ50" s="2">
        <v>40641</v>
      </c>
      <c r="AK50" s="2">
        <v>40641</v>
      </c>
      <c r="AL50" s="2">
        <v>40641</v>
      </c>
      <c r="AM50" s="2">
        <v>192400</v>
      </c>
      <c r="AN50" s="2">
        <v>192400</v>
      </c>
      <c r="AO50" s="2">
        <v>192400</v>
      </c>
      <c r="AP50" s="2">
        <v>192400</v>
      </c>
      <c r="AQ50" s="2">
        <v>92440</v>
      </c>
      <c r="AR50" s="2">
        <v>105671</v>
      </c>
      <c r="AS50" s="2">
        <v>105671</v>
      </c>
      <c r="AT50" s="2">
        <v>105671</v>
      </c>
      <c r="AU50" s="2">
        <v>182113</v>
      </c>
      <c r="AV50" s="2">
        <v>182113</v>
      </c>
      <c r="AW50" s="2">
        <v>182113</v>
      </c>
      <c r="AX50" s="2">
        <v>182113</v>
      </c>
      <c r="AY50" s="2">
        <v>73721</v>
      </c>
      <c r="AZ50" s="2">
        <f>AY50</f>
        <v>73721</v>
      </c>
      <c r="BA50" s="2">
        <f>AZ50</f>
        <v>73721</v>
      </c>
      <c r="BB50" s="2">
        <f>BA50</f>
        <v>73721</v>
      </c>
      <c r="BC50" s="2">
        <f>BB51</f>
        <v>90497</v>
      </c>
      <c r="BD50" s="2">
        <f>BC50</f>
        <v>90497</v>
      </c>
      <c r="BE50" s="2">
        <f>BD50</f>
        <v>90497</v>
      </c>
      <c r="BF50" s="2">
        <f>BE50</f>
        <v>90497</v>
      </c>
      <c r="BG50" s="2">
        <f>$BF51</f>
        <v>216512</v>
      </c>
      <c r="BH50" s="2">
        <f>$BF51</f>
        <v>216512</v>
      </c>
      <c r="BI50" s="2">
        <f>$BF51</f>
        <v>216512</v>
      </c>
      <c r="BJ50" s="2">
        <f>$BF51</f>
        <v>216512</v>
      </c>
      <c r="BK50" s="2">
        <f>$BJ51</f>
        <v>474102</v>
      </c>
      <c r="BL50" s="2">
        <f>$BJ51</f>
        <v>474102</v>
      </c>
      <c r="BM50" s="2">
        <f>$BJ51</f>
        <v>474102</v>
      </c>
      <c r="BN50" s="2">
        <f>$BJ51</f>
        <v>474102</v>
      </c>
      <c r="BO50" s="2">
        <f>$BN51</f>
        <v>341787</v>
      </c>
      <c r="BP50" s="2">
        <f>$BN51</f>
        <v>341787</v>
      </c>
      <c r="BQ50" s="2">
        <f>$BN51</f>
        <v>341787</v>
      </c>
      <c r="BR50" s="2">
        <f>$BN$51</f>
        <v>341787</v>
      </c>
      <c r="BS50" s="2">
        <f>BR51</f>
        <v>464086</v>
      </c>
      <c r="BT50" s="2">
        <v>464086</v>
      </c>
      <c r="BU50" s="2">
        <v>464086</v>
      </c>
      <c r="BV50" s="16"/>
      <c r="BW50" s="16"/>
      <c r="BX50" s="16"/>
      <c r="BY50" s="16"/>
      <c r="BZ50" s="105"/>
      <c r="CA50" s="105"/>
      <c r="CB50" s="105"/>
      <c r="CC50" s="105"/>
      <c r="CD50" s="16"/>
      <c r="CE50" s="16"/>
      <c r="CF50" s="16"/>
      <c r="CG50" s="16"/>
      <c r="CH50" s="16"/>
    </row>
    <row r="51" spans="2:86" ht="15.75" thickBot="1">
      <c r="B51" t="s">
        <v>102</v>
      </c>
      <c r="C51" s="2">
        <v>209968</v>
      </c>
      <c r="D51" s="2">
        <v>254738</v>
      </c>
      <c r="E51" s="2">
        <v>379315</v>
      </c>
      <c r="F51" s="2">
        <v>360034</v>
      </c>
      <c r="G51" s="2">
        <v>337948</v>
      </c>
      <c r="H51" s="2">
        <v>279884</v>
      </c>
      <c r="I51" s="2">
        <v>358327</v>
      </c>
      <c r="J51" s="2">
        <v>382732</v>
      </c>
      <c r="K51" s="2">
        <v>380125</v>
      </c>
      <c r="L51" s="2">
        <v>331985</v>
      </c>
      <c r="M51" s="2">
        <v>306086</v>
      </c>
      <c r="N51" s="2">
        <v>266789</v>
      </c>
      <c r="O51" s="2">
        <v>285464</v>
      </c>
      <c r="P51" s="2">
        <v>299180</v>
      </c>
      <c r="Q51" s="2">
        <v>318558</v>
      </c>
      <c r="R51" s="2">
        <v>235410</v>
      </c>
      <c r="S51" s="2">
        <v>201831</v>
      </c>
      <c r="T51" s="2">
        <v>308253</v>
      </c>
      <c r="U51" s="2">
        <v>260566</v>
      </c>
      <c r="V51" s="2">
        <v>229682</v>
      </c>
      <c r="W51" s="2">
        <v>195169</v>
      </c>
      <c r="X51" s="2">
        <v>199580</v>
      </c>
      <c r="Y51" s="2">
        <v>97419</v>
      </c>
      <c r="Z51" s="2">
        <v>116492</v>
      </c>
      <c r="AA51" s="2">
        <v>82602</v>
      </c>
      <c r="AB51" s="2">
        <v>79432</v>
      </c>
      <c r="AC51" s="2">
        <v>32219</v>
      </c>
      <c r="AD51" s="2">
        <v>54680</v>
      </c>
      <c r="AE51" s="2">
        <v>44426</v>
      </c>
      <c r="AF51" s="2">
        <v>88543</v>
      </c>
      <c r="AG51" s="2">
        <v>76748</v>
      </c>
      <c r="AH51" s="2">
        <v>40641</v>
      </c>
      <c r="AI51" s="2">
        <v>83825</v>
      </c>
      <c r="AJ51" s="2">
        <v>116249</v>
      </c>
      <c r="AK51" s="2">
        <v>113942</v>
      </c>
      <c r="AL51" s="2">
        <v>192400</v>
      </c>
      <c r="AM51" s="2">
        <v>301426</v>
      </c>
      <c r="AN51" s="2">
        <v>374021</v>
      </c>
      <c r="AO51" s="2">
        <v>408960</v>
      </c>
      <c r="AP51" s="2">
        <v>92440</v>
      </c>
      <c r="AQ51" s="2">
        <v>372312</v>
      </c>
      <c r="AR51" s="2">
        <v>178915</v>
      </c>
      <c r="AS51" s="2">
        <v>233165</v>
      </c>
      <c r="AT51" s="2">
        <v>182113</v>
      </c>
      <c r="AU51" s="2">
        <v>153616</v>
      </c>
      <c r="AV51" s="2">
        <v>95961</v>
      </c>
      <c r="AW51" s="2">
        <v>112640</v>
      </c>
      <c r="AX51" s="2">
        <v>73721</v>
      </c>
      <c r="AY51" s="2">
        <v>120811</v>
      </c>
      <c r="AZ51" s="2">
        <v>168109</v>
      </c>
      <c r="BA51" s="2">
        <v>117158</v>
      </c>
      <c r="BB51" s="2">
        <v>90497</v>
      </c>
      <c r="BC51" s="2">
        <v>64307</v>
      </c>
      <c r="BD51" s="2">
        <v>164625</v>
      </c>
      <c r="BE51" s="2">
        <v>143602</v>
      </c>
      <c r="BF51" s="2">
        <v>216512</v>
      </c>
      <c r="BG51" s="2">
        <v>318374</v>
      </c>
      <c r="BH51" s="2">
        <v>431357</v>
      </c>
      <c r="BI51" s="2">
        <v>436062</v>
      </c>
      <c r="BJ51" s="2">
        <v>474102</v>
      </c>
      <c r="BK51" s="2">
        <v>580246</v>
      </c>
      <c r="BL51" s="2">
        <v>558524</v>
      </c>
      <c r="BM51" s="2">
        <v>475611</v>
      </c>
      <c r="BN51" s="2">
        <v>341787</v>
      </c>
      <c r="BO51" s="2">
        <v>290972</v>
      </c>
      <c r="BP51" s="2">
        <v>388908</v>
      </c>
      <c r="BQ51" s="2">
        <v>468338</v>
      </c>
      <c r="BR51" s="2">
        <v>464086</v>
      </c>
      <c r="BS51" s="2">
        <v>447285</v>
      </c>
      <c r="BT51" s="2">
        <v>390550</v>
      </c>
      <c r="BU51" s="2">
        <v>357038</v>
      </c>
      <c r="BV51" s="16"/>
      <c r="BW51" s="16"/>
      <c r="BX51" s="16"/>
      <c r="BY51" s="16"/>
      <c r="BZ51" s="105"/>
      <c r="CA51" s="105"/>
      <c r="CB51" s="105"/>
      <c r="CC51" s="105"/>
      <c r="CD51" s="16"/>
      <c r="CE51" s="16"/>
      <c r="CF51" s="16"/>
      <c r="CG51" s="16"/>
      <c r="CH51" s="16"/>
    </row>
    <row r="52" spans="2:86" ht="15.75" thickBot="1">
      <c r="B52" s="9" t="s">
        <v>24</v>
      </c>
      <c r="C52" s="12">
        <f>C51-C50</f>
        <v>12405</v>
      </c>
      <c r="D52" s="12">
        <f t="shared" ref="D52:F52" si="41">D51-D50</f>
        <v>57175</v>
      </c>
      <c r="E52" s="12">
        <f t="shared" si="41"/>
        <v>181752</v>
      </c>
      <c r="F52" s="12">
        <f t="shared" si="41"/>
        <v>162471</v>
      </c>
      <c r="G52" s="12">
        <f>G51-G50</f>
        <v>-22086</v>
      </c>
      <c r="H52" s="12">
        <f t="shared" ref="H52" si="42">H51-H50</f>
        <v>-80150</v>
      </c>
      <c r="I52" s="12">
        <f t="shared" ref="I52" si="43">I51-I50</f>
        <v>-1707</v>
      </c>
      <c r="J52" s="12">
        <f t="shared" ref="J52" si="44">J51-J50</f>
        <v>22698</v>
      </c>
      <c r="K52" s="12">
        <f>K51-K50</f>
        <v>-2607</v>
      </c>
      <c r="L52" s="12">
        <f t="shared" ref="L52" si="45">L51-L50</f>
        <v>-50747</v>
      </c>
      <c r="M52" s="12">
        <f t="shared" ref="M52" si="46">M51-M50</f>
        <v>-76646</v>
      </c>
      <c r="N52" s="12">
        <f t="shared" ref="N52" si="47">N51-N50</f>
        <v>-115943</v>
      </c>
      <c r="O52" s="12">
        <f>O51-O50</f>
        <v>18675</v>
      </c>
      <c r="P52" s="12">
        <f t="shared" ref="P52" si="48">P51-P50</f>
        <v>32391</v>
      </c>
      <c r="Q52" s="12">
        <f t="shared" ref="Q52" si="49">Q51-Q50</f>
        <v>51769</v>
      </c>
      <c r="R52" s="12">
        <f t="shared" ref="R52" si="50">R51-R50</f>
        <v>-31379</v>
      </c>
      <c r="S52" s="12">
        <f>S51-S50</f>
        <v>-33579</v>
      </c>
      <c r="T52" s="12">
        <f t="shared" ref="T52" si="51">T51-T50</f>
        <v>72843</v>
      </c>
      <c r="U52" s="12">
        <f t="shared" ref="U52" si="52">U51-U50</f>
        <v>25156</v>
      </c>
      <c r="V52" s="12">
        <f t="shared" ref="V52" si="53">V51-V50</f>
        <v>-5728</v>
      </c>
      <c r="W52" s="12">
        <f>W51-W50</f>
        <v>-34513</v>
      </c>
      <c r="X52" s="12">
        <f t="shared" ref="X52:AA52" si="54">X51-X50</f>
        <v>-30102</v>
      </c>
      <c r="Y52" s="12">
        <f t="shared" si="54"/>
        <v>-132263</v>
      </c>
      <c r="Z52" s="12">
        <f t="shared" si="54"/>
        <v>-113190</v>
      </c>
      <c r="AA52" s="12">
        <f t="shared" si="54"/>
        <v>-33890</v>
      </c>
      <c r="AB52" s="12">
        <f t="shared" ref="AB52:AC52" si="55">AB51-AB50</f>
        <v>-37060</v>
      </c>
      <c r="AC52" s="12">
        <f t="shared" si="55"/>
        <v>-84273</v>
      </c>
      <c r="AD52" s="12">
        <f t="shared" ref="AD52:AE52" si="56">AD51-AD50</f>
        <v>-61812</v>
      </c>
      <c r="AE52" s="12">
        <f t="shared" si="56"/>
        <v>-10254</v>
      </c>
      <c r="AF52" s="12">
        <f t="shared" ref="AF52:AI52" si="57">AF51-AF50</f>
        <v>33863</v>
      </c>
      <c r="AG52" s="12">
        <f t="shared" si="57"/>
        <v>22068</v>
      </c>
      <c r="AH52" s="12">
        <f t="shared" si="57"/>
        <v>-14039</v>
      </c>
      <c r="AI52" s="12">
        <f t="shared" si="57"/>
        <v>43184</v>
      </c>
      <c r="AJ52" s="12">
        <f t="shared" ref="AJ52:AK52" si="58">AJ51-AJ50</f>
        <v>75608</v>
      </c>
      <c r="AK52" s="12">
        <f t="shared" si="58"/>
        <v>73301</v>
      </c>
      <c r="AL52" s="12">
        <f t="shared" ref="AL52:AS52" si="59">AL51-AL50</f>
        <v>151759</v>
      </c>
      <c r="AM52" s="12">
        <f t="shared" si="59"/>
        <v>109026</v>
      </c>
      <c r="AN52" s="12">
        <f t="shared" si="59"/>
        <v>181621</v>
      </c>
      <c r="AO52" s="12">
        <f t="shared" si="59"/>
        <v>216560</v>
      </c>
      <c r="AP52" s="12">
        <f t="shared" si="59"/>
        <v>-99960</v>
      </c>
      <c r="AQ52" s="12">
        <f t="shared" si="59"/>
        <v>279872</v>
      </c>
      <c r="AR52" s="12">
        <f t="shared" si="59"/>
        <v>73244</v>
      </c>
      <c r="AS52" s="12">
        <f t="shared" si="59"/>
        <v>127494</v>
      </c>
      <c r="AT52" s="12">
        <f t="shared" ref="AT52" si="60">AT51-AT50</f>
        <v>76442</v>
      </c>
      <c r="AU52" s="12">
        <f t="shared" ref="AU52:AZ52" si="61">AU51-AU50</f>
        <v>-28497</v>
      </c>
      <c r="AV52" s="12">
        <f t="shared" si="61"/>
        <v>-86152</v>
      </c>
      <c r="AW52" s="12">
        <f t="shared" si="61"/>
        <v>-69473</v>
      </c>
      <c r="AX52" s="12">
        <f t="shared" si="61"/>
        <v>-108392</v>
      </c>
      <c r="AY52" s="12">
        <f t="shared" si="61"/>
        <v>47090</v>
      </c>
      <c r="AZ52" s="12">
        <f t="shared" si="61"/>
        <v>94388</v>
      </c>
      <c r="BA52" s="12">
        <f t="shared" ref="BA52:BB52" si="62">BA51-BA50</f>
        <v>43437</v>
      </c>
      <c r="BB52" s="12">
        <f t="shared" si="62"/>
        <v>16776</v>
      </c>
      <c r="BC52" s="12">
        <f t="shared" ref="BC52:BD52" si="63">BC51-BC50</f>
        <v>-26190</v>
      </c>
      <c r="BD52" s="12">
        <f t="shared" si="63"/>
        <v>74128</v>
      </c>
      <c r="BE52" s="12">
        <f t="shared" ref="BE52:BF52" si="64">BE51-BE50</f>
        <v>53105</v>
      </c>
      <c r="BF52" s="12">
        <f t="shared" si="64"/>
        <v>126015</v>
      </c>
      <c r="BG52" s="12">
        <f t="shared" ref="BG52:BH52" si="65">BG51-BG50</f>
        <v>101862</v>
      </c>
      <c r="BH52" s="12">
        <f t="shared" si="65"/>
        <v>214845</v>
      </c>
      <c r="BI52" s="12">
        <f t="shared" ref="BI52:BL52" si="66">BI51-BI50</f>
        <v>219550</v>
      </c>
      <c r="BJ52" s="12">
        <f t="shared" si="66"/>
        <v>257590</v>
      </c>
      <c r="BK52" s="12">
        <f t="shared" si="66"/>
        <v>106144</v>
      </c>
      <c r="BL52" s="12">
        <f t="shared" si="66"/>
        <v>84422</v>
      </c>
      <c r="BM52" s="12">
        <f t="shared" ref="BM52:BN52" si="67">BM51-BM50</f>
        <v>1509</v>
      </c>
      <c r="BN52" s="12">
        <f t="shared" si="67"/>
        <v>-132315</v>
      </c>
      <c r="BO52" s="12">
        <f t="shared" ref="BO52:BP52" si="68">BO51-BO50</f>
        <v>-50815</v>
      </c>
      <c r="BP52" s="12">
        <f t="shared" si="68"/>
        <v>47121</v>
      </c>
      <c r="BQ52" s="12">
        <f t="shared" ref="BQ52:BR52" si="69">BQ51-BQ50</f>
        <v>126551</v>
      </c>
      <c r="BR52" s="12">
        <f t="shared" si="69"/>
        <v>122299</v>
      </c>
      <c r="BS52" s="12">
        <f t="shared" ref="BS52:BU52" si="70">BS51-BS50</f>
        <v>-16801</v>
      </c>
      <c r="BT52" s="12">
        <f t="shared" si="70"/>
        <v>-73536</v>
      </c>
      <c r="BU52" s="12">
        <f t="shared" si="70"/>
        <v>-107048</v>
      </c>
      <c r="BV52" s="16"/>
      <c r="BW52" s="16"/>
      <c r="BX52" s="16"/>
      <c r="BY52" s="16"/>
      <c r="BZ52" s="105"/>
      <c r="CA52" s="105"/>
      <c r="CB52" s="105"/>
      <c r="CC52" s="105"/>
      <c r="CD52" s="16"/>
      <c r="CE52" s="16"/>
      <c r="CF52" s="16"/>
      <c r="CG52" s="16"/>
      <c r="CH52" s="16"/>
    </row>
    <row r="53" spans="2:86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BV53" s="16"/>
      <c r="BW53" s="16"/>
      <c r="BX53" s="16"/>
      <c r="BY53" s="16"/>
      <c r="BZ53" s="105"/>
      <c r="CA53" s="105"/>
      <c r="CB53" s="105"/>
      <c r="CC53" s="105"/>
      <c r="CD53" s="16"/>
      <c r="CE53" s="16"/>
      <c r="CF53" s="16"/>
      <c r="CG53" s="16"/>
      <c r="CH53" s="16"/>
    </row>
    <row r="54" spans="2:86"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BV54" s="16"/>
      <c r="BW54" s="16"/>
      <c r="BX54" s="16"/>
      <c r="BY54" s="16"/>
      <c r="BZ54" s="105"/>
      <c r="CA54" s="105"/>
      <c r="CB54" s="105"/>
      <c r="CC54" s="105"/>
      <c r="CD54" s="16"/>
      <c r="CE54" s="16"/>
      <c r="CF54" s="16"/>
      <c r="CG54" s="16"/>
      <c r="CH54" s="16"/>
    </row>
    <row r="55" spans="2:86">
      <c r="C55" s="16">
        <f t="shared" ref="C55:AP55" si="71">C48-C52</f>
        <v>0</v>
      </c>
      <c r="D55" s="16">
        <f t="shared" si="71"/>
        <v>0</v>
      </c>
      <c r="E55" s="16">
        <f t="shared" si="71"/>
        <v>0</v>
      </c>
      <c r="F55" s="16">
        <f t="shared" si="71"/>
        <v>0</v>
      </c>
      <c r="G55" s="16">
        <f t="shared" si="71"/>
        <v>0</v>
      </c>
      <c r="H55" s="16">
        <f t="shared" si="71"/>
        <v>0</v>
      </c>
      <c r="I55" s="16">
        <f t="shared" si="71"/>
        <v>0</v>
      </c>
      <c r="J55" s="16">
        <f t="shared" si="71"/>
        <v>0</v>
      </c>
      <c r="K55" s="16">
        <f t="shared" si="71"/>
        <v>0</v>
      </c>
      <c r="L55" s="16">
        <f t="shared" si="71"/>
        <v>0</v>
      </c>
      <c r="M55" s="16">
        <f t="shared" si="71"/>
        <v>0</v>
      </c>
      <c r="N55" s="16">
        <f t="shared" si="71"/>
        <v>0</v>
      </c>
      <c r="O55" s="16">
        <f t="shared" si="71"/>
        <v>0</v>
      </c>
      <c r="P55" s="16">
        <f t="shared" si="71"/>
        <v>0</v>
      </c>
      <c r="Q55" s="16">
        <f t="shared" si="71"/>
        <v>0</v>
      </c>
      <c r="R55" s="16">
        <f t="shared" si="71"/>
        <v>0</v>
      </c>
      <c r="S55" s="16">
        <f t="shared" si="71"/>
        <v>0</v>
      </c>
      <c r="T55" s="16">
        <f t="shared" si="71"/>
        <v>0</v>
      </c>
      <c r="U55" s="16">
        <f t="shared" si="71"/>
        <v>0</v>
      </c>
      <c r="V55" s="16">
        <f t="shared" si="71"/>
        <v>0</v>
      </c>
      <c r="W55" s="16">
        <f t="shared" si="71"/>
        <v>0</v>
      </c>
      <c r="X55" s="16">
        <f t="shared" si="71"/>
        <v>0</v>
      </c>
      <c r="Y55" s="16">
        <f t="shared" si="71"/>
        <v>0</v>
      </c>
      <c r="Z55" s="16">
        <f t="shared" si="71"/>
        <v>0</v>
      </c>
      <c r="AA55" s="16">
        <f t="shared" si="71"/>
        <v>0</v>
      </c>
      <c r="AB55" s="16">
        <f t="shared" si="71"/>
        <v>0</v>
      </c>
      <c r="AC55" s="16">
        <f t="shared" si="71"/>
        <v>0</v>
      </c>
      <c r="AD55" s="16">
        <f t="shared" si="71"/>
        <v>0</v>
      </c>
      <c r="AE55" s="16">
        <f t="shared" si="71"/>
        <v>0</v>
      </c>
      <c r="AF55" s="16">
        <f t="shared" si="71"/>
        <v>0</v>
      </c>
      <c r="AG55" s="16">
        <f t="shared" si="71"/>
        <v>0</v>
      </c>
      <c r="AH55" s="16">
        <f t="shared" si="71"/>
        <v>0</v>
      </c>
      <c r="AI55" s="16">
        <f t="shared" si="71"/>
        <v>0</v>
      </c>
      <c r="AJ55" s="16">
        <f t="shared" si="71"/>
        <v>0</v>
      </c>
      <c r="AK55" s="16">
        <f t="shared" si="71"/>
        <v>0</v>
      </c>
      <c r="AL55" s="16">
        <f t="shared" si="71"/>
        <v>0</v>
      </c>
      <c r="AM55" s="16">
        <f t="shared" si="71"/>
        <v>0</v>
      </c>
      <c r="AN55" s="16">
        <f t="shared" si="71"/>
        <v>0</v>
      </c>
      <c r="AO55" s="16">
        <f t="shared" si="71"/>
        <v>0</v>
      </c>
      <c r="AP55" s="16">
        <f t="shared" si="71"/>
        <v>0</v>
      </c>
      <c r="AQ55" s="16">
        <f t="shared" ref="AQ55:AU55" si="72">AQ48-AQ52</f>
        <v>0</v>
      </c>
      <c r="AR55" s="16">
        <f t="shared" si="72"/>
        <v>0</v>
      </c>
      <c r="AS55" s="16">
        <f t="shared" si="72"/>
        <v>0</v>
      </c>
      <c r="AT55" s="16">
        <f t="shared" si="72"/>
        <v>0</v>
      </c>
      <c r="AU55" s="16">
        <f t="shared" si="72"/>
        <v>0</v>
      </c>
      <c r="AV55" s="16">
        <f t="shared" ref="AV55:AW55" si="73">AV48-AV52</f>
        <v>0</v>
      </c>
      <c r="AW55" s="16">
        <f t="shared" si="73"/>
        <v>0</v>
      </c>
      <c r="AX55" s="16">
        <f t="shared" ref="AX55:AY55" si="74">AX48-AX52</f>
        <v>0</v>
      </c>
      <c r="AY55" s="16">
        <f t="shared" si="74"/>
        <v>0</v>
      </c>
      <c r="AZ55" s="16">
        <f t="shared" ref="AZ55:BA55" si="75">AZ48-AZ52</f>
        <v>0</v>
      </c>
      <c r="BA55" s="16">
        <f t="shared" si="75"/>
        <v>0</v>
      </c>
      <c r="BB55" s="16">
        <f t="shared" ref="BB55:BC55" si="76">BB48-BB52</f>
        <v>0</v>
      </c>
      <c r="BC55" s="16">
        <f t="shared" si="76"/>
        <v>0</v>
      </c>
      <c r="BD55" s="16">
        <f t="shared" ref="BD55:BE55" si="77">BD48-BD52</f>
        <v>0</v>
      </c>
      <c r="BE55" s="16">
        <f t="shared" si="77"/>
        <v>0</v>
      </c>
      <c r="BF55" s="16">
        <f t="shared" ref="BF55:BG55" si="78">BF48-BF52</f>
        <v>0</v>
      </c>
      <c r="BG55" s="16">
        <f t="shared" si="78"/>
        <v>0</v>
      </c>
      <c r="BH55" s="16">
        <f t="shared" ref="BH55:BI55" si="79">BH48-BH52</f>
        <v>0</v>
      </c>
      <c r="BI55" s="16">
        <f t="shared" si="79"/>
        <v>0</v>
      </c>
      <c r="BJ55" s="16">
        <f t="shared" ref="BJ55:BM55" si="80">BJ48-BJ52</f>
        <v>0</v>
      </c>
      <c r="BK55" s="16">
        <f t="shared" si="80"/>
        <v>0</v>
      </c>
      <c r="BL55" s="16">
        <f t="shared" si="80"/>
        <v>0</v>
      </c>
      <c r="BM55" s="16">
        <f t="shared" si="80"/>
        <v>0</v>
      </c>
      <c r="BN55" s="16">
        <f t="shared" ref="BN55:BO55" si="81">BN48-BN52</f>
        <v>0</v>
      </c>
      <c r="BO55" s="16">
        <f t="shared" si="81"/>
        <v>0</v>
      </c>
      <c r="BP55" s="16">
        <f t="shared" ref="BP55:BR55" si="82">BP48-BP52</f>
        <v>0</v>
      </c>
      <c r="BQ55" s="16">
        <f t="shared" si="82"/>
        <v>0</v>
      </c>
      <c r="BR55" s="16">
        <f t="shared" si="82"/>
        <v>0</v>
      </c>
      <c r="BS55" s="16">
        <f t="shared" ref="BS55:BU55" si="83">BS48-BS52</f>
        <v>0</v>
      </c>
      <c r="BT55" s="16">
        <f t="shared" si="83"/>
        <v>0</v>
      </c>
      <c r="BU55" s="16">
        <f t="shared" si="83"/>
        <v>0</v>
      </c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</row>
    <row r="56" spans="2:86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</row>
    <row r="57" spans="2:86">
      <c r="D57" s="2"/>
      <c r="BR57" s="16"/>
      <c r="BS57" s="16"/>
      <c r="BT57" s="16"/>
      <c r="BU57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horizontalDpi="300" verticalDpi="300" r:id="rId1"/>
  <headerFooter>
    <oddFooter>&amp;RPágina &amp;P de &amp;N</oddFooter>
  </headerFooter>
  <colBreaks count="4" manualBreakCount="4">
    <brk id="10" max="1048575" man="1"/>
    <brk id="18" max="1048575" man="1"/>
    <brk id="26" max="42" man="1"/>
    <brk id="34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B2:CP36"/>
  <sheetViews>
    <sheetView showGridLines="0" zoomScale="80" zoomScaleNormal="80" zoomScaleSheetLayoutView="100" workbookViewId="0">
      <pane xSplit="2" ySplit="5" topLeftCell="BB6" activePane="bottomRight" state="frozen"/>
      <selection activeCell="BV30" sqref="BV30"/>
      <selection pane="topRight" activeCell="BV30" sqref="BV30"/>
      <selection pane="bottomLeft" activeCell="BV30" sqref="BV30"/>
      <selection pane="bottomRight" activeCell="BV30" sqref="BV30"/>
    </sheetView>
  </sheetViews>
  <sheetFormatPr defaultRowHeight="15"/>
  <cols>
    <col min="1" max="1" width="1.28515625" customWidth="1"/>
    <col min="2" max="2" width="46.85546875" customWidth="1"/>
    <col min="3" max="6" width="13.140625" customWidth="1"/>
    <col min="7" max="10" width="10.85546875" customWidth="1"/>
    <col min="11" max="31" width="11.28515625" customWidth="1"/>
    <col min="32" max="32" width="10.85546875" bestFit="1" customWidth="1"/>
    <col min="33" max="34" width="10.85546875" customWidth="1"/>
    <col min="35" max="35" width="11.5703125" bestFit="1" customWidth="1"/>
    <col min="36" max="43" width="11.5703125" customWidth="1"/>
    <col min="44" max="73" width="11.85546875" customWidth="1"/>
    <col min="74" max="74" width="12.5703125" customWidth="1"/>
    <col min="75" max="78" width="12.28515625" hidden="1" customWidth="1"/>
    <col min="79" max="79" width="14" hidden="1" customWidth="1"/>
    <col min="80" max="80" width="11.85546875" hidden="1" customWidth="1"/>
    <col min="81" max="82" width="11.28515625" hidden="1" customWidth="1"/>
    <col min="83" max="84" width="9.85546875" hidden="1" customWidth="1"/>
    <col min="85" max="86" width="10.5703125" hidden="1" customWidth="1"/>
    <col min="87" max="89" width="11.7109375" hidden="1" customWidth="1"/>
    <col min="90" max="91" width="11.7109375" customWidth="1"/>
    <col min="93" max="93" width="10.28515625" bestFit="1" customWidth="1"/>
    <col min="94" max="94" width="10.5703125" bestFit="1" customWidth="1"/>
  </cols>
  <sheetData>
    <row r="2" spans="2:93" ht="21">
      <c r="B2" s="31" t="s">
        <v>226</v>
      </c>
    </row>
    <row r="3" spans="2:93" ht="15.75">
      <c r="B3" s="63" t="s">
        <v>169</v>
      </c>
      <c r="BV3" s="63" t="s">
        <v>167</v>
      </c>
    </row>
    <row r="4" spans="2:93" s="19" customFormat="1" ht="7.7" customHeight="1" thickBot="1"/>
    <row r="5" spans="2:93" s="6" customFormat="1" ht="15.75" thickBot="1">
      <c r="B5" s="7" t="s">
        <v>173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5"/>
      <c r="BW5" s="8">
        <v>2008</v>
      </c>
      <c r="BX5" s="8">
        <v>2009</v>
      </c>
      <c r="BY5" s="8">
        <v>2010</v>
      </c>
      <c r="BZ5" s="8">
        <v>2011</v>
      </c>
      <c r="CA5" s="8">
        <v>2012</v>
      </c>
      <c r="CB5" s="8">
        <v>2013</v>
      </c>
      <c r="CC5" s="8">
        <v>2014</v>
      </c>
      <c r="CD5" s="8">
        <v>2015</v>
      </c>
      <c r="CE5" s="8">
        <v>2016</v>
      </c>
      <c r="CF5" s="8">
        <v>2017</v>
      </c>
      <c r="CG5" s="8">
        <v>2018</v>
      </c>
      <c r="CH5" s="8">
        <v>2019</v>
      </c>
      <c r="CI5" s="8">
        <v>2020</v>
      </c>
      <c r="CJ5" s="8">
        <v>2021</v>
      </c>
      <c r="CK5" s="8">
        <v>2022</v>
      </c>
      <c r="CL5" s="8">
        <v>2024</v>
      </c>
      <c r="CM5" s="8">
        <v>2025</v>
      </c>
    </row>
    <row r="6" spans="2:93">
      <c r="B6" s="3" t="s">
        <v>63</v>
      </c>
      <c r="C6" s="2">
        <v>170090</v>
      </c>
      <c r="D6" s="2">
        <v>278620</v>
      </c>
      <c r="E6" s="2">
        <v>234711</v>
      </c>
      <c r="F6" s="2">
        <v>164975</v>
      </c>
      <c r="G6" s="2">
        <v>69610</v>
      </c>
      <c r="H6" s="2">
        <v>100498</v>
      </c>
      <c r="I6" s="2">
        <v>123593</v>
      </c>
      <c r="J6" s="2">
        <v>110357</v>
      </c>
      <c r="K6" s="2">
        <v>142696</v>
      </c>
      <c r="L6" s="2">
        <v>193119</v>
      </c>
      <c r="M6" s="2">
        <v>178565</v>
      </c>
      <c r="N6" s="2">
        <v>140889</v>
      </c>
      <c r="O6" s="2">
        <v>180995</v>
      </c>
      <c r="P6" s="2">
        <v>170857</v>
      </c>
      <c r="Q6" s="2">
        <v>139395</v>
      </c>
      <c r="R6" s="2">
        <v>113130</v>
      </c>
      <c r="S6" s="2">
        <v>167170</v>
      </c>
      <c r="T6" s="2">
        <v>172394</v>
      </c>
      <c r="U6" s="2">
        <v>166842</v>
      </c>
      <c r="V6" s="2">
        <v>145980</v>
      </c>
      <c r="W6" s="2">
        <v>187488</v>
      </c>
      <c r="X6" s="2">
        <v>185332</v>
      </c>
      <c r="Y6" s="2">
        <v>195663</v>
      </c>
      <c r="Z6" s="2">
        <v>202324</v>
      </c>
      <c r="AA6" s="2">
        <v>222798</v>
      </c>
      <c r="AB6" s="2">
        <v>227221</v>
      </c>
      <c r="AC6" s="2">
        <v>215121</v>
      </c>
      <c r="AD6" s="2">
        <v>190505</v>
      </c>
      <c r="AE6" s="2">
        <v>230855</v>
      </c>
      <c r="AF6" s="2">
        <v>241679</v>
      </c>
      <c r="AG6" s="2">
        <v>204573</v>
      </c>
      <c r="AH6" s="2">
        <v>223340</v>
      </c>
      <c r="AI6" s="2">
        <v>212230</v>
      </c>
      <c r="AJ6" s="2">
        <v>189667</v>
      </c>
      <c r="AK6" s="2">
        <v>228252</v>
      </c>
      <c r="AL6" s="2">
        <v>232001</v>
      </c>
      <c r="AM6" s="2">
        <v>274368</v>
      </c>
      <c r="AN6" s="2">
        <v>251148</v>
      </c>
      <c r="AO6" s="2">
        <v>239945</v>
      </c>
      <c r="AP6" s="2">
        <v>206377</v>
      </c>
      <c r="AQ6" s="2">
        <f>279870-891-339</f>
        <v>278640</v>
      </c>
      <c r="AR6" s="2">
        <f>297113-207-60</f>
        <v>296846</v>
      </c>
      <c r="AS6" s="2">
        <f>333917-263-87</f>
        <v>333567</v>
      </c>
      <c r="AT6" s="2">
        <f>287048-4724-21014+339+87+60</f>
        <v>261796</v>
      </c>
      <c r="AU6" s="90">
        <f>298772-327-886</f>
        <v>297559</v>
      </c>
      <c r="AV6" s="90">
        <f>228739-209-472</f>
        <v>228058</v>
      </c>
      <c r="AW6" s="2">
        <f>231804-232-1955</f>
        <v>229617</v>
      </c>
      <c r="AX6" s="2">
        <v>181478</v>
      </c>
      <c r="AY6" s="2">
        <f>214003-309-24</f>
        <v>213670</v>
      </c>
      <c r="AZ6" s="2">
        <f>174342-2</f>
        <v>174340</v>
      </c>
      <c r="BA6" s="2">
        <f>610967-642-66-AZ6-AY6</f>
        <v>222249</v>
      </c>
      <c r="BB6" s="2">
        <f>897634-1174-66-AY6-BA6-AZ6</f>
        <v>286135</v>
      </c>
      <c r="BC6" s="2">
        <f>366227-1407-422</f>
        <v>364398</v>
      </c>
      <c r="BD6" s="2">
        <f>763414-2105-444-BC6</f>
        <v>396467</v>
      </c>
      <c r="BE6" s="2">
        <f>1260405-3324-446-BC6-BD6</f>
        <v>495770</v>
      </c>
      <c r="BF6" s="2">
        <f>1815442-4772-446-BC6-BD6-BE6</f>
        <v>553589</v>
      </c>
      <c r="BG6" s="2">
        <f>453144-6037</f>
        <v>447107</v>
      </c>
      <c r="BH6" s="2">
        <f>989491-11831-BG6</f>
        <v>530553</v>
      </c>
      <c r="BI6" s="2">
        <f>1516481-14684-518-BG6-BH6</f>
        <v>523619</v>
      </c>
      <c r="BJ6" s="2">
        <f>1956703-14932-518-BG6-BH6-BI6</f>
        <v>439974</v>
      </c>
      <c r="BK6" s="2">
        <f>388932-1933-22</f>
        <v>386977</v>
      </c>
      <c r="BL6" s="90">
        <f>816317-2747-46-BK6</f>
        <v>426547</v>
      </c>
      <c r="BM6" s="2">
        <f>1237868-BL6-BK6-2906-46</f>
        <v>421392</v>
      </c>
      <c r="BN6" s="2">
        <f>1579435-BM6-BL6-BK6-3012-46+1</f>
        <v>341462</v>
      </c>
      <c r="BO6" s="2">
        <v>302380</v>
      </c>
      <c r="BP6" s="2">
        <f>622425-BO6</f>
        <v>320045</v>
      </c>
      <c r="BQ6" s="2">
        <f>1039458-BP6-BO6</f>
        <v>417033</v>
      </c>
      <c r="BR6" s="2">
        <v>374195</v>
      </c>
      <c r="BS6" s="2">
        <v>384001</v>
      </c>
      <c r="BT6" s="2">
        <v>414348</v>
      </c>
      <c r="BU6" s="2">
        <v>417984</v>
      </c>
      <c r="BV6" s="2"/>
      <c r="BW6" s="2">
        <f>SUM(C6:F6)</f>
        <v>848396</v>
      </c>
      <c r="BX6" s="2">
        <f>SUM(G6:J6)</f>
        <v>404058</v>
      </c>
      <c r="BY6" s="2">
        <f>SUM(K6:N6)</f>
        <v>655269</v>
      </c>
      <c r="BZ6" s="2">
        <f>SUM(O6:R6)</f>
        <v>604377</v>
      </c>
      <c r="CA6" s="2">
        <f>SUM(S6:V6)</f>
        <v>652386</v>
      </c>
      <c r="CB6" s="2">
        <f>SUM(W6:Z6)</f>
        <v>770807</v>
      </c>
      <c r="CC6" s="2">
        <f>SUM(AA6:AD6)</f>
        <v>855645</v>
      </c>
      <c r="CD6" s="2">
        <f>SUM(AE6:AH6)</f>
        <v>900447</v>
      </c>
      <c r="CE6" s="2">
        <f t="shared" ref="CE6:CE12" si="0">SUM(AI6:AL6)</f>
        <v>862150</v>
      </c>
      <c r="CF6" s="2">
        <f t="shared" ref="CF6:CF12" si="1">SUM(AM6:AP6)</f>
        <v>971838</v>
      </c>
      <c r="CG6" s="2">
        <f t="shared" ref="CG6:CG12" si="2">SUM(AQ6:AT6)</f>
        <v>1170849</v>
      </c>
      <c r="CH6" s="2">
        <f t="shared" ref="CH6:CH12" si="3">SUM(AU6:AX6)</f>
        <v>936712</v>
      </c>
      <c r="CI6" s="2">
        <f t="shared" ref="CI6:CI12" si="4">SUM(AY6:BB6)</f>
        <v>896394</v>
      </c>
      <c r="CJ6" s="2">
        <f t="shared" ref="CJ6:CJ12" si="5">SUM(BC6:BF6)</f>
        <v>1810224</v>
      </c>
      <c r="CK6" s="2">
        <f>SUM(BG6:BJ6)</f>
        <v>1941253</v>
      </c>
      <c r="CL6" s="2">
        <f>SUM(BO6:BR6)</f>
        <v>1413653</v>
      </c>
      <c r="CM6" s="2">
        <f t="shared" ref="CM6:CM12" si="6">SUM(BS6:BU6)</f>
        <v>1216333</v>
      </c>
      <c r="CO6" s="16"/>
    </row>
    <row r="7" spans="2:93" ht="15.75" thickBot="1">
      <c r="B7" s="3" t="s">
        <v>1</v>
      </c>
      <c r="C7" s="2">
        <v>37455</v>
      </c>
      <c r="D7" s="2">
        <v>48995</v>
      </c>
      <c r="E7" s="2">
        <v>67140</v>
      </c>
      <c r="F7" s="2">
        <v>54924</v>
      </c>
      <c r="G7" s="2">
        <v>34798</v>
      </c>
      <c r="H7" s="2">
        <v>25411</v>
      </c>
      <c r="I7" s="2">
        <v>55204</v>
      </c>
      <c r="J7" s="2">
        <v>31505</v>
      </c>
      <c r="K7" s="2">
        <v>33885</v>
      </c>
      <c r="L7" s="2">
        <v>37599</v>
      </c>
      <c r="M7" s="2">
        <v>35200</v>
      </c>
      <c r="N7" s="2">
        <v>60180</v>
      </c>
      <c r="O7" s="2">
        <v>55634</v>
      </c>
      <c r="P7" s="2">
        <v>42906</v>
      </c>
      <c r="Q7" s="2">
        <v>35959</v>
      </c>
      <c r="R7" s="2">
        <v>46206</v>
      </c>
      <c r="S7" s="2">
        <v>49358</v>
      </c>
      <c r="T7" s="2">
        <v>58184</v>
      </c>
      <c r="U7" s="2">
        <v>38814</v>
      </c>
      <c r="V7" s="2">
        <v>57149</v>
      </c>
      <c r="W7" s="2">
        <v>41327</v>
      </c>
      <c r="X7" s="2">
        <v>40502</v>
      </c>
      <c r="Y7" s="2">
        <v>72352</v>
      </c>
      <c r="Z7" s="2">
        <v>50965</v>
      </c>
      <c r="AA7" s="2">
        <v>55826</v>
      </c>
      <c r="AB7" s="2">
        <v>42628</v>
      </c>
      <c r="AC7" s="2">
        <v>33405</v>
      </c>
      <c r="AD7" s="2">
        <v>31370</v>
      </c>
      <c r="AE7" s="2">
        <v>29713</v>
      </c>
      <c r="AF7" s="2">
        <v>62679</v>
      </c>
      <c r="AG7" s="2">
        <v>70453</v>
      </c>
      <c r="AH7" s="2">
        <v>82300</v>
      </c>
      <c r="AI7" s="2">
        <v>140264</v>
      </c>
      <c r="AJ7" s="2">
        <v>122984</v>
      </c>
      <c r="AK7" s="2">
        <v>64412</v>
      </c>
      <c r="AL7" s="2">
        <v>102816</v>
      </c>
      <c r="AM7" s="2">
        <v>88756</v>
      </c>
      <c r="AN7" s="2">
        <v>75236</v>
      </c>
      <c r="AO7" s="2">
        <v>90756</v>
      </c>
      <c r="AP7" s="2">
        <v>97380</v>
      </c>
      <c r="AQ7" s="2">
        <f>130896-5109</f>
        <v>125787</v>
      </c>
      <c r="AR7" s="2">
        <f>113622-16215+5109</f>
        <v>102516</v>
      </c>
      <c r="AS7" s="2">
        <f>129395-17769+16215</f>
        <v>127841</v>
      </c>
      <c r="AT7" s="2">
        <f>110725-1216</f>
        <v>109509</v>
      </c>
      <c r="AU7" s="90">
        <f>119161-812</f>
        <v>118349</v>
      </c>
      <c r="AV7" s="90">
        <f>146317-1501+812</f>
        <v>145628</v>
      </c>
      <c r="AW7" s="2">
        <f>140678-720</f>
        <v>139958</v>
      </c>
      <c r="AX7" s="2">
        <v>138267</v>
      </c>
      <c r="AY7" s="2">
        <f>175710-1063</f>
        <v>174647</v>
      </c>
      <c r="AZ7" s="2">
        <v>289089</v>
      </c>
      <c r="BA7" s="2">
        <f>681278-11381-AZ7-AY7</f>
        <v>206161</v>
      </c>
      <c r="BB7" s="2">
        <f>920218-12954-AY7-BA7-AZ7</f>
        <v>237367</v>
      </c>
      <c r="BC7" s="2">
        <f>216342-4824</f>
        <v>211518</v>
      </c>
      <c r="BD7" s="2">
        <f>416941-13258-BC7</f>
        <v>192165</v>
      </c>
      <c r="BE7" s="2">
        <f>696254-14589-BC7-BD7</f>
        <v>277982</v>
      </c>
      <c r="BF7" s="2">
        <f>929060-15174-BC7-BD7-BE7</f>
        <v>232221</v>
      </c>
      <c r="BG7" s="2">
        <f>390014-8801</f>
        <v>381213</v>
      </c>
      <c r="BH7" s="2">
        <f>884397-11914-BG7</f>
        <v>491270</v>
      </c>
      <c r="BI7" s="2">
        <f>1248308-26967-BG7-BH7</f>
        <v>348858</v>
      </c>
      <c r="BJ7" s="2">
        <f>1614483-31355-BG7-BH7-BI7</f>
        <v>361787</v>
      </c>
      <c r="BK7" s="2">
        <f>408072-3351</f>
        <v>404721</v>
      </c>
      <c r="BL7" s="90">
        <f>696835-8075-BK7</f>
        <v>284039</v>
      </c>
      <c r="BM7" s="2">
        <f>912986-BL7-BK7-13149</f>
        <v>211077</v>
      </c>
      <c r="BN7" s="2">
        <f>1190894-BM7-BL7-BK7-24796-1</f>
        <v>266260</v>
      </c>
      <c r="BO7" s="2">
        <v>268364</v>
      </c>
      <c r="BP7" s="2">
        <f>533769-BO7</f>
        <v>265405</v>
      </c>
      <c r="BQ7" s="2">
        <f>798661-BP7-BO7</f>
        <v>264892</v>
      </c>
      <c r="BR7" s="2">
        <v>304410</v>
      </c>
      <c r="BS7" s="2">
        <v>240064</v>
      </c>
      <c r="BT7" s="2">
        <v>303319</v>
      </c>
      <c r="BU7" s="2">
        <v>204263</v>
      </c>
      <c r="BV7" s="2"/>
      <c r="BW7" s="2">
        <f>SUM(C7:F7)</f>
        <v>208514</v>
      </c>
      <c r="BX7" s="2">
        <f>SUM(G7:J7)</f>
        <v>146918</v>
      </c>
      <c r="BY7" s="2">
        <f>SUM(K7:N7)</f>
        <v>166864</v>
      </c>
      <c r="BZ7" s="2">
        <f>SUM(O7:R7)</f>
        <v>180705</v>
      </c>
      <c r="CA7" s="2">
        <f>SUM(S7:V7)</f>
        <v>203505</v>
      </c>
      <c r="CB7" s="2">
        <f>SUM(W7:Z7)</f>
        <v>205146</v>
      </c>
      <c r="CC7" s="2">
        <f>SUM(AA7:AD7)</f>
        <v>163229</v>
      </c>
      <c r="CD7" s="2">
        <f>SUM(AE7:AH7)</f>
        <v>245145</v>
      </c>
      <c r="CE7" s="2">
        <f t="shared" si="0"/>
        <v>430476</v>
      </c>
      <c r="CF7" s="2">
        <f t="shared" si="1"/>
        <v>352128</v>
      </c>
      <c r="CG7" s="2">
        <f t="shared" si="2"/>
        <v>465653</v>
      </c>
      <c r="CH7" s="2">
        <f t="shared" si="3"/>
        <v>542202</v>
      </c>
      <c r="CI7" s="2">
        <f t="shared" si="4"/>
        <v>907264</v>
      </c>
      <c r="CJ7" s="2">
        <f t="shared" si="5"/>
        <v>913886</v>
      </c>
      <c r="CK7" s="2">
        <f t="shared" ref="CK7:CK12" si="7">SUM(BG7:BJ7)</f>
        <v>1583128</v>
      </c>
      <c r="CL7" s="2">
        <f t="shared" ref="CL7:CL12" si="8">SUM(BO7:BR7)</f>
        <v>1103071</v>
      </c>
      <c r="CM7" s="2">
        <f t="shared" si="6"/>
        <v>747646</v>
      </c>
      <c r="CO7" s="16"/>
    </row>
    <row r="8" spans="2:93" ht="15.75" thickBot="1">
      <c r="B8" s="9" t="s">
        <v>68</v>
      </c>
      <c r="C8" s="9">
        <f>C6+C7</f>
        <v>207545</v>
      </c>
      <c r="D8" s="9">
        <f t="shared" ref="D8" si="9">D6+D7</f>
        <v>327615</v>
      </c>
      <c r="E8" s="9">
        <f t="shared" ref="E8" si="10">E6+E7</f>
        <v>301851</v>
      </c>
      <c r="F8" s="9">
        <f t="shared" ref="F8" si="11">F6+F7</f>
        <v>219899</v>
      </c>
      <c r="G8" s="9">
        <f t="shared" ref="G8" si="12">G6+G7</f>
        <v>104408</v>
      </c>
      <c r="H8" s="9">
        <f t="shared" ref="H8" si="13">H6+H7</f>
        <v>125909</v>
      </c>
      <c r="I8" s="9">
        <f t="shared" ref="I8" si="14">I6+I7</f>
        <v>178797</v>
      </c>
      <c r="J8" s="9">
        <f t="shared" ref="J8" si="15">J6+J7</f>
        <v>141862</v>
      </c>
      <c r="K8" s="9">
        <f t="shared" ref="K8" si="16">K6+K7</f>
        <v>176581</v>
      </c>
      <c r="L8" s="9">
        <f t="shared" ref="L8" si="17">L6+L7</f>
        <v>230718</v>
      </c>
      <c r="M8" s="9">
        <f t="shared" ref="M8" si="18">M6+M7</f>
        <v>213765</v>
      </c>
      <c r="N8" s="9">
        <f t="shared" ref="N8" si="19">N6+N7</f>
        <v>201069</v>
      </c>
      <c r="O8" s="9">
        <f t="shared" ref="O8" si="20">O6+O7</f>
        <v>236629</v>
      </c>
      <c r="P8" s="9">
        <f t="shared" ref="P8" si="21">P6+P7</f>
        <v>213763</v>
      </c>
      <c r="Q8" s="9">
        <f t="shared" ref="Q8" si="22">Q6+Q7</f>
        <v>175354</v>
      </c>
      <c r="R8" s="9">
        <f t="shared" ref="R8" si="23">R6+R7</f>
        <v>159336</v>
      </c>
      <c r="S8" s="9">
        <f t="shared" ref="S8" si="24">S6+S7</f>
        <v>216528</v>
      </c>
      <c r="T8" s="9">
        <f t="shared" ref="T8" si="25">T6+T7</f>
        <v>230578</v>
      </c>
      <c r="U8" s="9">
        <f t="shared" ref="U8" si="26">U6+U7</f>
        <v>205656</v>
      </c>
      <c r="V8" s="9">
        <f t="shared" ref="V8" si="27">V6+V7</f>
        <v>203129</v>
      </c>
      <c r="W8" s="9">
        <f t="shared" ref="W8" si="28">W6+W7</f>
        <v>228815</v>
      </c>
      <c r="X8" s="9">
        <f t="shared" ref="X8" si="29">X6+X7</f>
        <v>225834</v>
      </c>
      <c r="Y8" s="9">
        <f t="shared" ref="Y8" si="30">Y6+Y7</f>
        <v>268015</v>
      </c>
      <c r="Z8" s="9">
        <f t="shared" ref="Z8" si="31">Z6+Z7</f>
        <v>253289</v>
      </c>
      <c r="AA8" s="9">
        <f t="shared" ref="AA8" si="32">AA6+AA7</f>
        <v>278624</v>
      </c>
      <c r="AB8" s="9">
        <f t="shared" ref="AB8:AC8" si="33">AB6+AB7</f>
        <v>269849</v>
      </c>
      <c r="AC8" s="9">
        <f t="shared" si="33"/>
        <v>248526</v>
      </c>
      <c r="AD8" s="9">
        <f t="shared" ref="AD8:AE8" si="34">AD6+AD7</f>
        <v>221875</v>
      </c>
      <c r="AE8" s="9">
        <f t="shared" si="34"/>
        <v>260568</v>
      </c>
      <c r="AF8" s="9">
        <f t="shared" ref="AF8:AI8" si="35">AF6+AF7</f>
        <v>304358</v>
      </c>
      <c r="AG8" s="9">
        <f t="shared" si="35"/>
        <v>275026</v>
      </c>
      <c r="AH8" s="9">
        <f t="shared" si="35"/>
        <v>305640</v>
      </c>
      <c r="AI8" s="12">
        <f t="shared" si="35"/>
        <v>352494</v>
      </c>
      <c r="AJ8" s="12">
        <f t="shared" ref="AJ8:AK8" si="36">AJ6+AJ7</f>
        <v>312651</v>
      </c>
      <c r="AK8" s="12">
        <f t="shared" si="36"/>
        <v>292664</v>
      </c>
      <c r="AL8" s="12">
        <f t="shared" ref="AL8:AQ8" si="37">AL6+AL7</f>
        <v>334817</v>
      </c>
      <c r="AM8" s="12">
        <f t="shared" si="37"/>
        <v>363124</v>
      </c>
      <c r="AN8" s="12">
        <f t="shared" si="37"/>
        <v>326384</v>
      </c>
      <c r="AO8" s="12">
        <f t="shared" si="37"/>
        <v>330701</v>
      </c>
      <c r="AP8" s="12">
        <f t="shared" si="37"/>
        <v>303757</v>
      </c>
      <c r="AQ8" s="12">
        <f t="shared" si="37"/>
        <v>404427</v>
      </c>
      <c r="AR8" s="12">
        <f t="shared" ref="AR8:AV8" si="38">AR6+AR7</f>
        <v>399362</v>
      </c>
      <c r="AS8" s="12">
        <f t="shared" si="38"/>
        <v>461408</v>
      </c>
      <c r="AT8" s="12">
        <f t="shared" si="38"/>
        <v>371305</v>
      </c>
      <c r="AU8" s="12">
        <f t="shared" si="38"/>
        <v>415908</v>
      </c>
      <c r="AV8" s="12">
        <f t="shared" si="38"/>
        <v>373686</v>
      </c>
      <c r="AW8" s="12">
        <f t="shared" ref="AW8:BB8" si="39">AW6+AW7</f>
        <v>369575</v>
      </c>
      <c r="AX8" s="12">
        <f t="shared" si="39"/>
        <v>319745</v>
      </c>
      <c r="AY8" s="12">
        <f t="shared" si="39"/>
        <v>388317</v>
      </c>
      <c r="AZ8" s="12">
        <f t="shared" si="39"/>
        <v>463429</v>
      </c>
      <c r="BA8" s="12">
        <f t="shared" si="39"/>
        <v>428410</v>
      </c>
      <c r="BB8" s="12">
        <f t="shared" si="39"/>
        <v>523502</v>
      </c>
      <c r="BC8" s="12">
        <f t="shared" ref="BC8:BE8" si="40">BC6+BC7</f>
        <v>575916</v>
      </c>
      <c r="BD8" s="12">
        <f t="shared" ref="BD8" si="41">BD6+BD7</f>
        <v>588632</v>
      </c>
      <c r="BE8" s="12">
        <f t="shared" si="40"/>
        <v>773752</v>
      </c>
      <c r="BF8" s="12">
        <f t="shared" ref="BF8" si="42">BF6+BF7</f>
        <v>785810</v>
      </c>
      <c r="BG8" s="12">
        <f t="shared" ref="BG8:BN8" si="43">BG6+BG7</f>
        <v>828320</v>
      </c>
      <c r="BH8" s="12">
        <f t="shared" si="43"/>
        <v>1021823</v>
      </c>
      <c r="BI8" s="12">
        <f t="shared" si="43"/>
        <v>872477</v>
      </c>
      <c r="BJ8" s="12">
        <f t="shared" si="43"/>
        <v>801761</v>
      </c>
      <c r="BK8" s="12">
        <f t="shared" si="43"/>
        <v>791698</v>
      </c>
      <c r="BL8" s="12">
        <f t="shared" si="43"/>
        <v>710586</v>
      </c>
      <c r="BM8" s="12">
        <f t="shared" si="43"/>
        <v>632469</v>
      </c>
      <c r="BN8" s="12">
        <f t="shared" si="43"/>
        <v>607722</v>
      </c>
      <c r="BO8" s="12">
        <f t="shared" ref="BO8:BP8" si="44">BO6+BO7</f>
        <v>570744</v>
      </c>
      <c r="BP8" s="12">
        <f t="shared" si="44"/>
        <v>585450</v>
      </c>
      <c r="BQ8" s="12">
        <f t="shared" ref="BQ8:BU8" si="45">BQ6+BQ7</f>
        <v>681925</v>
      </c>
      <c r="BR8" s="12">
        <f t="shared" si="45"/>
        <v>678605</v>
      </c>
      <c r="BS8" s="12">
        <f t="shared" si="45"/>
        <v>624065</v>
      </c>
      <c r="BT8" s="12">
        <f t="shared" si="45"/>
        <v>717667</v>
      </c>
      <c r="BU8" s="12">
        <f t="shared" si="45"/>
        <v>622247</v>
      </c>
      <c r="BV8" s="2"/>
      <c r="BW8" s="9">
        <f>BW6+BW7</f>
        <v>1056910</v>
      </c>
      <c r="BX8" s="9">
        <f t="shared" ref="BX8" si="46">BX6+BX7</f>
        <v>550976</v>
      </c>
      <c r="BY8" s="9">
        <f t="shared" ref="BY8" si="47">BY6+BY7</f>
        <v>822133</v>
      </c>
      <c r="BZ8" s="9">
        <f t="shared" ref="BZ8" si="48">BZ6+BZ7</f>
        <v>785082</v>
      </c>
      <c r="CA8" s="9">
        <f t="shared" ref="CA8" si="49">CA6+CA7</f>
        <v>855891</v>
      </c>
      <c r="CB8" s="9">
        <f t="shared" ref="CB8" si="50">CB6+CB7</f>
        <v>975953</v>
      </c>
      <c r="CC8" s="9">
        <f t="shared" ref="CC8:CD8" si="51">CC6+CC7</f>
        <v>1018874</v>
      </c>
      <c r="CD8" s="9">
        <f t="shared" si="51"/>
        <v>1145592</v>
      </c>
      <c r="CE8" s="9">
        <f t="shared" si="0"/>
        <v>1292626</v>
      </c>
      <c r="CF8" s="9">
        <f t="shared" si="1"/>
        <v>1323966</v>
      </c>
      <c r="CG8" s="9">
        <f t="shared" si="2"/>
        <v>1636502</v>
      </c>
      <c r="CH8" s="9">
        <f t="shared" si="3"/>
        <v>1478914</v>
      </c>
      <c r="CI8" s="9">
        <f t="shared" si="4"/>
        <v>1803658</v>
      </c>
      <c r="CJ8" s="9">
        <f t="shared" si="5"/>
        <v>2724110</v>
      </c>
      <c r="CK8" s="9">
        <f t="shared" si="7"/>
        <v>3524381</v>
      </c>
      <c r="CL8" s="9">
        <f t="shared" si="8"/>
        <v>2516724</v>
      </c>
      <c r="CM8" s="9">
        <f t="shared" si="6"/>
        <v>1963979</v>
      </c>
    </row>
    <row r="9" spans="2:93" ht="15.75" thickBot="1">
      <c r="B9" t="s">
        <v>147</v>
      </c>
      <c r="C9" s="2">
        <v>-42220</v>
      </c>
      <c r="D9" s="2">
        <v>-69217</v>
      </c>
      <c r="E9" s="2">
        <v>-65094</v>
      </c>
      <c r="F9" s="2">
        <v>-40645</v>
      </c>
      <c r="G9" s="2">
        <v>-18792</v>
      </c>
      <c r="H9" s="2">
        <v>-25856</v>
      </c>
      <c r="I9" s="2">
        <v>-30509</v>
      </c>
      <c r="J9" s="2">
        <v>-26981</v>
      </c>
      <c r="K9" s="2">
        <v>-35453</v>
      </c>
      <c r="L9" s="2">
        <v>-46944</v>
      </c>
      <c r="M9" s="2">
        <v>-42562</v>
      </c>
      <c r="N9" s="2">
        <v>-34667</v>
      </c>
      <c r="O9" s="2">
        <v>-44752</v>
      </c>
      <c r="P9" s="2">
        <v>-41741</v>
      </c>
      <c r="Q9" s="2">
        <v>-34929</v>
      </c>
      <c r="R9" s="2">
        <v>-27698</v>
      </c>
      <c r="S9" s="2">
        <v>-36826</v>
      </c>
      <c r="T9" s="2">
        <v>-43325</v>
      </c>
      <c r="U9" s="2">
        <v>-41092</v>
      </c>
      <c r="V9" s="2">
        <v>-36256</v>
      </c>
      <c r="W9" s="2">
        <v>-47097</v>
      </c>
      <c r="X9" s="2">
        <v>-46038</v>
      </c>
      <c r="Y9" s="2">
        <v>-48395</v>
      </c>
      <c r="Z9" s="2">
        <v>-50701</v>
      </c>
      <c r="AA9" s="2">
        <v>-54969</v>
      </c>
      <c r="AB9" s="2">
        <v>-55383</v>
      </c>
      <c r="AC9" s="2">
        <v>-52893</v>
      </c>
      <c r="AD9" s="2">
        <v>-47168</v>
      </c>
      <c r="AE9" s="2">
        <v>-55754</v>
      </c>
      <c r="AF9" s="2">
        <v>-59226</v>
      </c>
      <c r="AG9" s="2">
        <v>-50323</v>
      </c>
      <c r="AH9" s="2">
        <v>-57285</v>
      </c>
      <c r="AI9" s="2">
        <v>-50353</v>
      </c>
      <c r="AJ9" s="2">
        <v>-47061</v>
      </c>
      <c r="AK9" s="2">
        <v>-55879</v>
      </c>
      <c r="AL9" s="2">
        <v>-56073</v>
      </c>
      <c r="AM9" s="2">
        <v>-67936</v>
      </c>
      <c r="AN9" s="2">
        <v>-60221</v>
      </c>
      <c r="AO9" s="21">
        <v>-59015</v>
      </c>
      <c r="AP9" s="21">
        <v>-48360</v>
      </c>
      <c r="AQ9" s="21">
        <v>-62266</v>
      </c>
      <c r="AR9" s="21">
        <v>-62234</v>
      </c>
      <c r="AS9" s="21">
        <v>-70258</v>
      </c>
      <c r="AT9" s="21">
        <v>-60688</v>
      </c>
      <c r="AU9" s="21">
        <v>-67055</v>
      </c>
      <c r="AV9" s="21">
        <v>-50458</v>
      </c>
      <c r="AW9" s="21">
        <v>-48781</v>
      </c>
      <c r="AX9" s="2">
        <v>-33070</v>
      </c>
      <c r="AY9" s="2">
        <v>-42135</v>
      </c>
      <c r="AZ9" s="2">
        <v>-36762</v>
      </c>
      <c r="BA9" s="2">
        <f>-122014-AY9-AZ9</f>
        <v>-43117</v>
      </c>
      <c r="BB9" s="2">
        <f>-181639-AY9-AZ9-BA9</f>
        <v>-59625</v>
      </c>
      <c r="BC9" s="2">
        <v>-58592</v>
      </c>
      <c r="BD9" s="2">
        <f>-136370-BC9</f>
        <v>-77778</v>
      </c>
      <c r="BE9" s="2">
        <f>-230964-BC9-BD9</f>
        <v>-94594</v>
      </c>
      <c r="BF9" s="2">
        <f>-334633-BC9-BD9-BE9</f>
        <v>-103669</v>
      </c>
      <c r="BG9" s="2">
        <v>-90582</v>
      </c>
      <c r="BH9" s="2">
        <f>-194787-BG9</f>
        <v>-104205</v>
      </c>
      <c r="BI9" s="2">
        <f>-297765-BG9-BH9</f>
        <v>-102978</v>
      </c>
      <c r="BJ9" s="2">
        <f>-385365-BG9-BH9-BI9</f>
        <v>-87600</v>
      </c>
      <c r="BK9" s="2">
        <v>-75324</v>
      </c>
      <c r="BL9" s="90">
        <f>-159782-BK9</f>
        <v>-84458</v>
      </c>
      <c r="BM9" s="2">
        <f>-241330-BK9-BL9</f>
        <v>-81548</v>
      </c>
      <c r="BN9" s="2">
        <f>-307340-BL9-BM9-BK9</f>
        <v>-66010</v>
      </c>
      <c r="BO9" s="2">
        <v>-61255</v>
      </c>
      <c r="BP9" s="2">
        <f>-124678+61255</f>
        <v>-63423</v>
      </c>
      <c r="BQ9" s="2">
        <f>-208880-(BO9+BP9)</f>
        <v>-84202</v>
      </c>
      <c r="BR9" s="2">
        <v>-71140</v>
      </c>
      <c r="BS9" s="2">
        <v>-74216</v>
      </c>
      <c r="BT9" s="2">
        <v>-78226</v>
      </c>
      <c r="BU9" s="2">
        <v>-79679</v>
      </c>
      <c r="BV9" s="2"/>
      <c r="BW9" s="2">
        <f>SUM(C9:F9)</f>
        <v>-217176</v>
      </c>
      <c r="BX9" s="2">
        <f>SUM(G9:J9)</f>
        <v>-102138</v>
      </c>
      <c r="BY9" s="2">
        <f>SUM(K9:N9)</f>
        <v>-159626</v>
      </c>
      <c r="BZ9" s="2">
        <f>SUM(O9:R9)</f>
        <v>-149120</v>
      </c>
      <c r="CA9" s="2">
        <f>SUM(S9:V9)</f>
        <v>-157499</v>
      </c>
      <c r="CB9" s="2">
        <f>SUM(W9:Z9)</f>
        <v>-192231</v>
      </c>
      <c r="CC9" s="2">
        <f>SUM(AA9:AD9)</f>
        <v>-210413</v>
      </c>
      <c r="CD9" s="2">
        <f>SUM(AE9:AH9)</f>
        <v>-222588</v>
      </c>
      <c r="CE9" s="2">
        <f t="shared" si="0"/>
        <v>-209366</v>
      </c>
      <c r="CF9" s="2">
        <f t="shared" si="1"/>
        <v>-235532</v>
      </c>
      <c r="CG9" s="2">
        <f t="shared" si="2"/>
        <v>-255446</v>
      </c>
      <c r="CH9" s="2">
        <f t="shared" si="3"/>
        <v>-199364</v>
      </c>
      <c r="CI9" s="2">
        <f t="shared" si="4"/>
        <v>-181639</v>
      </c>
      <c r="CJ9" s="2">
        <f t="shared" si="5"/>
        <v>-334633</v>
      </c>
      <c r="CK9" s="2">
        <f t="shared" si="7"/>
        <v>-385365</v>
      </c>
      <c r="CL9" s="2">
        <f t="shared" si="8"/>
        <v>-280020</v>
      </c>
      <c r="CM9" s="2">
        <f t="shared" si="6"/>
        <v>-232121</v>
      </c>
      <c r="CO9" s="16"/>
    </row>
    <row r="10" spans="2:93" ht="15.75" thickBot="1">
      <c r="B10" s="9" t="s">
        <v>67</v>
      </c>
      <c r="C10" s="9">
        <f>C8+C9</f>
        <v>165325</v>
      </c>
      <c r="D10" s="9">
        <f t="shared" ref="D10" si="52">D8+D9</f>
        <v>258398</v>
      </c>
      <c r="E10" s="9">
        <f t="shared" ref="E10" si="53">E8+E9</f>
        <v>236757</v>
      </c>
      <c r="F10" s="9">
        <f t="shared" ref="F10" si="54">F8+F9</f>
        <v>179254</v>
      </c>
      <c r="G10" s="9">
        <f t="shared" ref="G10" si="55">G8+G9</f>
        <v>85616</v>
      </c>
      <c r="H10" s="9">
        <f t="shared" ref="H10" si="56">H8+H9</f>
        <v>100053</v>
      </c>
      <c r="I10" s="9">
        <f t="shared" ref="I10" si="57">I8+I9</f>
        <v>148288</v>
      </c>
      <c r="J10" s="9">
        <f t="shared" ref="J10" si="58">J8+J9</f>
        <v>114881</v>
      </c>
      <c r="K10" s="9">
        <f t="shared" ref="K10" si="59">K8+K9</f>
        <v>141128</v>
      </c>
      <c r="L10" s="9">
        <f t="shared" ref="L10" si="60">L8+L9</f>
        <v>183774</v>
      </c>
      <c r="M10" s="9">
        <f t="shared" ref="M10" si="61">M8+M9</f>
        <v>171203</v>
      </c>
      <c r="N10" s="9">
        <f t="shared" ref="N10" si="62">N8+N9</f>
        <v>166402</v>
      </c>
      <c r="O10" s="9">
        <f t="shared" ref="O10" si="63">O8+O9</f>
        <v>191877</v>
      </c>
      <c r="P10" s="9">
        <f t="shared" ref="P10" si="64">P8+P9</f>
        <v>172022</v>
      </c>
      <c r="Q10" s="9">
        <f t="shared" ref="Q10" si="65">Q8+Q9</f>
        <v>140425</v>
      </c>
      <c r="R10" s="9">
        <f t="shared" ref="R10" si="66">R8+R9</f>
        <v>131638</v>
      </c>
      <c r="S10" s="9">
        <f t="shared" ref="S10" si="67">S8+S9</f>
        <v>179702</v>
      </c>
      <c r="T10" s="9">
        <f t="shared" ref="T10" si="68">T8+T9</f>
        <v>187253</v>
      </c>
      <c r="U10" s="9">
        <f t="shared" ref="U10" si="69">U8+U9</f>
        <v>164564</v>
      </c>
      <c r="V10" s="9">
        <f t="shared" ref="V10" si="70">V8+V9</f>
        <v>166873</v>
      </c>
      <c r="W10" s="9">
        <f t="shared" ref="W10" si="71">W8+W9</f>
        <v>181718</v>
      </c>
      <c r="X10" s="9">
        <f t="shared" ref="X10" si="72">X8+X9</f>
        <v>179796</v>
      </c>
      <c r="Y10" s="9">
        <f t="shared" ref="Y10" si="73">Y8+Y9</f>
        <v>219620</v>
      </c>
      <c r="Z10" s="9">
        <f t="shared" ref="Z10" si="74">Z8+Z9</f>
        <v>202588</v>
      </c>
      <c r="AA10" s="9">
        <f t="shared" ref="AA10" si="75">AA8+AA9</f>
        <v>223655</v>
      </c>
      <c r="AB10" s="9">
        <f t="shared" ref="AB10:AC10" si="76">AB8+AB9</f>
        <v>214466</v>
      </c>
      <c r="AC10" s="9">
        <f t="shared" si="76"/>
        <v>195633</v>
      </c>
      <c r="AD10" s="9">
        <f t="shared" ref="AD10:AE10" si="77">AD8+AD9</f>
        <v>174707</v>
      </c>
      <c r="AE10" s="9">
        <f t="shared" si="77"/>
        <v>204814</v>
      </c>
      <c r="AF10" s="9">
        <f t="shared" ref="AF10:AI10" si="78">AF8+AF9</f>
        <v>245132</v>
      </c>
      <c r="AG10" s="9">
        <f t="shared" si="78"/>
        <v>224703</v>
      </c>
      <c r="AH10" s="9">
        <f t="shared" si="78"/>
        <v>248355</v>
      </c>
      <c r="AI10" s="12">
        <f t="shared" si="78"/>
        <v>302141</v>
      </c>
      <c r="AJ10" s="12">
        <f t="shared" ref="AJ10:AK10" si="79">AJ8+AJ9</f>
        <v>265590</v>
      </c>
      <c r="AK10" s="12">
        <f t="shared" si="79"/>
        <v>236785</v>
      </c>
      <c r="AL10" s="12">
        <f t="shared" ref="AL10:AP10" si="80">AL8+AL9</f>
        <v>278744</v>
      </c>
      <c r="AM10" s="12">
        <f t="shared" si="80"/>
        <v>295188</v>
      </c>
      <c r="AN10" s="12">
        <f t="shared" si="80"/>
        <v>266163</v>
      </c>
      <c r="AO10" s="12">
        <f t="shared" si="80"/>
        <v>271686</v>
      </c>
      <c r="AP10" s="12">
        <f t="shared" si="80"/>
        <v>255397</v>
      </c>
      <c r="AQ10" s="12">
        <f t="shared" ref="AQ10" si="81">AQ8+AQ9</f>
        <v>342161</v>
      </c>
      <c r="AR10" s="12">
        <f t="shared" ref="AR10:AW10" si="82">AR8+AR9</f>
        <v>337128</v>
      </c>
      <c r="AS10" s="12">
        <f t="shared" si="82"/>
        <v>391150</v>
      </c>
      <c r="AT10" s="12">
        <f t="shared" si="82"/>
        <v>310617</v>
      </c>
      <c r="AU10" s="12">
        <f t="shared" si="82"/>
        <v>348853</v>
      </c>
      <c r="AV10" s="12">
        <f t="shared" si="82"/>
        <v>323228</v>
      </c>
      <c r="AW10" s="12">
        <f t="shared" si="82"/>
        <v>320794</v>
      </c>
      <c r="AX10" s="12">
        <f t="shared" ref="AX10:AY10" si="83">AX8+AX9</f>
        <v>286675</v>
      </c>
      <c r="AY10" s="12">
        <f t="shared" si="83"/>
        <v>346182</v>
      </c>
      <c r="AZ10" s="12">
        <f t="shared" ref="AZ10:BA10" si="84">AZ8+AZ9</f>
        <v>426667</v>
      </c>
      <c r="BA10" s="12">
        <f t="shared" si="84"/>
        <v>385293</v>
      </c>
      <c r="BB10" s="12">
        <f t="shared" ref="BB10:BC10" si="85">BB8+BB9</f>
        <v>463877</v>
      </c>
      <c r="BC10" s="12">
        <f t="shared" si="85"/>
        <v>517324</v>
      </c>
      <c r="BD10" s="12">
        <f t="shared" ref="BD10:BE10" si="86">BD8+BD9</f>
        <v>510854</v>
      </c>
      <c r="BE10" s="12">
        <f t="shared" si="86"/>
        <v>679158</v>
      </c>
      <c r="BF10" s="12">
        <f t="shared" ref="BF10" si="87">BF8+BF9</f>
        <v>682141</v>
      </c>
      <c r="BG10" s="12">
        <f t="shared" ref="BG10:BN10" si="88">BG8+BG9</f>
        <v>737738</v>
      </c>
      <c r="BH10" s="12">
        <f t="shared" si="88"/>
        <v>917618</v>
      </c>
      <c r="BI10" s="12">
        <f t="shared" si="88"/>
        <v>769499</v>
      </c>
      <c r="BJ10" s="12">
        <f t="shared" si="88"/>
        <v>714161</v>
      </c>
      <c r="BK10" s="12">
        <f t="shared" si="88"/>
        <v>716374</v>
      </c>
      <c r="BL10" s="12">
        <f t="shared" si="88"/>
        <v>626128</v>
      </c>
      <c r="BM10" s="12">
        <f t="shared" si="88"/>
        <v>550921</v>
      </c>
      <c r="BN10" s="12">
        <f t="shared" si="88"/>
        <v>541712</v>
      </c>
      <c r="BO10" s="12">
        <f t="shared" ref="BO10:BP10" si="89">BO8+BO9</f>
        <v>509489</v>
      </c>
      <c r="BP10" s="12">
        <f t="shared" si="89"/>
        <v>522027</v>
      </c>
      <c r="BQ10" s="12">
        <f t="shared" ref="BQ10:BU10" si="90">BQ8+BQ9</f>
        <v>597723</v>
      </c>
      <c r="BR10" s="12">
        <f t="shared" si="90"/>
        <v>607465</v>
      </c>
      <c r="BS10" s="12">
        <f t="shared" si="90"/>
        <v>549849</v>
      </c>
      <c r="BT10" s="12">
        <f t="shared" si="90"/>
        <v>639441</v>
      </c>
      <c r="BU10" s="12">
        <f t="shared" si="90"/>
        <v>542568</v>
      </c>
      <c r="BV10" s="2"/>
      <c r="BW10" s="9">
        <f>BW8+BW9</f>
        <v>839734</v>
      </c>
      <c r="BX10" s="9">
        <f t="shared" ref="BX10" si="91">BX8+BX9</f>
        <v>448838</v>
      </c>
      <c r="BY10" s="9">
        <f t="shared" ref="BY10" si="92">BY8+BY9</f>
        <v>662507</v>
      </c>
      <c r="BZ10" s="9">
        <f t="shared" ref="BZ10" si="93">BZ8+BZ9</f>
        <v>635962</v>
      </c>
      <c r="CA10" s="9">
        <f t="shared" ref="CA10" si="94">CA8+CA9</f>
        <v>698392</v>
      </c>
      <c r="CB10" s="9">
        <f t="shared" ref="CB10:CC10" si="95">CB8+CB9</f>
        <v>783722</v>
      </c>
      <c r="CC10" s="9">
        <f t="shared" si="95"/>
        <v>808461</v>
      </c>
      <c r="CD10" s="9">
        <f t="shared" ref="CD10" si="96">CD8+CD9</f>
        <v>923004</v>
      </c>
      <c r="CE10" s="9">
        <f t="shared" si="0"/>
        <v>1083260</v>
      </c>
      <c r="CF10" s="9">
        <f t="shared" si="1"/>
        <v>1088434</v>
      </c>
      <c r="CG10" s="9">
        <f t="shared" si="2"/>
        <v>1381056</v>
      </c>
      <c r="CH10" s="9">
        <f t="shared" si="3"/>
        <v>1279550</v>
      </c>
      <c r="CI10" s="9">
        <f t="shared" si="4"/>
        <v>1622019</v>
      </c>
      <c r="CJ10" s="9">
        <f t="shared" si="5"/>
        <v>2389477</v>
      </c>
      <c r="CK10" s="9">
        <f t="shared" si="7"/>
        <v>3139016</v>
      </c>
      <c r="CL10" s="9">
        <f t="shared" si="8"/>
        <v>2236704</v>
      </c>
      <c r="CM10" s="9">
        <f t="shared" si="6"/>
        <v>1731858</v>
      </c>
    </row>
    <row r="11" spans="2:93" ht="15.75" thickBot="1">
      <c r="B11" t="s">
        <v>146</v>
      </c>
      <c r="C11" s="14">
        <v>4932</v>
      </c>
      <c r="D11" s="14">
        <v>13223</v>
      </c>
      <c r="E11" s="14">
        <v>13596</v>
      </c>
      <c r="F11" s="14">
        <v>7429</v>
      </c>
      <c r="G11" s="2">
        <v>0</v>
      </c>
      <c r="H11" s="14">
        <v>561</v>
      </c>
      <c r="I11" s="14">
        <v>1320</v>
      </c>
      <c r="J11" s="14">
        <v>34</v>
      </c>
      <c r="K11" s="14">
        <v>1503</v>
      </c>
      <c r="L11" s="14">
        <v>4736</v>
      </c>
      <c r="M11" s="14">
        <v>3544</v>
      </c>
      <c r="N11" s="14">
        <v>768</v>
      </c>
      <c r="O11" s="14">
        <v>3818</v>
      </c>
      <c r="P11" s="14">
        <v>2038</v>
      </c>
      <c r="Q11" s="14">
        <v>446</v>
      </c>
      <c r="R11" s="14">
        <v>70</v>
      </c>
      <c r="S11" s="14">
        <v>2738</v>
      </c>
      <c r="T11" s="14">
        <v>3044</v>
      </c>
      <c r="U11" s="14">
        <v>2080</v>
      </c>
      <c r="V11" s="14">
        <v>1148</v>
      </c>
      <c r="W11" s="14">
        <v>3975</v>
      </c>
      <c r="X11" s="14">
        <v>2343</v>
      </c>
      <c r="Y11" s="14">
        <v>4816</v>
      </c>
      <c r="Z11" s="14">
        <v>4916</v>
      </c>
      <c r="AA11" s="14">
        <v>6514</v>
      </c>
      <c r="AB11" s="14">
        <v>6169</v>
      </c>
      <c r="AC11" s="14">
        <v>4991</v>
      </c>
      <c r="AD11" s="14">
        <v>2112</v>
      </c>
      <c r="AE11" s="14">
        <v>5413</v>
      </c>
      <c r="AF11" s="55">
        <v>5621</v>
      </c>
      <c r="AG11" s="55">
        <v>182</v>
      </c>
      <c r="AH11" s="55">
        <v>2010</v>
      </c>
      <c r="AI11" s="55">
        <v>3026</v>
      </c>
      <c r="AJ11" s="55">
        <v>1266</v>
      </c>
      <c r="AK11" s="55">
        <v>4467</v>
      </c>
      <c r="AL11" s="55">
        <v>4135</v>
      </c>
      <c r="AM11" s="55">
        <v>7707</v>
      </c>
      <c r="AN11" s="55">
        <v>4489</v>
      </c>
      <c r="AO11" s="55">
        <v>4733</v>
      </c>
      <c r="AP11" s="55">
        <v>3359</v>
      </c>
      <c r="AQ11" s="55">
        <v>6426</v>
      </c>
      <c r="AR11" s="55">
        <v>4567</v>
      </c>
      <c r="AS11" s="55">
        <v>4662</v>
      </c>
      <c r="AT11" s="55">
        <v>3362</v>
      </c>
      <c r="AU11" s="55">
        <v>1701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5782</v>
      </c>
      <c r="BD11" s="103">
        <f>11336-BC11</f>
        <v>5554</v>
      </c>
      <c r="BE11" s="103">
        <f>18803-BC11-BD11</f>
        <v>7467</v>
      </c>
      <c r="BF11" s="103">
        <f>32485-BC11-BD11-BE11</f>
        <v>13682</v>
      </c>
      <c r="BG11" s="103">
        <v>5194</v>
      </c>
      <c r="BH11" s="103">
        <f>11469-BG11</f>
        <v>6275</v>
      </c>
      <c r="BI11" s="103">
        <f>15200-BG11-BH11</f>
        <v>3731</v>
      </c>
      <c r="BJ11" s="103">
        <f>15811-BG11-BH11-BI11</f>
        <v>611</v>
      </c>
      <c r="BK11" s="103">
        <v>2793</v>
      </c>
      <c r="BL11" s="103">
        <v>0</v>
      </c>
      <c r="BM11" s="103">
        <v>0</v>
      </c>
      <c r="BN11" s="103">
        <v>0</v>
      </c>
      <c r="BO11" s="103">
        <v>0</v>
      </c>
      <c r="BP11" s="103">
        <v>0</v>
      </c>
      <c r="BQ11" s="103">
        <v>0</v>
      </c>
      <c r="BR11" s="103">
        <v>0</v>
      </c>
      <c r="BS11" s="103">
        <v>878</v>
      </c>
      <c r="BT11" s="103">
        <v>0</v>
      </c>
      <c r="BU11" s="103">
        <v>0</v>
      </c>
      <c r="BV11" s="55"/>
      <c r="BW11" s="2">
        <f>SUM(C11:F11)</f>
        <v>39180</v>
      </c>
      <c r="BX11" s="2">
        <f>SUM(G11:J11)</f>
        <v>1915</v>
      </c>
      <c r="BY11" s="2">
        <f>SUM(K11:N11)</f>
        <v>10551</v>
      </c>
      <c r="BZ11" s="2">
        <f>SUM(O11:R11)</f>
        <v>6372</v>
      </c>
      <c r="CA11" s="2">
        <f>SUM(S11:V11)</f>
        <v>9010</v>
      </c>
      <c r="CB11" s="2">
        <f>SUM(W11:Z11)</f>
        <v>16050</v>
      </c>
      <c r="CC11" s="2">
        <f>SUM(AA11:AD11)</f>
        <v>19786</v>
      </c>
      <c r="CD11" s="2">
        <f>SUM(AE11:AH11)</f>
        <v>13226</v>
      </c>
      <c r="CE11" s="2">
        <f t="shared" si="0"/>
        <v>12894</v>
      </c>
      <c r="CF11" s="2">
        <f t="shared" si="1"/>
        <v>20288</v>
      </c>
      <c r="CG11" s="2">
        <f t="shared" si="2"/>
        <v>19017</v>
      </c>
      <c r="CH11" s="2">
        <f t="shared" si="3"/>
        <v>1701</v>
      </c>
      <c r="CI11" s="2">
        <f t="shared" si="4"/>
        <v>0</v>
      </c>
      <c r="CJ11" s="2">
        <f t="shared" si="5"/>
        <v>32485</v>
      </c>
      <c r="CK11" s="2">
        <f t="shared" si="7"/>
        <v>15811</v>
      </c>
      <c r="CL11" s="2">
        <f t="shared" si="8"/>
        <v>0</v>
      </c>
      <c r="CM11" s="2">
        <f t="shared" si="6"/>
        <v>878</v>
      </c>
    </row>
    <row r="12" spans="2:93" ht="15.75" thickBot="1">
      <c r="B12" s="9" t="s">
        <v>54</v>
      </c>
      <c r="C12" s="9">
        <f>C10+C11</f>
        <v>170257</v>
      </c>
      <c r="D12" s="9">
        <f t="shared" ref="D12" si="97">D10+D11</f>
        <v>271621</v>
      </c>
      <c r="E12" s="9">
        <f t="shared" ref="E12" si="98">E10+E11</f>
        <v>250353</v>
      </c>
      <c r="F12" s="9">
        <f t="shared" ref="F12" si="99">F10+F11</f>
        <v>186683</v>
      </c>
      <c r="G12" s="9">
        <f t="shared" ref="G12" si="100">G10+G11</f>
        <v>85616</v>
      </c>
      <c r="H12" s="9">
        <f t="shared" ref="H12" si="101">H10+H11</f>
        <v>100614</v>
      </c>
      <c r="I12" s="9">
        <f t="shared" ref="I12" si="102">I10+I11</f>
        <v>149608</v>
      </c>
      <c r="J12" s="9">
        <f t="shared" ref="J12" si="103">J10+J11</f>
        <v>114915</v>
      </c>
      <c r="K12" s="9">
        <f t="shared" ref="K12" si="104">K10+K11</f>
        <v>142631</v>
      </c>
      <c r="L12" s="9">
        <f t="shared" ref="L12" si="105">L10+L11</f>
        <v>188510</v>
      </c>
      <c r="M12" s="9">
        <f t="shared" ref="M12" si="106">M10+M11</f>
        <v>174747</v>
      </c>
      <c r="N12" s="9">
        <f t="shared" ref="N12" si="107">N10+N11</f>
        <v>167170</v>
      </c>
      <c r="O12" s="9">
        <f t="shared" ref="O12" si="108">O10+O11</f>
        <v>195695</v>
      </c>
      <c r="P12" s="9">
        <f t="shared" ref="P12" si="109">P10+P11</f>
        <v>174060</v>
      </c>
      <c r="Q12" s="9">
        <f t="shared" ref="Q12" si="110">Q10+Q11</f>
        <v>140871</v>
      </c>
      <c r="R12" s="9">
        <f t="shared" ref="R12" si="111">R10+R11</f>
        <v>131708</v>
      </c>
      <c r="S12" s="9">
        <f t="shared" ref="S12" si="112">S10+S11</f>
        <v>182440</v>
      </c>
      <c r="T12" s="9">
        <f t="shared" ref="T12" si="113">T10+T11</f>
        <v>190297</v>
      </c>
      <c r="U12" s="9">
        <f t="shared" ref="U12" si="114">U10+U11</f>
        <v>166644</v>
      </c>
      <c r="V12" s="9">
        <f t="shared" ref="V12" si="115">V10+V11</f>
        <v>168021</v>
      </c>
      <c r="W12" s="9">
        <f t="shared" ref="W12" si="116">W10+W11</f>
        <v>185693</v>
      </c>
      <c r="X12" s="9">
        <f t="shared" ref="X12" si="117">X10+X11</f>
        <v>182139</v>
      </c>
      <c r="Y12" s="9">
        <f t="shared" ref="Y12" si="118">Y10+Y11</f>
        <v>224436</v>
      </c>
      <c r="Z12" s="9">
        <f t="shared" ref="Z12" si="119">Z10+Z11</f>
        <v>207504</v>
      </c>
      <c r="AA12" s="9">
        <f t="shared" ref="AA12" si="120">AA10+AA11</f>
        <v>230169</v>
      </c>
      <c r="AB12" s="9">
        <f t="shared" ref="AB12:AC12" si="121">AB10+AB11</f>
        <v>220635</v>
      </c>
      <c r="AC12" s="9">
        <f t="shared" si="121"/>
        <v>200624</v>
      </c>
      <c r="AD12" s="9">
        <f t="shared" ref="AD12:AE12" si="122">AD10+AD11</f>
        <v>176819</v>
      </c>
      <c r="AE12" s="9">
        <f t="shared" si="122"/>
        <v>210227</v>
      </c>
      <c r="AF12" s="9">
        <f t="shared" ref="AF12:AI12" si="123">AF10+AF11</f>
        <v>250753</v>
      </c>
      <c r="AG12" s="9">
        <f t="shared" si="123"/>
        <v>224885</v>
      </c>
      <c r="AH12" s="9">
        <f t="shared" si="123"/>
        <v>250365</v>
      </c>
      <c r="AI12" s="12">
        <f t="shared" si="123"/>
        <v>305167</v>
      </c>
      <c r="AJ12" s="12">
        <f t="shared" ref="AJ12:AK12" si="124">AJ10+AJ11</f>
        <v>266856</v>
      </c>
      <c r="AK12" s="12">
        <f t="shared" si="124"/>
        <v>241252</v>
      </c>
      <c r="AL12" s="12">
        <f t="shared" ref="AL12:AP12" si="125">AL10+AL11</f>
        <v>282879</v>
      </c>
      <c r="AM12" s="12">
        <f t="shared" si="125"/>
        <v>302895</v>
      </c>
      <c r="AN12" s="12">
        <f t="shared" si="125"/>
        <v>270652</v>
      </c>
      <c r="AO12" s="12">
        <f t="shared" si="125"/>
        <v>276419</v>
      </c>
      <c r="AP12" s="12">
        <f t="shared" si="125"/>
        <v>258756</v>
      </c>
      <c r="AQ12" s="12">
        <f t="shared" ref="AQ12:AR12" si="126">AQ10+AQ11</f>
        <v>348587</v>
      </c>
      <c r="AR12" s="12">
        <f t="shared" si="126"/>
        <v>341695</v>
      </c>
      <c r="AS12" s="12">
        <f t="shared" ref="AS12:AT12" si="127">AS10+AS11</f>
        <v>395812</v>
      </c>
      <c r="AT12" s="12">
        <f t="shared" si="127"/>
        <v>313979</v>
      </c>
      <c r="AU12" s="12">
        <f t="shared" ref="AU12:AW12" si="128">AU10+AU11</f>
        <v>350554</v>
      </c>
      <c r="AV12" s="12">
        <f t="shared" si="128"/>
        <v>323228</v>
      </c>
      <c r="AW12" s="12">
        <f t="shared" si="128"/>
        <v>320794</v>
      </c>
      <c r="AX12" s="12">
        <f t="shared" ref="AX12:AY12" si="129">AX10+AX11</f>
        <v>286675</v>
      </c>
      <c r="AY12" s="12">
        <f t="shared" si="129"/>
        <v>346182</v>
      </c>
      <c r="AZ12" s="12">
        <f t="shared" ref="AZ12:BA12" si="130">AZ10+AZ11</f>
        <v>426667</v>
      </c>
      <c r="BA12" s="12">
        <f t="shared" si="130"/>
        <v>385293</v>
      </c>
      <c r="BB12" s="12">
        <f t="shared" ref="BB12:BC12" si="131">BB10+BB11</f>
        <v>463877</v>
      </c>
      <c r="BC12" s="12">
        <f t="shared" si="131"/>
        <v>523106</v>
      </c>
      <c r="BD12" s="12">
        <f t="shared" ref="BD12:BE12" si="132">BD10+BD11</f>
        <v>516408</v>
      </c>
      <c r="BE12" s="12">
        <f t="shared" si="132"/>
        <v>686625</v>
      </c>
      <c r="BF12" s="12">
        <f t="shared" ref="BF12:BG12" si="133">BF10+BF11</f>
        <v>695823</v>
      </c>
      <c r="BG12" s="12">
        <f t="shared" si="133"/>
        <v>742932</v>
      </c>
      <c r="BH12" s="12">
        <f t="shared" ref="BH12:BK12" si="134">BH10+BH11</f>
        <v>923893</v>
      </c>
      <c r="BI12" s="12">
        <f t="shared" ref="BI12" si="135">BI10+BI11</f>
        <v>773230</v>
      </c>
      <c r="BJ12" s="12">
        <f t="shared" si="134"/>
        <v>714772</v>
      </c>
      <c r="BK12" s="12">
        <f t="shared" si="134"/>
        <v>719167</v>
      </c>
      <c r="BL12" s="12">
        <f t="shared" ref="BL12:BN12" si="136">BL10+BL11</f>
        <v>626128</v>
      </c>
      <c r="BM12" s="12">
        <f t="shared" si="136"/>
        <v>550921</v>
      </c>
      <c r="BN12" s="12">
        <f t="shared" si="136"/>
        <v>541712</v>
      </c>
      <c r="BO12" s="12">
        <f t="shared" ref="BO12:BP12" si="137">BO10+BO11</f>
        <v>509489</v>
      </c>
      <c r="BP12" s="12">
        <f t="shared" si="137"/>
        <v>522027</v>
      </c>
      <c r="BQ12" s="12">
        <f t="shared" ref="BQ12:BU12" si="138">BQ10+BQ11</f>
        <v>597723</v>
      </c>
      <c r="BR12" s="12">
        <f t="shared" si="138"/>
        <v>607465</v>
      </c>
      <c r="BS12" s="12">
        <f t="shared" si="138"/>
        <v>550727</v>
      </c>
      <c r="BT12" s="12">
        <f t="shared" si="138"/>
        <v>639441</v>
      </c>
      <c r="BU12" s="12">
        <f t="shared" si="138"/>
        <v>542568</v>
      </c>
      <c r="BV12" s="2"/>
      <c r="BW12" s="9">
        <f>BW10+BW11</f>
        <v>878914</v>
      </c>
      <c r="BX12" s="9">
        <f t="shared" ref="BX12" si="139">BX10+BX11</f>
        <v>450753</v>
      </c>
      <c r="BY12" s="9">
        <f t="shared" ref="BY12" si="140">BY10+BY11</f>
        <v>673058</v>
      </c>
      <c r="BZ12" s="9">
        <f t="shared" ref="BZ12" si="141">BZ10+BZ11</f>
        <v>642334</v>
      </c>
      <c r="CA12" s="9">
        <f t="shared" ref="CA12" si="142">CA10+CA11</f>
        <v>707402</v>
      </c>
      <c r="CB12" s="9">
        <f t="shared" ref="CB12" si="143">CB10+CB11</f>
        <v>799772</v>
      </c>
      <c r="CC12" s="9">
        <f t="shared" ref="CC12:CD12" si="144">CC10+CC11</f>
        <v>828247</v>
      </c>
      <c r="CD12" s="9">
        <f t="shared" si="144"/>
        <v>936230</v>
      </c>
      <c r="CE12" s="9">
        <f t="shared" si="0"/>
        <v>1096154</v>
      </c>
      <c r="CF12" s="9">
        <f t="shared" si="1"/>
        <v>1108722</v>
      </c>
      <c r="CG12" s="9">
        <f t="shared" si="2"/>
        <v>1400073</v>
      </c>
      <c r="CH12" s="9">
        <f t="shared" si="3"/>
        <v>1281251</v>
      </c>
      <c r="CI12" s="9">
        <f t="shared" si="4"/>
        <v>1622019</v>
      </c>
      <c r="CJ12" s="9">
        <f t="shared" si="5"/>
        <v>2421962</v>
      </c>
      <c r="CK12" s="9">
        <f t="shared" si="7"/>
        <v>3154827</v>
      </c>
      <c r="CL12" s="9">
        <f t="shared" si="8"/>
        <v>2236704</v>
      </c>
      <c r="CM12" s="9">
        <f t="shared" si="6"/>
        <v>1732736</v>
      </c>
    </row>
    <row r="13" spans="2:93">
      <c r="D13" s="18"/>
      <c r="G13" s="1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18"/>
    </row>
    <row r="14" spans="2:93">
      <c r="C14" s="16"/>
      <c r="I14" s="1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18"/>
      <c r="BW14" s="18"/>
      <c r="BX14" s="18"/>
    </row>
    <row r="15" spans="2:93">
      <c r="B15" s="4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BQ15" s="16"/>
      <c r="BR15" s="16"/>
      <c r="BS15" s="16"/>
      <c r="BT15" s="16"/>
      <c r="BU15" s="16"/>
      <c r="BV15" s="18"/>
    </row>
    <row r="16" spans="2:93">
      <c r="C16" s="22"/>
      <c r="AF16" s="72"/>
      <c r="BG16" s="16"/>
      <c r="BQ16" s="16"/>
      <c r="BR16" s="16"/>
      <c r="BS16" s="16"/>
      <c r="BT16" s="16"/>
      <c r="BU16" s="16"/>
      <c r="BV16" s="18"/>
      <c r="BY16" s="18"/>
    </row>
    <row r="17" spans="3:94">
      <c r="C17" s="22"/>
      <c r="BL17" s="16"/>
      <c r="BV17" s="18"/>
    </row>
    <row r="18" spans="3:94">
      <c r="AF18" s="72"/>
      <c r="BV18" s="18"/>
      <c r="CP18" s="1"/>
    </row>
    <row r="19" spans="3:94">
      <c r="BV19" s="18"/>
      <c r="CP19" s="1"/>
    </row>
    <row r="20" spans="3:94">
      <c r="BV20" s="18"/>
      <c r="CP20" s="1"/>
    </row>
    <row r="21" spans="3:94">
      <c r="BR21" s="2"/>
      <c r="BS21" s="2"/>
      <c r="BT21" s="2"/>
      <c r="BU21" s="2"/>
      <c r="BV21" s="18"/>
      <c r="BZ21" s="15"/>
      <c r="CP21" s="107"/>
    </row>
    <row r="22" spans="3:94">
      <c r="BV22" s="18"/>
    </row>
    <row r="23" spans="3:94">
      <c r="BL23" s="90"/>
      <c r="BV23" s="18"/>
      <c r="CP23" s="107"/>
    </row>
    <row r="24" spans="3:94">
      <c r="BL24" s="90"/>
      <c r="BV24" s="18"/>
      <c r="CP24" s="107"/>
    </row>
    <row r="25" spans="3:94">
      <c r="BL25" s="18"/>
      <c r="BV25" s="18"/>
      <c r="CP25" s="107"/>
    </row>
    <row r="26" spans="3:94">
      <c r="BV26" s="18"/>
    </row>
    <row r="27" spans="3:94">
      <c r="BV27" s="18"/>
    </row>
    <row r="28" spans="3:94">
      <c r="BV28" s="18"/>
    </row>
    <row r="29" spans="3:94">
      <c r="BV29" s="18"/>
    </row>
    <row r="30" spans="3:94">
      <c r="BV30" s="18"/>
    </row>
    <row r="31" spans="3:94">
      <c r="BV31" s="18"/>
    </row>
    <row r="35" spans="75:75">
      <c r="BW35" s="16"/>
    </row>
    <row r="36" spans="75:75">
      <c r="BW36" s="6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3" max="1048575" man="1"/>
  </colBreaks>
  <ignoredErrors>
    <ignoredError sqref="BW6:CD7 CE6:CF10 CE12:CF12 CE11:CF11 CG11:CH11 CG9:CH9 CL6 CL9 CL8 CL11 CL10 CL7" formulaRange="1"/>
    <ignoredError sqref="BW8:CD11" formula="1" formulaRange="1"/>
    <ignoredError sqref="BA9:BB9 BD10:BT11 BD9:BS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3"/>
  <dimension ref="B2:CM25"/>
  <sheetViews>
    <sheetView showGridLines="0" zoomScale="80" zoomScaleNormal="80" zoomScaleSheetLayoutView="100" workbookViewId="0">
      <pane xSplit="2" ySplit="5" topLeftCell="BE6" activePane="bottomRight" state="frozen"/>
      <selection activeCell="BV30" sqref="BV30"/>
      <selection pane="topRight" activeCell="BV30" sqref="BV30"/>
      <selection pane="bottomLeft" activeCell="BV30" sqref="BV30"/>
      <selection pane="bottomRight" activeCell="BV30" sqref="BV30"/>
    </sheetView>
  </sheetViews>
  <sheetFormatPr defaultRowHeight="15"/>
  <cols>
    <col min="1" max="1" width="2" customWidth="1"/>
    <col min="2" max="2" width="47.71093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1.5703125" customWidth="1"/>
    <col min="44" max="49" width="11.5703125" bestFit="1" customWidth="1"/>
    <col min="50" max="50" width="11.5703125" customWidth="1"/>
    <col min="51" max="73" width="13.28515625" customWidth="1"/>
    <col min="74" max="74" width="11.5703125" bestFit="1" customWidth="1"/>
    <col min="75" max="79" width="11.5703125" hidden="1" customWidth="1"/>
    <col min="80" max="82" width="11.28515625" hidden="1" customWidth="1"/>
    <col min="83" max="89" width="10.5703125" hidden="1" customWidth="1"/>
    <col min="90" max="91" width="11.28515625" bestFit="1" customWidth="1"/>
  </cols>
  <sheetData>
    <row r="2" spans="2:91" ht="21">
      <c r="B2" s="31" t="s">
        <v>134</v>
      </c>
    </row>
    <row r="3" spans="2:91" ht="15.75">
      <c r="B3" s="63" t="s">
        <v>169</v>
      </c>
      <c r="BV3" s="63" t="s">
        <v>167</v>
      </c>
    </row>
    <row r="4" spans="2:91" ht="7.5" customHeight="1" thickBot="1"/>
    <row r="5" spans="2:91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W5" s="8">
        <v>2008</v>
      </c>
      <c r="BX5" s="8">
        <v>2009</v>
      </c>
      <c r="BY5" s="8">
        <v>2010</v>
      </c>
      <c r="BZ5" s="8">
        <v>2011</v>
      </c>
      <c r="CA5" s="8">
        <v>2012</v>
      </c>
      <c r="CB5" s="8">
        <v>2013</v>
      </c>
      <c r="CC5" s="8">
        <v>2014</v>
      </c>
      <c r="CD5" s="8">
        <v>2015</v>
      </c>
      <c r="CE5" s="8">
        <v>2016</v>
      </c>
      <c r="CF5" s="8">
        <v>2017</v>
      </c>
      <c r="CG5" s="8">
        <v>2018</v>
      </c>
      <c r="CH5" s="8">
        <v>2019</v>
      </c>
      <c r="CI5" s="8">
        <v>2020</v>
      </c>
      <c r="CJ5" s="8">
        <v>2021</v>
      </c>
      <c r="CK5" s="8">
        <v>2022</v>
      </c>
      <c r="CL5" s="8">
        <v>2024</v>
      </c>
      <c r="CM5" s="8">
        <v>2025</v>
      </c>
    </row>
    <row r="6" spans="2:91" ht="15.75" thickBot="1">
      <c r="B6" s="9" t="s">
        <v>0</v>
      </c>
      <c r="C6" s="9">
        <f>SUM(C7:C9)</f>
        <v>170257</v>
      </c>
      <c r="D6" s="9">
        <f t="shared" ref="D6:BA6" si="0">SUM(D7:D9)</f>
        <v>271621</v>
      </c>
      <c r="E6" s="9">
        <f t="shared" si="0"/>
        <v>250353</v>
      </c>
      <c r="F6" s="9">
        <f t="shared" si="0"/>
        <v>186683</v>
      </c>
      <c r="G6" s="9">
        <f t="shared" si="0"/>
        <v>85616</v>
      </c>
      <c r="H6" s="9">
        <f t="shared" si="0"/>
        <v>100614</v>
      </c>
      <c r="I6" s="9">
        <f t="shared" si="0"/>
        <v>149608</v>
      </c>
      <c r="J6" s="9">
        <f t="shared" si="0"/>
        <v>114915</v>
      </c>
      <c r="K6" s="9">
        <f t="shared" si="0"/>
        <v>142631</v>
      </c>
      <c r="L6" s="9">
        <f t="shared" si="0"/>
        <v>188510</v>
      </c>
      <c r="M6" s="9">
        <f t="shared" si="0"/>
        <v>174747</v>
      </c>
      <c r="N6" s="9">
        <f t="shared" si="0"/>
        <v>167170</v>
      </c>
      <c r="O6" s="9">
        <f t="shared" si="0"/>
        <v>195695</v>
      </c>
      <c r="P6" s="9">
        <f t="shared" si="0"/>
        <v>174060</v>
      </c>
      <c r="Q6" s="9">
        <f t="shared" si="0"/>
        <v>140871</v>
      </c>
      <c r="R6" s="9">
        <f t="shared" si="0"/>
        <v>131708</v>
      </c>
      <c r="S6" s="9">
        <f t="shared" si="0"/>
        <v>182440</v>
      </c>
      <c r="T6" s="9">
        <f t="shared" si="0"/>
        <v>190297</v>
      </c>
      <c r="U6" s="9">
        <f t="shared" si="0"/>
        <v>166644</v>
      </c>
      <c r="V6" s="9">
        <f t="shared" si="0"/>
        <v>168021</v>
      </c>
      <c r="W6" s="9">
        <f t="shared" si="0"/>
        <v>185693</v>
      </c>
      <c r="X6" s="9">
        <f t="shared" si="0"/>
        <v>182139</v>
      </c>
      <c r="Y6" s="9">
        <f t="shared" si="0"/>
        <v>224436</v>
      </c>
      <c r="Z6" s="9">
        <f t="shared" si="0"/>
        <v>207504</v>
      </c>
      <c r="AA6" s="9">
        <f t="shared" si="0"/>
        <v>230169</v>
      </c>
      <c r="AB6" s="9">
        <f t="shared" si="0"/>
        <v>220635</v>
      </c>
      <c r="AC6" s="9">
        <f t="shared" si="0"/>
        <v>200624</v>
      </c>
      <c r="AD6" s="9">
        <f t="shared" si="0"/>
        <v>176819</v>
      </c>
      <c r="AE6" s="9">
        <f t="shared" si="0"/>
        <v>210227</v>
      </c>
      <c r="AF6" s="9">
        <f t="shared" si="0"/>
        <v>250753</v>
      </c>
      <c r="AG6" s="9">
        <f t="shared" si="0"/>
        <v>224885</v>
      </c>
      <c r="AH6" s="9">
        <f t="shared" si="0"/>
        <v>250365</v>
      </c>
      <c r="AI6" s="9">
        <f t="shared" si="0"/>
        <v>305167</v>
      </c>
      <c r="AJ6" s="9">
        <f t="shared" si="0"/>
        <v>266856</v>
      </c>
      <c r="AK6" s="9">
        <f t="shared" si="0"/>
        <v>241252</v>
      </c>
      <c r="AL6" s="9">
        <f t="shared" si="0"/>
        <v>282879</v>
      </c>
      <c r="AM6" s="9">
        <f t="shared" si="0"/>
        <v>302895</v>
      </c>
      <c r="AN6" s="9">
        <f t="shared" si="0"/>
        <v>270652</v>
      </c>
      <c r="AO6" s="9">
        <f t="shared" si="0"/>
        <v>276419</v>
      </c>
      <c r="AP6" s="9">
        <f t="shared" si="0"/>
        <v>258756</v>
      </c>
      <c r="AQ6" s="9">
        <f t="shared" si="0"/>
        <v>348500</v>
      </c>
      <c r="AR6" s="9">
        <f t="shared" si="0"/>
        <v>348501</v>
      </c>
      <c r="AS6" s="9">
        <f t="shared" si="0"/>
        <v>393054</v>
      </c>
      <c r="AT6" s="9">
        <f t="shared" si="0"/>
        <v>291001</v>
      </c>
      <c r="AU6" s="9">
        <f t="shared" si="0"/>
        <v>348781</v>
      </c>
      <c r="AV6" s="9">
        <f t="shared" si="0"/>
        <v>326695</v>
      </c>
      <c r="AW6" s="9">
        <f t="shared" si="0"/>
        <v>317399</v>
      </c>
      <c r="AX6" s="9">
        <f t="shared" si="0"/>
        <v>286675</v>
      </c>
      <c r="AY6" s="9">
        <f t="shared" si="0"/>
        <v>346182</v>
      </c>
      <c r="AZ6" s="9">
        <f t="shared" si="0"/>
        <v>426667</v>
      </c>
      <c r="BA6" s="9">
        <f t="shared" si="0"/>
        <v>385293</v>
      </c>
      <c r="BB6" s="9">
        <f t="shared" ref="BB6:BC6" si="1">SUM(BB7:BB9)</f>
        <v>463877</v>
      </c>
      <c r="BC6" s="9">
        <f t="shared" si="1"/>
        <v>517324</v>
      </c>
      <c r="BD6" s="9">
        <f t="shared" ref="BD6:BE6" si="2">SUM(BD7:BD9)</f>
        <v>510854</v>
      </c>
      <c r="BE6" s="9">
        <f t="shared" si="2"/>
        <v>679158</v>
      </c>
      <c r="BF6" s="9">
        <f t="shared" ref="BF6:BG6" si="3">SUM(BF7:BF9)</f>
        <v>682141</v>
      </c>
      <c r="BG6" s="9">
        <f t="shared" si="3"/>
        <v>737738</v>
      </c>
      <c r="BH6" s="9">
        <f t="shared" ref="BH6:BK6" si="4">SUM(BH7:BH9)</f>
        <v>917618</v>
      </c>
      <c r="BI6" s="9">
        <f t="shared" ref="BI6" si="5">SUM(BI7:BI9)</f>
        <v>769499</v>
      </c>
      <c r="BJ6" s="9">
        <f t="shared" si="4"/>
        <v>714161</v>
      </c>
      <c r="BK6" s="9">
        <f t="shared" si="4"/>
        <v>716374</v>
      </c>
      <c r="BL6" s="9">
        <f t="shared" ref="BL6:BN6" si="6">SUM(BL7:BL9)</f>
        <v>626128</v>
      </c>
      <c r="BM6" s="9">
        <f t="shared" si="6"/>
        <v>550921</v>
      </c>
      <c r="BN6" s="9">
        <f t="shared" si="6"/>
        <v>541712</v>
      </c>
      <c r="BO6" s="9">
        <f t="shared" ref="BO6:BP6" si="7">SUM(BO7:BO9)</f>
        <v>509489</v>
      </c>
      <c r="BP6" s="9">
        <f t="shared" si="7"/>
        <v>522027</v>
      </c>
      <c r="BQ6" s="9">
        <f t="shared" ref="BQ6:BU6" si="8">SUM(BQ7:BQ9)</f>
        <v>597723</v>
      </c>
      <c r="BR6" s="9">
        <f t="shared" si="8"/>
        <v>607465</v>
      </c>
      <c r="BS6" s="9">
        <f t="shared" si="8"/>
        <v>549849</v>
      </c>
      <c r="BT6" s="9">
        <f t="shared" si="8"/>
        <v>639441</v>
      </c>
      <c r="BU6" s="9">
        <f t="shared" si="8"/>
        <v>542568</v>
      </c>
      <c r="BW6" s="9">
        <f t="shared" ref="BW6:CD6" si="9">SUM(BW8:BW9)</f>
        <v>41966</v>
      </c>
      <c r="BX6" s="9">
        <f t="shared" si="9"/>
        <v>27142</v>
      </c>
      <c r="BY6" s="9">
        <f t="shared" si="9"/>
        <v>44714</v>
      </c>
      <c r="BZ6" s="9">
        <f t="shared" si="9"/>
        <v>36836</v>
      </c>
      <c r="CA6" s="9">
        <f t="shared" si="9"/>
        <v>27174</v>
      </c>
      <c r="CB6" s="9">
        <f t="shared" si="9"/>
        <v>19186</v>
      </c>
      <c r="CC6" s="9">
        <f t="shared" si="9"/>
        <v>28542</v>
      </c>
      <c r="CD6" s="9">
        <f t="shared" si="9"/>
        <v>37816</v>
      </c>
      <c r="CE6" s="9">
        <f>SUM(AI6:AL6)</f>
        <v>1096154</v>
      </c>
      <c r="CF6" s="9">
        <f>SUM(AM6:AP6)</f>
        <v>1108722</v>
      </c>
      <c r="CG6" s="9">
        <f>SUM(AQ6:AT6)</f>
        <v>1381056</v>
      </c>
      <c r="CH6" s="9">
        <f>SUM(AU6:AX6)</f>
        <v>1279550</v>
      </c>
      <c r="CI6" s="9">
        <f>SUM(AY6:BB6)</f>
        <v>1622019</v>
      </c>
      <c r="CJ6" s="9">
        <f>SUM(BC6:BF6)</f>
        <v>2389477</v>
      </c>
      <c r="CK6" s="9">
        <f>SUM(BG6:BJ6)</f>
        <v>3139016</v>
      </c>
      <c r="CL6" s="9">
        <f>SUM(BO6:BR6)</f>
        <v>2236704</v>
      </c>
      <c r="CM6" s="9">
        <f>SUM(BS6:BU6)</f>
        <v>1731858</v>
      </c>
    </row>
    <row r="7" spans="2:91" ht="15.75" thickBot="1">
      <c r="B7" s="3" t="s">
        <v>202</v>
      </c>
      <c r="C7" s="98">
        <v>161671</v>
      </c>
      <c r="D7" s="98">
        <v>260446</v>
      </c>
      <c r="E7" s="98">
        <v>238722</v>
      </c>
      <c r="F7" s="98">
        <v>176109</v>
      </c>
      <c r="G7" s="98">
        <v>80198</v>
      </c>
      <c r="H7" s="98">
        <v>93927</v>
      </c>
      <c r="I7" s="98">
        <v>141760</v>
      </c>
      <c r="J7" s="98">
        <v>107726</v>
      </c>
      <c r="K7" s="98">
        <v>133448</v>
      </c>
      <c r="L7" s="98">
        <v>171486</v>
      </c>
      <c r="M7" s="98">
        <v>164997</v>
      </c>
      <c r="N7" s="98">
        <v>158413</v>
      </c>
      <c r="O7" s="98">
        <v>185808</v>
      </c>
      <c r="P7" s="98">
        <v>161822</v>
      </c>
      <c r="Q7" s="98">
        <v>133889</v>
      </c>
      <c r="R7" s="98">
        <v>123979</v>
      </c>
      <c r="S7" s="98">
        <v>172358</v>
      </c>
      <c r="T7" s="98">
        <v>185701</v>
      </c>
      <c r="U7" s="98">
        <v>159516</v>
      </c>
      <c r="V7" s="98">
        <v>162653</v>
      </c>
      <c r="W7" s="98">
        <v>182719</v>
      </c>
      <c r="X7" s="98">
        <v>176200</v>
      </c>
      <c r="Y7" s="98">
        <v>218370</v>
      </c>
      <c r="Z7" s="98">
        <v>203297</v>
      </c>
      <c r="AA7" s="98">
        <v>223852</v>
      </c>
      <c r="AB7" s="98">
        <v>213385</v>
      </c>
      <c r="AC7" s="98">
        <v>190536</v>
      </c>
      <c r="AD7" s="98">
        <v>171932</v>
      </c>
      <c r="AE7" s="98">
        <v>201381</v>
      </c>
      <c r="AF7" s="98">
        <v>242520</v>
      </c>
      <c r="AG7" s="98">
        <v>216685</v>
      </c>
      <c r="AH7" s="98">
        <v>237828</v>
      </c>
      <c r="AI7" s="98">
        <v>297172</v>
      </c>
      <c r="AJ7" s="98">
        <v>260772</v>
      </c>
      <c r="AK7" s="98">
        <v>231241</v>
      </c>
      <c r="AL7" s="98">
        <v>231407</v>
      </c>
      <c r="AM7" s="62">
        <v>276298</v>
      </c>
      <c r="AN7" s="62">
        <v>260932</v>
      </c>
      <c r="AO7" s="62">
        <v>268213</v>
      </c>
      <c r="AP7" s="62">
        <v>225121</v>
      </c>
      <c r="AQ7" s="62">
        <v>338963</v>
      </c>
      <c r="AR7" s="62">
        <v>293700</v>
      </c>
      <c r="AS7" s="62">
        <v>350800</v>
      </c>
      <c r="AT7" s="62">
        <v>259369</v>
      </c>
      <c r="AU7" s="62">
        <v>313809</v>
      </c>
      <c r="AV7" s="62">
        <v>289571</v>
      </c>
      <c r="AW7" s="62">
        <v>265802</v>
      </c>
      <c r="AX7" s="62">
        <v>239845</v>
      </c>
      <c r="AY7" s="62">
        <v>325686</v>
      </c>
      <c r="AZ7" s="62">
        <v>363157</v>
      </c>
      <c r="BA7" s="62">
        <v>329116</v>
      </c>
      <c r="BB7" s="62">
        <f>1436228-AY7-AZ7-BA7</f>
        <v>418269</v>
      </c>
      <c r="BC7" s="62">
        <v>467548</v>
      </c>
      <c r="BD7" s="62">
        <f>943791-BC7</f>
        <v>476243</v>
      </c>
      <c r="BE7" s="62">
        <f>1570986-BC7-BD7</f>
        <v>627195</v>
      </c>
      <c r="BF7" s="62">
        <f>2222971-BC7-BD7-BE7</f>
        <v>651985</v>
      </c>
      <c r="BG7" s="62">
        <v>709204</v>
      </c>
      <c r="BH7" s="62">
        <v>881831</v>
      </c>
      <c r="BI7" s="62">
        <f>2314475-BH7-BG7</f>
        <v>723440</v>
      </c>
      <c r="BJ7" s="62">
        <f>2995007-BH7-BG7-BI7</f>
        <v>680532</v>
      </c>
      <c r="BK7" s="62">
        <v>676799</v>
      </c>
      <c r="BL7" s="62">
        <f>1254952-BK7</f>
        <v>578153</v>
      </c>
      <c r="BM7" s="62">
        <f>1756041-BK7-BL7</f>
        <v>501089</v>
      </c>
      <c r="BN7" s="62">
        <f>2257325-BL7-BM7-BK7</f>
        <v>501284</v>
      </c>
      <c r="BO7" s="62">
        <v>481406</v>
      </c>
      <c r="BP7" s="62">
        <f>964236-BO7</f>
        <v>482830</v>
      </c>
      <c r="BQ7" s="62">
        <f>1516437-BP7-BO7</f>
        <v>552201</v>
      </c>
      <c r="BR7" s="62">
        <v>568444</v>
      </c>
      <c r="BS7" s="62">
        <v>515270</v>
      </c>
      <c r="BT7" s="62">
        <v>596481</v>
      </c>
      <c r="BU7" s="62">
        <v>492594</v>
      </c>
      <c r="BV7" s="15"/>
      <c r="BW7" s="2">
        <f t="shared" ref="BW7" si="10">SUM(C7:F7)</f>
        <v>836948</v>
      </c>
      <c r="BX7" s="2">
        <f>SUM(G7:J7)</f>
        <v>423611</v>
      </c>
      <c r="BY7" s="2">
        <f>SUM(K7:N7)</f>
        <v>628344</v>
      </c>
      <c r="BZ7" s="2">
        <f>SUM(O7:R7)</f>
        <v>605498</v>
      </c>
      <c r="CA7" s="2">
        <f>SUM(S7:V7)</f>
        <v>680228</v>
      </c>
      <c r="CB7" s="2">
        <f>SUM(W7:Z7)</f>
        <v>780586</v>
      </c>
      <c r="CC7" s="2">
        <f t="shared" ref="CC7" si="11">SUM(AA7:AD7)</f>
        <v>799705</v>
      </c>
      <c r="CD7" s="2">
        <f>SUM(AE7:AH7)</f>
        <v>898414</v>
      </c>
      <c r="CE7" s="2">
        <f>SUM(AI7:AL7)</f>
        <v>1020592</v>
      </c>
      <c r="CF7" s="2">
        <f>SUM(AM7:AP7)</f>
        <v>1030564</v>
      </c>
      <c r="CG7" s="2">
        <f>SUM(AQ7:AT7)</f>
        <v>1242832</v>
      </c>
      <c r="CH7" s="2">
        <f>SUM(AU7:AX7)</f>
        <v>1109027</v>
      </c>
      <c r="CI7" s="2">
        <f>SUM(AY7:BB7)</f>
        <v>1436228</v>
      </c>
      <c r="CJ7" s="2">
        <f>SUM(BC7:BF7)</f>
        <v>2222971</v>
      </c>
      <c r="CK7" s="2">
        <f t="shared" ref="CK7:CK9" si="12">SUM(BG7:BJ7)</f>
        <v>2995007</v>
      </c>
      <c r="CL7" s="2">
        <f t="shared" ref="CL7:CL9" si="13">SUM(BO7:BR7)</f>
        <v>2084881</v>
      </c>
      <c r="CM7" s="2">
        <f>SUM(BS7:BU7)</f>
        <v>1604345</v>
      </c>
    </row>
    <row r="8" spans="2:91">
      <c r="B8" s="3" t="s">
        <v>200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62"/>
      <c r="AM8" s="62"/>
      <c r="AN8" s="62"/>
      <c r="AO8" s="62"/>
      <c r="AP8" s="62"/>
      <c r="AQ8" s="79">
        <v>0</v>
      </c>
      <c r="AR8" s="79">
        <v>23240</v>
      </c>
      <c r="AS8" s="79">
        <v>26882</v>
      </c>
      <c r="AT8" s="79">
        <v>20983</v>
      </c>
      <c r="AU8" s="79">
        <v>16823</v>
      </c>
      <c r="AV8" s="79">
        <v>20625</v>
      </c>
      <c r="AW8" s="79">
        <v>29922</v>
      </c>
      <c r="AX8" s="79">
        <v>26567</v>
      </c>
      <c r="AY8" s="79">
        <v>11482</v>
      </c>
      <c r="AZ8" s="93">
        <v>20079</v>
      </c>
      <c r="BA8" s="93">
        <f>61783-AZ8-AY8</f>
        <v>30222</v>
      </c>
      <c r="BB8" s="93">
        <f>82698-AY8-BA8-AZ8</f>
        <v>20915</v>
      </c>
      <c r="BC8" s="93">
        <v>19428</v>
      </c>
      <c r="BD8" s="93">
        <f>42635-BC8</f>
        <v>23207</v>
      </c>
      <c r="BE8" s="62">
        <f>73536-BC8-BD8</f>
        <v>30901</v>
      </c>
      <c r="BF8" s="62">
        <f>93184-BC8-BD8-BE8</f>
        <v>19648</v>
      </c>
      <c r="BG8" s="62">
        <v>16652</v>
      </c>
      <c r="BH8" s="62">
        <v>23207</v>
      </c>
      <c r="BI8" s="62">
        <f>73334-BG8-BH8</f>
        <v>33475</v>
      </c>
      <c r="BJ8" s="62">
        <f>96759-BG8-BH8-BI8</f>
        <v>23425</v>
      </c>
      <c r="BK8" s="62">
        <v>25553</v>
      </c>
      <c r="BL8" s="62">
        <f>56915-BK8</f>
        <v>31362</v>
      </c>
      <c r="BM8" s="62">
        <f>90932-BK8-BL8</f>
        <v>34017</v>
      </c>
      <c r="BN8" s="62">
        <f>117807-BL8-BM8-BK8</f>
        <v>26875</v>
      </c>
      <c r="BO8" s="62">
        <v>15658</v>
      </c>
      <c r="BP8" s="62">
        <f>41373-BO8</f>
        <v>25715</v>
      </c>
      <c r="BQ8" s="62">
        <f>70066-BP8-BO8</f>
        <v>28693</v>
      </c>
      <c r="BR8" s="62">
        <v>24039</v>
      </c>
      <c r="BS8" s="62">
        <v>20259</v>
      </c>
      <c r="BT8" s="62">
        <v>30112</v>
      </c>
      <c r="BU8" s="62">
        <v>34388</v>
      </c>
      <c r="BV8" s="2"/>
      <c r="BW8" s="2">
        <f t="shared" ref="BW8" si="14">SUM(C8:F8)</f>
        <v>0</v>
      </c>
      <c r="BX8" s="2">
        <f>SUM(G8:J8)</f>
        <v>0</v>
      </c>
      <c r="BY8" s="2">
        <f>SUM(K8:N8)</f>
        <v>0</v>
      </c>
      <c r="BZ8" s="2">
        <f>SUM(O8:R8)</f>
        <v>0</v>
      </c>
      <c r="CA8" s="2">
        <f>SUM(S8:V8)</f>
        <v>0</v>
      </c>
      <c r="CB8" s="2">
        <f>SUM(W8:Z8)</f>
        <v>0</v>
      </c>
      <c r="CC8" s="2">
        <f t="shared" ref="CC8" si="15">SUM(AA8:AD8)</f>
        <v>0</v>
      </c>
      <c r="CD8" s="2">
        <f>SUM(AE8:AH8)</f>
        <v>0</v>
      </c>
      <c r="CE8" s="2">
        <f>SUM(AI8:AL8)</f>
        <v>0</v>
      </c>
      <c r="CF8" s="2">
        <f>SUM(AM8:AP8)</f>
        <v>0</v>
      </c>
      <c r="CG8" s="2">
        <f>SUM(AQ8:AT8)</f>
        <v>71105</v>
      </c>
      <c r="CH8" s="2">
        <f>SUM(AU8:AX8)</f>
        <v>93937</v>
      </c>
      <c r="CI8" s="2">
        <f t="shared" ref="CI8:CI9" si="16">SUM(AY8:BB8)</f>
        <v>82698</v>
      </c>
      <c r="CJ8" s="2">
        <f>SUM(BC8:BF8)</f>
        <v>93184</v>
      </c>
      <c r="CK8" s="2">
        <f t="shared" si="12"/>
        <v>96759</v>
      </c>
      <c r="CL8" s="2">
        <f t="shared" si="13"/>
        <v>94105</v>
      </c>
      <c r="CM8" s="2">
        <f>SUM(BS8:BU8)</f>
        <v>84759</v>
      </c>
    </row>
    <row r="9" spans="2:91">
      <c r="B9" s="3" t="s">
        <v>166</v>
      </c>
      <c r="C9" s="16">
        <v>8586</v>
      </c>
      <c r="D9" s="16">
        <v>11175</v>
      </c>
      <c r="E9" s="16">
        <v>11631</v>
      </c>
      <c r="F9" s="16">
        <v>10574</v>
      </c>
      <c r="G9" s="16">
        <v>5418</v>
      </c>
      <c r="H9" s="16">
        <v>6687</v>
      </c>
      <c r="I9" s="16">
        <v>7848</v>
      </c>
      <c r="J9" s="16">
        <v>7189</v>
      </c>
      <c r="K9" s="16">
        <v>9183</v>
      </c>
      <c r="L9" s="16">
        <v>17024</v>
      </c>
      <c r="M9" s="16">
        <v>9750</v>
      </c>
      <c r="N9" s="16">
        <v>8757</v>
      </c>
      <c r="O9" s="16">
        <v>9887</v>
      </c>
      <c r="P9" s="16">
        <v>12238</v>
      </c>
      <c r="Q9" s="16">
        <v>6982</v>
      </c>
      <c r="R9" s="16">
        <v>7729</v>
      </c>
      <c r="S9" s="16">
        <v>10082</v>
      </c>
      <c r="T9" s="16">
        <v>4596</v>
      </c>
      <c r="U9" s="16">
        <v>7128</v>
      </c>
      <c r="V9" s="16">
        <v>5368</v>
      </c>
      <c r="W9" s="16">
        <v>2974</v>
      </c>
      <c r="X9" s="16">
        <v>5939</v>
      </c>
      <c r="Y9" s="16">
        <v>6066</v>
      </c>
      <c r="Z9" s="16">
        <v>4207</v>
      </c>
      <c r="AA9" s="16">
        <v>6317</v>
      </c>
      <c r="AB9" s="16">
        <v>7250</v>
      </c>
      <c r="AC9" s="16">
        <v>10088</v>
      </c>
      <c r="AD9" s="16">
        <v>4887</v>
      </c>
      <c r="AE9" s="16">
        <v>8846</v>
      </c>
      <c r="AF9" s="16">
        <v>8233</v>
      </c>
      <c r="AG9" s="16">
        <v>8200</v>
      </c>
      <c r="AH9" s="16">
        <v>12537</v>
      </c>
      <c r="AI9" s="16">
        <v>7995</v>
      </c>
      <c r="AJ9" s="16">
        <v>6084</v>
      </c>
      <c r="AK9" s="16">
        <v>10011</v>
      </c>
      <c r="AL9" s="62">
        <v>51472</v>
      </c>
      <c r="AM9" s="62">
        <v>26597</v>
      </c>
      <c r="AN9" s="62">
        <v>9720</v>
      </c>
      <c r="AO9" s="62">
        <v>8206</v>
      </c>
      <c r="AP9" s="62">
        <v>33635</v>
      </c>
      <c r="AQ9" s="79">
        <v>9537</v>
      </c>
      <c r="AR9" s="79">
        <f>54801-AR8</f>
        <v>31561</v>
      </c>
      <c r="AS9" s="79">
        <f>42254-AS8</f>
        <v>15372</v>
      </c>
      <c r="AT9" s="79">
        <f>31632-AT8</f>
        <v>10649</v>
      </c>
      <c r="AU9" s="79">
        <v>18149</v>
      </c>
      <c r="AV9" s="79">
        <f>34648-AU9</f>
        <v>16499</v>
      </c>
      <c r="AW9" s="79">
        <f>51597-29922</f>
        <v>21675</v>
      </c>
      <c r="AX9" s="79">
        <v>20263</v>
      </c>
      <c r="AY9" s="79">
        <v>9014</v>
      </c>
      <c r="AZ9" s="79">
        <v>43431</v>
      </c>
      <c r="BA9" s="93">
        <f>78400-AZ9-AY9</f>
        <v>25955</v>
      </c>
      <c r="BB9" s="93">
        <f>103093-AY9-BA9-AZ9</f>
        <v>24693</v>
      </c>
      <c r="BC9" s="93">
        <v>30348</v>
      </c>
      <c r="BD9" s="93">
        <f>41752-BC9</f>
        <v>11404</v>
      </c>
      <c r="BE9" s="93">
        <f>62814-BC9-BD9</f>
        <v>21062</v>
      </c>
      <c r="BF9" s="93">
        <f>73322-BC9-BD9-BE9</f>
        <v>10508</v>
      </c>
      <c r="BG9" s="93">
        <v>11882</v>
      </c>
      <c r="BH9" s="93">
        <v>12580</v>
      </c>
      <c r="BI9" s="93">
        <f>37046-BG9-BH9</f>
        <v>12584</v>
      </c>
      <c r="BJ9" s="93">
        <f>47250-BG9-BH9-BI9</f>
        <v>10204</v>
      </c>
      <c r="BK9" s="93">
        <v>14022</v>
      </c>
      <c r="BL9" s="93">
        <f>30635-BK9</f>
        <v>16613</v>
      </c>
      <c r="BM9" s="93">
        <f>46450-BK9-BL9</f>
        <v>15815</v>
      </c>
      <c r="BN9" s="93">
        <f>60003-BL9-BM9-BK9</f>
        <v>13553</v>
      </c>
      <c r="BO9" s="93">
        <v>12425</v>
      </c>
      <c r="BP9" s="93">
        <f>25907-BO9</f>
        <v>13482</v>
      </c>
      <c r="BQ9" s="93">
        <f>42736-BP9-BO9</f>
        <v>16829</v>
      </c>
      <c r="BR9" s="93">
        <v>14982</v>
      </c>
      <c r="BS9" s="93">
        <v>14320</v>
      </c>
      <c r="BT9" s="93">
        <v>12848</v>
      </c>
      <c r="BU9" s="93">
        <v>15586</v>
      </c>
      <c r="BV9" s="2"/>
      <c r="BW9" s="2">
        <f t="shared" ref="BW9" si="17">SUM(C9:F9)</f>
        <v>41966</v>
      </c>
      <c r="BX9" s="2">
        <f>SUM(G9:J9)</f>
        <v>27142</v>
      </c>
      <c r="BY9" s="2">
        <f>SUM(K9:N9)</f>
        <v>44714</v>
      </c>
      <c r="BZ9" s="2">
        <f>SUM(O9:R9)</f>
        <v>36836</v>
      </c>
      <c r="CA9" s="2">
        <f>SUM(S9:V9)</f>
        <v>27174</v>
      </c>
      <c r="CB9" s="2">
        <f>SUM(W9:Z9)</f>
        <v>19186</v>
      </c>
      <c r="CC9" s="2">
        <f t="shared" ref="CC9" si="18">SUM(AA9:AD9)</f>
        <v>28542</v>
      </c>
      <c r="CD9" s="2">
        <f>SUM(AE9:AH9)</f>
        <v>37816</v>
      </c>
      <c r="CE9" s="2">
        <f>SUM(AI9:AL9)</f>
        <v>75562</v>
      </c>
      <c r="CF9" s="2">
        <f>SUM(AM9:AP9)</f>
        <v>78158</v>
      </c>
      <c r="CG9" s="2">
        <f>SUM(AQ9:AT9)</f>
        <v>67119</v>
      </c>
      <c r="CH9" s="2">
        <f>SUM(AU9:AX9)</f>
        <v>76586</v>
      </c>
      <c r="CI9" s="2">
        <f t="shared" si="16"/>
        <v>103093</v>
      </c>
      <c r="CJ9" s="2">
        <f>SUM(BC9:BF9)</f>
        <v>73322</v>
      </c>
      <c r="CK9" s="2">
        <f t="shared" si="12"/>
        <v>47250</v>
      </c>
      <c r="CL9" s="2">
        <f t="shared" si="13"/>
        <v>57718</v>
      </c>
      <c r="CM9" s="2">
        <f>SUM(BS9:BU9)</f>
        <v>42754</v>
      </c>
    </row>
    <row r="10" spans="2:91">
      <c r="AU10" s="90"/>
      <c r="AV10" s="90"/>
      <c r="AW10" s="90"/>
      <c r="AX10" s="90"/>
      <c r="AY10" s="95"/>
      <c r="AZ10" s="95"/>
      <c r="BA10" s="95"/>
      <c r="BB10" s="95"/>
      <c r="BC10" s="95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1"/>
    </row>
    <row r="11" spans="2:91">
      <c r="AL11" s="60"/>
      <c r="AM11" s="60"/>
      <c r="AN11" s="60"/>
      <c r="AO11" s="60"/>
      <c r="AP11" s="60"/>
      <c r="AQ11" s="54"/>
      <c r="AR11" s="54"/>
      <c r="AS11" s="54"/>
      <c r="AT11" s="54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2"/>
      <c r="BW11" s="16"/>
    </row>
    <row r="12" spans="2:91">
      <c r="AQ12" s="16"/>
      <c r="AR12" s="16"/>
      <c r="AS12" s="16"/>
      <c r="AT12" s="16"/>
      <c r="AU12" s="16"/>
      <c r="AV12" s="16"/>
      <c r="AW12" s="16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2"/>
    </row>
    <row r="13" spans="2:91">
      <c r="AP13" s="81"/>
      <c r="AQ13" s="81"/>
      <c r="AR13" s="81"/>
      <c r="AS13" s="81"/>
      <c r="AT13" s="81"/>
      <c r="AU13" s="15"/>
      <c r="AV13" s="15"/>
      <c r="AW13" s="15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2"/>
    </row>
    <row r="14" spans="2:91">
      <c r="AL14" s="16"/>
      <c r="AM14" s="73"/>
      <c r="AN14" s="73"/>
      <c r="AO14" s="73"/>
      <c r="AP14" s="73"/>
      <c r="AQ14" s="73"/>
      <c r="AR14" s="74"/>
      <c r="AS14" s="74"/>
      <c r="AT14" s="74"/>
      <c r="AU14" s="73"/>
      <c r="AV14" s="73"/>
      <c r="AW14" s="73"/>
      <c r="AX14" s="86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2"/>
      <c r="CD14" s="16"/>
      <c r="CE14" s="16"/>
    </row>
    <row r="15" spans="2:91"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2"/>
    </row>
    <row r="16" spans="2:91">
      <c r="AM16" s="74"/>
      <c r="AN16" s="75"/>
      <c r="AO16" s="75"/>
      <c r="AP16" s="75"/>
      <c r="AQ16" s="75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</row>
    <row r="17" spans="39:75">
      <c r="AM17" s="74"/>
      <c r="AN17" s="76"/>
      <c r="AO17" s="76"/>
      <c r="AP17" s="76"/>
      <c r="AQ17" s="76"/>
      <c r="AR17" s="74"/>
      <c r="AS17" s="74"/>
      <c r="AT17" s="74"/>
      <c r="AU17" s="74"/>
      <c r="AV17" s="74"/>
      <c r="AW17" s="74"/>
      <c r="AX17" s="74"/>
      <c r="AY17" s="74"/>
      <c r="AZ17" s="7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</row>
    <row r="18" spans="39:75">
      <c r="AM18" s="74"/>
      <c r="AN18" s="77"/>
      <c r="AO18" s="77"/>
      <c r="AP18" s="77"/>
      <c r="AQ18" s="77"/>
      <c r="AR18" s="74"/>
      <c r="AS18" s="74"/>
      <c r="AT18" s="74"/>
      <c r="AU18" s="74"/>
      <c r="AV18" s="74"/>
      <c r="AW18" s="74"/>
      <c r="AX18" s="73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</row>
    <row r="19" spans="39:75">
      <c r="AM19" s="74"/>
      <c r="AN19" s="78"/>
      <c r="AO19" s="78"/>
      <c r="AP19" s="78"/>
      <c r="AQ19" s="78"/>
      <c r="AR19" s="74"/>
      <c r="AS19" s="74"/>
      <c r="AT19" s="74"/>
      <c r="AU19" s="74"/>
      <c r="AV19" s="74"/>
      <c r="AW19" s="74"/>
      <c r="AX19" s="73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</row>
    <row r="20" spans="39:75">
      <c r="AM20" s="74"/>
      <c r="AN20" s="79"/>
      <c r="AO20" s="79"/>
      <c r="AP20" s="79"/>
      <c r="AQ20" s="79"/>
      <c r="AR20" s="74"/>
      <c r="AS20" s="74"/>
      <c r="AT20" s="74"/>
      <c r="AU20" s="74"/>
      <c r="AV20" s="74"/>
      <c r="AW20" s="74"/>
      <c r="AX20" s="73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</row>
    <row r="21" spans="39:75">
      <c r="AM21" s="74"/>
      <c r="AN21" s="79"/>
      <c r="AO21" s="79"/>
      <c r="AP21" s="79"/>
      <c r="AQ21" s="79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</row>
    <row r="22" spans="39:75"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6"/>
      <c r="BW22" s="88"/>
    </row>
    <row r="23" spans="39:75"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6"/>
      <c r="BW23" s="88"/>
    </row>
    <row r="24" spans="39:75"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16"/>
      <c r="BW24" s="88"/>
    </row>
    <row r="25" spans="39:75"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3" max="1048575" man="1"/>
  </colBreaks>
  <ignoredErrors>
    <ignoredError sqref="BW8:CH9 BW7:CH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4"/>
  <dimension ref="B2:CP20"/>
  <sheetViews>
    <sheetView showGridLines="0" zoomScale="80" zoomScaleNormal="80" zoomScaleSheetLayoutView="100" workbookViewId="0">
      <pane xSplit="2" ySplit="5" topLeftCell="BG6" activePane="bottomRight" state="frozen"/>
      <selection activeCell="BV30" sqref="BV30"/>
      <selection pane="topRight" activeCell="BV30" sqref="BV30"/>
      <selection pane="bottomLeft" activeCell="BV30" sqref="BV30"/>
      <selection pane="bottomRight" activeCell="BV30" sqref="BV30"/>
    </sheetView>
  </sheetViews>
  <sheetFormatPr defaultColWidth="9.140625" defaultRowHeight="15"/>
  <cols>
    <col min="1" max="1" width="2" customWidth="1"/>
    <col min="2" max="2" width="44.855468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0.140625" customWidth="1"/>
    <col min="44" max="49" width="11.5703125" bestFit="1" customWidth="1"/>
    <col min="50" max="73" width="11.5703125" customWidth="1"/>
    <col min="74" max="74" width="11.5703125" bestFit="1" customWidth="1"/>
    <col min="75" max="79" width="11.7109375" hidden="1" customWidth="1"/>
    <col min="80" max="81" width="11.28515625" hidden="1" customWidth="1"/>
    <col min="82" max="82" width="10.42578125" hidden="1" customWidth="1"/>
    <col min="83" max="83" width="10.5703125" hidden="1" customWidth="1"/>
    <col min="84" max="89" width="11.28515625" hidden="1" customWidth="1"/>
    <col min="90" max="91" width="11.28515625" bestFit="1" customWidth="1"/>
  </cols>
  <sheetData>
    <row r="2" spans="2:94" ht="21">
      <c r="B2" s="31" t="s">
        <v>135</v>
      </c>
    </row>
    <row r="3" spans="2:94" ht="15.75">
      <c r="B3" s="63" t="s">
        <v>169</v>
      </c>
      <c r="BV3" s="63" t="s">
        <v>167</v>
      </c>
    </row>
    <row r="4" spans="2:94" s="19" customFormat="1" ht="7.5" customHeight="1" thickBot="1"/>
    <row r="5" spans="2:94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W5" s="8">
        <v>2008</v>
      </c>
      <c r="BX5" s="8">
        <v>2009</v>
      </c>
      <c r="BY5" s="8">
        <v>2010</v>
      </c>
      <c r="BZ5" s="8">
        <v>2011</v>
      </c>
      <c r="CA5" s="8">
        <v>2012</v>
      </c>
      <c r="CB5" s="8">
        <v>2013</v>
      </c>
      <c r="CC5" s="8">
        <v>2014</v>
      </c>
      <c r="CD5" s="8">
        <v>2015</v>
      </c>
      <c r="CE5" s="8">
        <v>2016</v>
      </c>
      <c r="CF5" s="8">
        <v>2017</v>
      </c>
      <c r="CG5" s="8">
        <v>2018</v>
      </c>
      <c r="CH5" s="8">
        <v>2019</v>
      </c>
      <c r="CI5" s="8">
        <v>2020</v>
      </c>
      <c r="CJ5" s="8">
        <v>2021</v>
      </c>
      <c r="CK5" s="8">
        <v>2022</v>
      </c>
      <c r="CL5" s="8">
        <v>2024</v>
      </c>
      <c r="CM5" s="8">
        <v>2025</v>
      </c>
    </row>
    <row r="6" spans="2:94" ht="15.75" thickBot="1">
      <c r="B6" s="9" t="s">
        <v>111</v>
      </c>
      <c r="C6" s="9">
        <v>50951</v>
      </c>
      <c r="D6" s="9">
        <v>134419</v>
      </c>
      <c r="E6" s="9">
        <v>133856</v>
      </c>
      <c r="F6" s="9">
        <v>79685</v>
      </c>
      <c r="G6" s="9">
        <v>27986</v>
      </c>
      <c r="H6" s="9">
        <v>9956</v>
      </c>
      <c r="I6" s="9">
        <v>-1478</v>
      </c>
      <c r="J6" s="9">
        <v>2603</v>
      </c>
      <c r="K6" s="9">
        <v>24101</v>
      </c>
      <c r="L6" s="9">
        <v>59160</v>
      </c>
      <c r="M6" s="9">
        <v>47633</v>
      </c>
      <c r="N6" s="9">
        <v>30900</v>
      </c>
      <c r="O6" s="9">
        <v>45031</v>
      </c>
      <c r="P6" s="9">
        <v>32736</v>
      </c>
      <c r="Q6" s="9">
        <v>16689</v>
      </c>
      <c r="R6" s="9">
        <v>14581</v>
      </c>
      <c r="S6" s="9">
        <v>26983</v>
      </c>
      <c r="T6" s="9">
        <v>29301</v>
      </c>
      <c r="U6" s="9">
        <v>34805</v>
      </c>
      <c r="V6" s="9">
        <v>6661</v>
      </c>
      <c r="W6" s="9">
        <v>12734</v>
      </c>
      <c r="X6" s="9">
        <v>23599</v>
      </c>
      <c r="Y6" s="9">
        <v>28410</v>
      </c>
      <c r="Z6" s="9">
        <v>28394</v>
      </c>
      <c r="AA6" s="9">
        <v>32864</v>
      </c>
      <c r="AB6" s="9">
        <v>36140</v>
      </c>
      <c r="AC6" s="9">
        <v>21335</v>
      </c>
      <c r="AD6" s="9">
        <v>13014</v>
      </c>
      <c r="AE6" s="9">
        <v>41734</v>
      </c>
      <c r="AF6" s="9">
        <v>91584</v>
      </c>
      <c r="AG6" s="9">
        <v>36109</v>
      </c>
      <c r="AH6" s="9">
        <v>36109</v>
      </c>
      <c r="AI6" s="9">
        <v>21188</v>
      </c>
      <c r="AJ6" s="9">
        <v>-29787</v>
      </c>
      <c r="AK6" s="9">
        <v>-9366</v>
      </c>
      <c r="AL6" s="9">
        <v>59866</v>
      </c>
      <c r="AM6" s="9">
        <v>102351</v>
      </c>
      <c r="AN6" s="9">
        <v>77312</v>
      </c>
      <c r="AO6" s="9">
        <v>56397</v>
      </c>
      <c r="AP6" s="9">
        <v>72828</v>
      </c>
      <c r="AQ6" s="9">
        <v>81059</v>
      </c>
      <c r="AR6" s="9">
        <v>87551</v>
      </c>
      <c r="AS6" s="9">
        <v>176309</v>
      </c>
      <c r="AT6" s="9">
        <v>4981</v>
      </c>
      <c r="AU6" s="9">
        <v>55540</v>
      </c>
      <c r="AV6" s="9">
        <f>89244-AU6</f>
        <v>33704</v>
      </c>
      <c r="AW6" s="9">
        <f>268747-AV6-AU6</f>
        <v>179503</v>
      </c>
      <c r="AX6" s="12">
        <f>255380-AU6-AV6-AW6</f>
        <v>-13367</v>
      </c>
      <c r="AY6" s="9">
        <v>7411</v>
      </c>
      <c r="AZ6" s="9">
        <v>27249</v>
      </c>
      <c r="BA6" s="9">
        <f>44060-AZ6-AY6</f>
        <v>9400</v>
      </c>
      <c r="BB6" s="9">
        <f>71865-AY6-BA6-AZ6</f>
        <v>27805</v>
      </c>
      <c r="BC6" s="9">
        <v>71430</v>
      </c>
      <c r="BD6" s="9">
        <f>203799-BC6</f>
        <v>132369</v>
      </c>
      <c r="BE6" s="9">
        <f>427250-BC6-BD6</f>
        <v>223451</v>
      </c>
      <c r="BF6" s="9">
        <f>701661-BC6-BD6-BE6</f>
        <v>274411</v>
      </c>
      <c r="BG6" s="9">
        <v>301132</v>
      </c>
      <c r="BH6" s="9">
        <f>739099-BG6</f>
        <v>437967</v>
      </c>
      <c r="BI6" s="9">
        <f>1062288-BG6-BH6</f>
        <v>323189</v>
      </c>
      <c r="BJ6" s="9">
        <f>1244362-BG6-BH6-BI6</f>
        <v>182074</v>
      </c>
      <c r="BK6" s="9">
        <v>165106</v>
      </c>
      <c r="BL6" s="9">
        <f>292591-BK6</f>
        <v>127485</v>
      </c>
      <c r="BM6" s="9">
        <f>373543-BK6-BL6</f>
        <v>80952</v>
      </c>
      <c r="BN6" s="9">
        <f>419637-BL6-BM6-BK6</f>
        <v>46094</v>
      </c>
      <c r="BO6" s="9">
        <v>61900</v>
      </c>
      <c r="BP6" s="9">
        <f>131949-61900</f>
        <v>70049</v>
      </c>
      <c r="BQ6" s="9">
        <f>131949-61900</f>
        <v>70049</v>
      </c>
      <c r="BR6" s="9">
        <v>111690</v>
      </c>
      <c r="BS6" s="9">
        <v>39742</v>
      </c>
      <c r="BT6" s="9">
        <v>29950</v>
      </c>
      <c r="BU6" s="9">
        <v>59431</v>
      </c>
      <c r="BV6" s="18"/>
      <c r="BW6" s="9">
        <f>SUM(C6:F6)</f>
        <v>398911</v>
      </c>
      <c r="BX6" s="9">
        <f>SUM(G6:J6)</f>
        <v>39067</v>
      </c>
      <c r="BY6" s="9">
        <f>SUM(K6:N6)</f>
        <v>161794</v>
      </c>
      <c r="BZ6" s="9">
        <f>SUM(O6:R6)</f>
        <v>109037</v>
      </c>
      <c r="CA6" s="9">
        <f>SUM(S6:V6)</f>
        <v>97750</v>
      </c>
      <c r="CB6" s="9">
        <f>SUM(W6:Z6)</f>
        <v>93137</v>
      </c>
      <c r="CC6" s="9">
        <f>SUM(AA6:AD6)</f>
        <v>103353</v>
      </c>
      <c r="CD6" s="9">
        <f>SUM(AE6:AH6)</f>
        <v>205536</v>
      </c>
      <c r="CE6" s="9">
        <f>SUM(AI6:AL6)</f>
        <v>41901</v>
      </c>
      <c r="CF6" s="9">
        <f>SUM(AM6:AP6)</f>
        <v>308888</v>
      </c>
      <c r="CG6" s="9">
        <f>SUM(AQ6:AT6)</f>
        <v>349900</v>
      </c>
      <c r="CH6" s="9">
        <f>SUM(AU6:AX6)</f>
        <v>255380</v>
      </c>
      <c r="CI6" s="9">
        <f>SUM(AY6:BB6)</f>
        <v>71865</v>
      </c>
      <c r="CJ6" s="9">
        <f>SUM(BC6:BF6)</f>
        <v>701661</v>
      </c>
      <c r="CK6" s="9">
        <f>SUM(BG6:BJ6)</f>
        <v>1244362</v>
      </c>
      <c r="CL6" s="9">
        <f>SUM(BO6:BR6)</f>
        <v>313688</v>
      </c>
      <c r="CM6" s="9">
        <f>SUM(BS6:BU6)</f>
        <v>129123</v>
      </c>
      <c r="CN6" s="15"/>
      <c r="CO6" s="16"/>
    </row>
    <row r="7" spans="2:94">
      <c r="B7" s="3" t="s">
        <v>109</v>
      </c>
      <c r="C7" s="2">
        <v>-19618</v>
      </c>
      <c r="D7" s="2">
        <v>-48204</v>
      </c>
      <c r="E7" s="2">
        <v>-35625</v>
      </c>
      <c r="F7" s="2">
        <v>-24920</v>
      </c>
      <c r="G7" s="2">
        <v>-10083</v>
      </c>
      <c r="H7" s="2">
        <v>-3940</v>
      </c>
      <c r="I7" s="2">
        <v>103</v>
      </c>
      <c r="J7" s="2">
        <v>348</v>
      </c>
      <c r="K7" s="2">
        <v>-9129</v>
      </c>
      <c r="L7" s="2">
        <v>-22005</v>
      </c>
      <c r="M7" s="2">
        <v>-17423</v>
      </c>
      <c r="N7" s="2">
        <v>-911</v>
      </c>
      <c r="O7" s="2">
        <v>-12282</v>
      </c>
      <c r="P7" s="2">
        <v>-9978</v>
      </c>
      <c r="Q7" s="2">
        <v>-5937</v>
      </c>
      <c r="R7" s="2">
        <v>1149</v>
      </c>
      <c r="S7" s="2">
        <v>-6207</v>
      </c>
      <c r="T7" s="2">
        <v>-12324</v>
      </c>
      <c r="U7" s="2">
        <v>-9715</v>
      </c>
      <c r="V7" s="2">
        <v>371</v>
      </c>
      <c r="W7" s="2">
        <v>-563</v>
      </c>
      <c r="X7" s="2">
        <v>-9156</v>
      </c>
      <c r="Y7" s="2">
        <v>-9677</v>
      </c>
      <c r="Z7" s="2">
        <v>-7215</v>
      </c>
      <c r="AA7" s="2">
        <v>-10630</v>
      </c>
      <c r="AB7" s="2">
        <v>-14960</v>
      </c>
      <c r="AC7" s="2">
        <v>-4987</v>
      </c>
      <c r="AD7" s="2">
        <v>-1948</v>
      </c>
      <c r="AE7" s="2">
        <v>-16301</v>
      </c>
      <c r="AF7" s="2">
        <v>-26265</v>
      </c>
      <c r="AG7" s="2">
        <v>-2801</v>
      </c>
      <c r="AH7" s="2">
        <v>-8136</v>
      </c>
      <c r="AI7" s="2">
        <v>-522</v>
      </c>
      <c r="AJ7" s="2">
        <v>-311</v>
      </c>
      <c r="AK7" s="2">
        <v>12394</v>
      </c>
      <c r="AL7" s="2">
        <v>-3324</v>
      </c>
      <c r="AM7" s="2">
        <v>-24816</v>
      </c>
      <c r="AN7" s="2">
        <v>-18455</v>
      </c>
      <c r="AO7" s="2">
        <v>-4734</v>
      </c>
      <c r="AP7" s="2">
        <v>-15845</v>
      </c>
      <c r="AQ7" s="2">
        <v>-20718</v>
      </c>
      <c r="AR7" s="2">
        <v>-27024</v>
      </c>
      <c r="AS7" s="2">
        <v>-27885</v>
      </c>
      <c r="AT7" s="2">
        <v>-5458</v>
      </c>
      <c r="AU7" s="2">
        <v>-9487</v>
      </c>
      <c r="AV7" s="2">
        <f>-15312-AU7</f>
        <v>-5825</v>
      </c>
      <c r="AW7" s="21">
        <f>-80235-AV7-AU7</f>
        <v>-64923</v>
      </c>
      <c r="AX7" s="21">
        <f>-47543-AU7-AV7-AW7</f>
        <v>32692</v>
      </c>
      <c r="AY7" s="21">
        <v>-75</v>
      </c>
      <c r="AZ7" s="21">
        <f>-13656</f>
        <v>-13656</v>
      </c>
      <c r="BA7" s="21">
        <f>-11692-AZ7-AY7</f>
        <v>2039</v>
      </c>
      <c r="BB7" s="21">
        <f>-11326-AY7-BA7-AZ7</f>
        <v>366</v>
      </c>
      <c r="BC7" s="21">
        <v>-19839</v>
      </c>
      <c r="BD7" s="21">
        <f>-55546-BC7</f>
        <v>-35707</v>
      </c>
      <c r="BE7" s="21">
        <f>-133811-BC7-BD7</f>
        <v>-78265</v>
      </c>
      <c r="BF7" s="21">
        <f>-225157-BC7-BD7-BE7</f>
        <v>-91346</v>
      </c>
      <c r="BG7" s="21">
        <v>-84770</v>
      </c>
      <c r="BH7" s="21">
        <f>-226357-BG7</f>
        <v>-141587</v>
      </c>
      <c r="BI7" s="21">
        <f>-324591-BG7-BH7</f>
        <v>-98234</v>
      </c>
      <c r="BJ7" s="21">
        <f>-397177-BG7-BH7-BI7</f>
        <v>-72586</v>
      </c>
      <c r="BK7" s="21">
        <v>-33726</v>
      </c>
      <c r="BL7" s="21">
        <f>-61730-BK7</f>
        <v>-28004</v>
      </c>
      <c r="BM7" s="21">
        <f>-67824-BK7-BL7</f>
        <v>-6094</v>
      </c>
      <c r="BN7" s="21">
        <f>-45836-BL7-BM7-BK7</f>
        <v>21988</v>
      </c>
      <c r="BO7" s="21">
        <v>-12392</v>
      </c>
      <c r="BP7" s="21">
        <f>-28706+12392</f>
        <v>-16314</v>
      </c>
      <c r="BQ7" s="21">
        <f>-37069+12392+16314</f>
        <v>-8363</v>
      </c>
      <c r="BR7" s="21">
        <v>26259</v>
      </c>
      <c r="BS7" s="21">
        <v>-2801</v>
      </c>
      <c r="BT7" s="21">
        <v>-11731</v>
      </c>
      <c r="BU7" s="21">
        <v>-204</v>
      </c>
      <c r="BV7" s="2"/>
      <c r="BW7" s="2">
        <f>SUM(C7:F7)</f>
        <v>-128367</v>
      </c>
      <c r="BX7" s="2">
        <f>SUM(G7:J7)</f>
        <v>-13572</v>
      </c>
      <c r="BY7" s="2">
        <f>SUM(K7:N7)</f>
        <v>-49468</v>
      </c>
      <c r="BZ7" s="2">
        <f>SUM(O7:R7)</f>
        <v>-27048</v>
      </c>
      <c r="CA7" s="2">
        <f>SUM(S7:V7)</f>
        <v>-27875</v>
      </c>
      <c r="CB7" s="2">
        <f>SUM(W7:Z7)</f>
        <v>-26611</v>
      </c>
      <c r="CC7" s="2">
        <f>SUM(AA7:AD7)</f>
        <v>-32525</v>
      </c>
      <c r="CD7" s="2">
        <f>SUM(AE7:AH7)</f>
        <v>-53503</v>
      </c>
      <c r="CE7" s="2">
        <f>SUM(AI7:AL7)</f>
        <v>8237</v>
      </c>
      <c r="CF7" s="2">
        <f>SUM(AM7:AP7)</f>
        <v>-63850</v>
      </c>
      <c r="CG7" s="2">
        <f>SUM(AQ7:AT7)</f>
        <v>-81085</v>
      </c>
      <c r="CH7" s="2">
        <f>SUM(AU7:AX7)</f>
        <v>-47543</v>
      </c>
      <c r="CI7" s="2">
        <f>SUM(AY7:BB7)</f>
        <v>-11326</v>
      </c>
      <c r="CJ7" s="2">
        <f>SUM(BC7:BF7)</f>
        <v>-225157</v>
      </c>
      <c r="CK7" s="2">
        <f>SUM(BG7:BJ7)</f>
        <v>-397177</v>
      </c>
      <c r="CL7" s="2">
        <f t="shared" ref="CL7:CL10" si="0">SUM(BO7:BR7)</f>
        <v>-10810</v>
      </c>
      <c r="CM7" s="2">
        <f>SUM(BS7:BU7)</f>
        <v>-14736</v>
      </c>
      <c r="CN7" s="16"/>
      <c r="CO7" s="16"/>
      <c r="CP7" s="16"/>
    </row>
    <row r="8" spans="2:94">
      <c r="B8" s="3" t="s">
        <v>110</v>
      </c>
      <c r="C8" s="2">
        <v>1803</v>
      </c>
      <c r="D8" s="2">
        <v>2029</v>
      </c>
      <c r="E8" s="2">
        <v>1479</v>
      </c>
      <c r="F8" s="2">
        <v>-5093</v>
      </c>
      <c r="G8" s="2">
        <v>458</v>
      </c>
      <c r="H8" s="2">
        <v>145</v>
      </c>
      <c r="I8" s="2">
        <v>-47</v>
      </c>
      <c r="J8" s="2">
        <v>1472</v>
      </c>
      <c r="K8" s="2">
        <v>762</v>
      </c>
      <c r="L8" s="2">
        <v>1844</v>
      </c>
      <c r="M8" s="2">
        <v>1288</v>
      </c>
      <c r="N8" s="2">
        <v>-1435</v>
      </c>
      <c r="O8" s="2">
        <v>-2947</v>
      </c>
      <c r="P8" s="2">
        <v>-495</v>
      </c>
      <c r="Q8" s="2">
        <v>316</v>
      </c>
      <c r="R8" s="2">
        <v>3218</v>
      </c>
      <c r="S8" s="2">
        <v>-2658</v>
      </c>
      <c r="T8" s="2">
        <v>978</v>
      </c>
      <c r="U8" s="2">
        <v>274</v>
      </c>
      <c r="V8" s="2">
        <v>5638</v>
      </c>
      <c r="W8" s="2">
        <v>-3731</v>
      </c>
      <c r="X8" s="2">
        <v>713</v>
      </c>
      <c r="Y8" s="2">
        <v>-358</v>
      </c>
      <c r="Z8" s="2">
        <v>-563</v>
      </c>
      <c r="AA8" s="2">
        <v>238</v>
      </c>
      <c r="AB8" s="2">
        <v>1531</v>
      </c>
      <c r="AC8" s="2">
        <v>1703</v>
      </c>
      <c r="AD8" s="2">
        <v>2564</v>
      </c>
      <c r="AE8" s="2">
        <v>-52</v>
      </c>
      <c r="AF8" s="2">
        <v>-1051</v>
      </c>
      <c r="AG8" s="2">
        <v>6259</v>
      </c>
      <c r="AH8" s="2">
        <v>10167</v>
      </c>
      <c r="AI8" s="2">
        <v>-8077</v>
      </c>
      <c r="AJ8" s="2">
        <v>8802</v>
      </c>
      <c r="AK8" s="2">
        <v>3528</v>
      </c>
      <c r="AL8" s="2">
        <v>6238</v>
      </c>
      <c r="AM8" s="2">
        <v>-10876</v>
      </c>
      <c r="AN8" s="2">
        <v>-5579</v>
      </c>
      <c r="AO8" s="2">
        <v>2423</v>
      </c>
      <c r="AP8" s="2">
        <v>1619.5757999999987</v>
      </c>
      <c r="AQ8" s="2">
        <v>-9174</v>
      </c>
      <c r="AR8" s="2">
        <v>91</v>
      </c>
      <c r="AS8" s="2">
        <v>-15770</v>
      </c>
      <c r="AT8" s="2">
        <v>14592</v>
      </c>
      <c r="AU8" s="2">
        <v>-9092</v>
      </c>
      <c r="AV8" s="2">
        <f>-9901-AU8</f>
        <v>-809</v>
      </c>
      <c r="AW8" s="21">
        <f>2034-AV8-AU8</f>
        <v>11935</v>
      </c>
      <c r="AX8" s="21">
        <f>-18284-AU8-AV8-AW8</f>
        <v>-20318</v>
      </c>
      <c r="AY8" s="21">
        <v>-7902</v>
      </c>
      <c r="AZ8" s="21">
        <v>1837</v>
      </c>
      <c r="BA8" s="21">
        <f>-6110-AZ8-AY8</f>
        <v>-45</v>
      </c>
      <c r="BB8" s="21">
        <f>3212-AY8-BA8-AZ8</f>
        <v>9322</v>
      </c>
      <c r="BC8" s="21">
        <v>-7020</v>
      </c>
      <c r="BD8" s="21">
        <f>-12095-BC8</f>
        <v>-5075</v>
      </c>
      <c r="BE8" s="21">
        <f>35149-BC8-BD8</f>
        <v>47244</v>
      </c>
      <c r="BF8" s="21">
        <f>41945-BC8-BD8-BE8</f>
        <v>6796</v>
      </c>
      <c r="BG8" s="21">
        <v>-21053</v>
      </c>
      <c r="BH8" s="21">
        <f>-12849-BG8</f>
        <v>8204</v>
      </c>
      <c r="BI8" s="21">
        <f>-11581-BG8-BH8</f>
        <v>1268</v>
      </c>
      <c r="BJ8" s="21">
        <f>3515-BG8-BH8-BI8</f>
        <v>15096</v>
      </c>
      <c r="BK8" s="21">
        <v>-24328</v>
      </c>
      <c r="BL8" s="21">
        <f>-20468-BK8</f>
        <v>3860</v>
      </c>
      <c r="BM8" s="21">
        <f>-25289-BK8-BL8</f>
        <v>-4821</v>
      </c>
      <c r="BN8" s="21">
        <f>-24888-BL8-BM8-BK8</f>
        <v>401</v>
      </c>
      <c r="BO8" s="21">
        <v>-16646</v>
      </c>
      <c r="BP8" s="21">
        <f>-23133+16646</f>
        <v>-6487</v>
      </c>
      <c r="BQ8" s="21">
        <f>-11181+16646+6487</f>
        <v>11952</v>
      </c>
      <c r="BR8" s="21">
        <v>3998</v>
      </c>
      <c r="BS8" s="21">
        <v>-13527</v>
      </c>
      <c r="BT8" s="21">
        <v>873</v>
      </c>
      <c r="BU8" s="21">
        <v>-13058</v>
      </c>
      <c r="BV8" s="2"/>
      <c r="BW8" s="2">
        <f>SUM(C8:F8)</f>
        <v>218</v>
      </c>
      <c r="BX8" s="2">
        <f>SUM(G8:J8)</f>
        <v>2028</v>
      </c>
      <c r="BY8" s="2">
        <f>SUM(K8:N8)</f>
        <v>2459</v>
      </c>
      <c r="BZ8" s="2">
        <f>SUM(O8:R8)</f>
        <v>92</v>
      </c>
      <c r="CA8" s="2">
        <f>SUM(S8:V8)</f>
        <v>4232</v>
      </c>
      <c r="CB8" s="2">
        <f>SUM(W8:Z8)</f>
        <v>-3939</v>
      </c>
      <c r="CC8" s="2">
        <f>SUM(AA8:AD8)</f>
        <v>6036</v>
      </c>
      <c r="CD8" s="2">
        <f>SUM(AE8:AH8)</f>
        <v>15323</v>
      </c>
      <c r="CE8" s="2">
        <f>SUM(AI8:AL8)</f>
        <v>10491</v>
      </c>
      <c r="CF8" s="2">
        <f>SUM(AM8:AP8)</f>
        <v>-12412.424200000001</v>
      </c>
      <c r="CG8" s="2">
        <f>SUM(AQ8:AT8)</f>
        <v>-10261</v>
      </c>
      <c r="CH8" s="2">
        <f>SUM(AU8:AX8)</f>
        <v>-18284</v>
      </c>
      <c r="CI8" s="2">
        <f>SUM(AY8:BB8)</f>
        <v>3212</v>
      </c>
      <c r="CJ8" s="2">
        <f>SUM(BC8:BF8)</f>
        <v>41945</v>
      </c>
      <c r="CK8" s="2">
        <f>SUM(BG8:BJ8)</f>
        <v>3515</v>
      </c>
      <c r="CL8" s="2">
        <f t="shared" si="0"/>
        <v>-7183</v>
      </c>
      <c r="CM8" s="2">
        <f>SUM(BS8:BU8)</f>
        <v>-25712</v>
      </c>
      <c r="CN8" s="16"/>
      <c r="CO8" s="16"/>
      <c r="CP8" s="16"/>
    </row>
    <row r="9" spans="2:94" ht="15.75" thickBot="1">
      <c r="B9" s="3" t="s">
        <v>145</v>
      </c>
      <c r="C9" s="2">
        <v>7701</v>
      </c>
      <c r="D9" s="2">
        <v>25009</v>
      </c>
      <c r="E9" s="2">
        <v>19401</v>
      </c>
      <c r="F9" s="2">
        <v>14987</v>
      </c>
      <c r="G9" s="2">
        <v>3578</v>
      </c>
      <c r="H9" s="2">
        <v>-230</v>
      </c>
      <c r="I9" s="2">
        <v>-2107</v>
      </c>
      <c r="J9" s="2">
        <v>-132</v>
      </c>
      <c r="K9" s="2">
        <v>2690</v>
      </c>
      <c r="L9" s="2">
        <v>8959</v>
      </c>
      <c r="M9" s="2">
        <v>6433</v>
      </c>
      <c r="N9" s="2">
        <v>1103</v>
      </c>
      <c r="O9" s="2">
        <v>6323</v>
      </c>
      <c r="P9" s="2">
        <v>3640</v>
      </c>
      <c r="Q9" s="2">
        <v>-292</v>
      </c>
      <c r="R9" s="2">
        <v>-872</v>
      </c>
      <c r="S9" s="2">
        <v>2357</v>
      </c>
      <c r="T9" s="2">
        <v>3209</v>
      </c>
      <c r="U9" s="2">
        <v>4709</v>
      </c>
      <c r="V9" s="2">
        <v>1162</v>
      </c>
      <c r="W9" s="2">
        <v>216</v>
      </c>
      <c r="X9" s="2">
        <v>4018</v>
      </c>
      <c r="Y9" s="2">
        <v>3877</v>
      </c>
      <c r="Z9" s="2">
        <v>3029</v>
      </c>
      <c r="AA9" s="2">
        <v>5787</v>
      </c>
      <c r="AB9" s="2">
        <v>6020</v>
      </c>
      <c r="AC9" s="2">
        <v>2505</v>
      </c>
      <c r="AD9" s="2">
        <v>519</v>
      </c>
      <c r="AE9" s="2">
        <v>8210</v>
      </c>
      <c r="AF9" s="2">
        <v>15093</v>
      </c>
      <c r="AG9" s="2">
        <v>2157</v>
      </c>
      <c r="AH9" s="2">
        <v>-4967</v>
      </c>
      <c r="AI9" s="2">
        <v>0</v>
      </c>
      <c r="AJ9" s="2">
        <v>0</v>
      </c>
      <c r="AK9" s="2">
        <v>0</v>
      </c>
      <c r="AL9" s="2">
        <v>9553</v>
      </c>
      <c r="AM9" s="2">
        <v>13466</v>
      </c>
      <c r="AN9" s="2">
        <v>10507</v>
      </c>
      <c r="AO9" s="2">
        <v>10305</v>
      </c>
      <c r="AP9" s="2">
        <v>3357.9709300000031</v>
      </c>
      <c r="AQ9" s="2">
        <v>12325</v>
      </c>
      <c r="AR9" s="2">
        <v>15813</v>
      </c>
      <c r="AS9" s="2">
        <v>16604</v>
      </c>
      <c r="AT9" s="2">
        <v>5892</v>
      </c>
      <c r="AU9" s="2">
        <v>9098</v>
      </c>
      <c r="AV9" s="2">
        <f>13817-AU9</f>
        <v>4719</v>
      </c>
      <c r="AW9" s="21">
        <f>31993-AV9-AU9</f>
        <v>18176</v>
      </c>
      <c r="AX9" s="21">
        <f>31980-AU9-AV9-AW9</f>
        <v>-13</v>
      </c>
      <c r="AY9" s="21">
        <v>0</v>
      </c>
      <c r="AZ9" s="21">
        <v>6103</v>
      </c>
      <c r="BA9" s="21">
        <f>6263-AZ9-AY9</f>
        <v>160</v>
      </c>
      <c r="BB9" s="21">
        <f>6263-AY9-BA9-AZ9</f>
        <v>0</v>
      </c>
      <c r="BC9" s="21">
        <v>14464</v>
      </c>
      <c r="BD9" s="21">
        <f>37141-BC9</f>
        <v>22677</v>
      </c>
      <c r="BE9" s="21">
        <f>77745-BC9-BD9</f>
        <v>40604</v>
      </c>
      <c r="BF9" s="21">
        <f>124458-BC9-BD9-BE9</f>
        <v>46713</v>
      </c>
      <c r="BG9" s="21">
        <v>56956</v>
      </c>
      <c r="BH9" s="21">
        <f>133279-BG9</f>
        <v>76323</v>
      </c>
      <c r="BI9" s="21">
        <f>184366-BG9-BH9</f>
        <v>51087</v>
      </c>
      <c r="BJ9" s="21">
        <f>211774-BG9-BH9-BI9</f>
        <v>27408</v>
      </c>
      <c r="BK9" s="21">
        <v>24508</v>
      </c>
      <c r="BL9" s="21">
        <f>42942-BK9</f>
        <v>18434</v>
      </c>
      <c r="BM9" s="21">
        <f>44675-BK9-BL9</f>
        <v>1733</v>
      </c>
      <c r="BN9" s="21">
        <f>33972-BL9-BM9-BK9</f>
        <v>-10703</v>
      </c>
      <c r="BO9" s="21">
        <v>8343</v>
      </c>
      <c r="BP9" s="21">
        <f>17826-8343</f>
        <v>9483</v>
      </c>
      <c r="BQ9" s="21">
        <f>27996-8343-9483</f>
        <v>10170</v>
      </c>
      <c r="BR9" s="21">
        <v>-2084</v>
      </c>
      <c r="BS9" s="21">
        <v>834</v>
      </c>
      <c r="BT9" s="21">
        <v>-403</v>
      </c>
      <c r="BU9" s="21">
        <v>-210</v>
      </c>
      <c r="BV9" s="2"/>
      <c r="BW9" s="2">
        <f>SUM(C9:F9)</f>
        <v>67098</v>
      </c>
      <c r="BX9" s="2">
        <f>SUM(G9:J9)</f>
        <v>1109</v>
      </c>
      <c r="BY9" s="2">
        <f>SUM(K9:N9)</f>
        <v>19185</v>
      </c>
      <c r="BZ9" s="2">
        <f>SUM(O9:R9)</f>
        <v>8799</v>
      </c>
      <c r="CA9" s="2">
        <f>SUM(S9:V9)</f>
        <v>11437</v>
      </c>
      <c r="CB9" s="2">
        <f>SUM(W9:Z9)</f>
        <v>11140</v>
      </c>
      <c r="CC9" s="2">
        <f>SUM(AA9:AD9)</f>
        <v>14831</v>
      </c>
      <c r="CD9" s="2">
        <f>SUM(AE9:AH9)</f>
        <v>20493</v>
      </c>
      <c r="CE9" s="2">
        <f>SUM(AI9:AL9)</f>
        <v>9553</v>
      </c>
      <c r="CF9" s="2">
        <f>SUM(AM9:AP9)</f>
        <v>37635.970930000003</v>
      </c>
      <c r="CG9" s="2">
        <f>SUM(AQ9:AT9)</f>
        <v>50634</v>
      </c>
      <c r="CH9" s="2">
        <f>SUM(AU9:AX9)</f>
        <v>31980</v>
      </c>
      <c r="CI9" s="2">
        <f>SUM(AY9:BB9)</f>
        <v>6263</v>
      </c>
      <c r="CJ9" s="2">
        <f>SUM(BC9:BF9)</f>
        <v>124458</v>
      </c>
      <c r="CK9" s="2">
        <f>SUM(BG9:BJ9)</f>
        <v>211774</v>
      </c>
      <c r="CL9" s="2">
        <f t="shared" si="0"/>
        <v>25912</v>
      </c>
      <c r="CM9" s="2">
        <f>SUM(BS9:BU9)</f>
        <v>221</v>
      </c>
      <c r="CN9" s="16"/>
      <c r="CO9" s="16"/>
      <c r="CP9" s="16"/>
    </row>
    <row r="10" spans="2:94" ht="15.75" thickBot="1">
      <c r="B10" s="9" t="s">
        <v>0</v>
      </c>
      <c r="C10" s="9">
        <f>SUM(C7:C9)</f>
        <v>-10114</v>
      </c>
      <c r="D10" s="9">
        <f>SUM(D7:D9)</f>
        <v>-21166</v>
      </c>
      <c r="E10" s="9">
        <f t="shared" ref="E10:AB10" si="1">SUM(E7:E9)</f>
        <v>-14745</v>
      </c>
      <c r="F10" s="9">
        <f t="shared" si="1"/>
        <v>-15026</v>
      </c>
      <c r="G10" s="9">
        <f t="shared" si="1"/>
        <v>-6047</v>
      </c>
      <c r="H10" s="9">
        <f t="shared" si="1"/>
        <v>-4025</v>
      </c>
      <c r="I10" s="9">
        <f t="shared" si="1"/>
        <v>-2051</v>
      </c>
      <c r="J10" s="9">
        <f t="shared" si="1"/>
        <v>1688</v>
      </c>
      <c r="K10" s="9">
        <f t="shared" si="1"/>
        <v>-5677</v>
      </c>
      <c r="L10" s="9">
        <f t="shared" si="1"/>
        <v>-11202</v>
      </c>
      <c r="M10" s="9">
        <f t="shared" si="1"/>
        <v>-9702</v>
      </c>
      <c r="N10" s="9">
        <f t="shared" si="1"/>
        <v>-1243</v>
      </c>
      <c r="O10" s="9">
        <f t="shared" si="1"/>
        <v>-8906</v>
      </c>
      <c r="P10" s="9">
        <f t="shared" si="1"/>
        <v>-6833</v>
      </c>
      <c r="Q10" s="9">
        <f t="shared" si="1"/>
        <v>-5913</v>
      </c>
      <c r="R10" s="9">
        <f t="shared" si="1"/>
        <v>3495</v>
      </c>
      <c r="S10" s="9">
        <f t="shared" si="1"/>
        <v>-6508</v>
      </c>
      <c r="T10" s="9">
        <f t="shared" si="1"/>
        <v>-8137</v>
      </c>
      <c r="U10" s="9">
        <f t="shared" si="1"/>
        <v>-4732</v>
      </c>
      <c r="V10" s="9">
        <f t="shared" si="1"/>
        <v>7171</v>
      </c>
      <c r="W10" s="9">
        <f t="shared" si="1"/>
        <v>-4078</v>
      </c>
      <c r="X10" s="9">
        <f t="shared" si="1"/>
        <v>-4425</v>
      </c>
      <c r="Y10" s="9">
        <f t="shared" si="1"/>
        <v>-6158</v>
      </c>
      <c r="Z10" s="9">
        <f t="shared" si="1"/>
        <v>-4749</v>
      </c>
      <c r="AA10" s="9">
        <f t="shared" si="1"/>
        <v>-4605</v>
      </c>
      <c r="AB10" s="9">
        <f t="shared" si="1"/>
        <v>-7409</v>
      </c>
      <c r="AC10" s="9">
        <f t="shared" ref="AC10:AD10" si="2">SUM(AC7:AC9)</f>
        <v>-779</v>
      </c>
      <c r="AD10" s="9">
        <f t="shared" si="2"/>
        <v>1135</v>
      </c>
      <c r="AE10" s="9">
        <f t="shared" ref="AE10:AF10" si="3">SUM(AE7:AE9)</f>
        <v>-8143</v>
      </c>
      <c r="AF10" s="9">
        <f t="shared" si="3"/>
        <v>-12223</v>
      </c>
      <c r="AG10" s="9">
        <f t="shared" ref="AG10:AI10" si="4">SUM(AG7:AG9)</f>
        <v>5615</v>
      </c>
      <c r="AH10" s="9">
        <f t="shared" si="4"/>
        <v>-2936</v>
      </c>
      <c r="AI10" s="12">
        <f t="shared" si="4"/>
        <v>-8599</v>
      </c>
      <c r="AJ10" s="12">
        <f t="shared" ref="AJ10:AK10" si="5">SUM(AJ7:AJ9)</f>
        <v>8491</v>
      </c>
      <c r="AK10" s="12">
        <f t="shared" si="5"/>
        <v>15922</v>
      </c>
      <c r="AL10" s="12">
        <f t="shared" ref="AL10:AP10" si="6">SUM(AL7:AL9)</f>
        <v>12467</v>
      </c>
      <c r="AM10" s="12">
        <f t="shared" si="6"/>
        <v>-22226</v>
      </c>
      <c r="AN10" s="12">
        <f t="shared" si="6"/>
        <v>-13527</v>
      </c>
      <c r="AO10" s="12">
        <f t="shared" si="6"/>
        <v>7994</v>
      </c>
      <c r="AP10" s="12">
        <f t="shared" si="6"/>
        <v>-10867.453269999998</v>
      </c>
      <c r="AQ10" s="12">
        <f t="shared" ref="AQ10:AR10" si="7">SUM(AQ7:AQ9)</f>
        <v>-17567</v>
      </c>
      <c r="AR10" s="12">
        <f t="shared" si="7"/>
        <v>-11120</v>
      </c>
      <c r="AS10" s="12">
        <f t="shared" ref="AS10:AT10" si="8">SUM(AS7:AS9)</f>
        <v>-27051</v>
      </c>
      <c r="AT10" s="12">
        <f t="shared" si="8"/>
        <v>15026</v>
      </c>
      <c r="AU10" s="12">
        <f t="shared" ref="AU10:AV10" si="9">SUM(AU7:AU9)</f>
        <v>-9481</v>
      </c>
      <c r="AV10" s="12">
        <f t="shared" si="9"/>
        <v>-1915</v>
      </c>
      <c r="AW10" s="12">
        <f t="shared" ref="AW10:AY10" si="10">SUM(AW7:AW9)</f>
        <v>-34812</v>
      </c>
      <c r="AX10" s="12">
        <f t="shared" si="10"/>
        <v>12361</v>
      </c>
      <c r="AY10" s="12">
        <f t="shared" si="10"/>
        <v>-7977</v>
      </c>
      <c r="AZ10" s="12">
        <f t="shared" ref="AZ10:BA10" si="11">SUM(AZ7:AZ9)</f>
        <v>-5716</v>
      </c>
      <c r="BA10" s="12">
        <f t="shared" si="11"/>
        <v>2154</v>
      </c>
      <c r="BB10" s="12">
        <f t="shared" ref="BB10:BC10" si="12">SUM(BB7:BB9)</f>
        <v>9688</v>
      </c>
      <c r="BC10" s="12">
        <f t="shared" si="12"/>
        <v>-12395</v>
      </c>
      <c r="BD10" s="12">
        <f>SUM(BD7:BD9)</f>
        <v>-18105</v>
      </c>
      <c r="BE10" s="12">
        <f>SUM(BE7:BE9)</f>
        <v>9583</v>
      </c>
      <c r="BF10" s="12">
        <f>SUM(BF7:BF9)</f>
        <v>-37837</v>
      </c>
      <c r="BG10" s="12">
        <f t="shared" ref="BG10:BH10" si="13">SUM(BG7:BG9)</f>
        <v>-48867</v>
      </c>
      <c r="BH10" s="12">
        <f t="shared" si="13"/>
        <v>-57060</v>
      </c>
      <c r="BI10" s="12">
        <f>SUM(BI7:BI9)</f>
        <v>-45879</v>
      </c>
      <c r="BJ10" s="12">
        <f>SUM(BJ7:BJ9)</f>
        <v>-30082</v>
      </c>
      <c r="BK10" s="12">
        <f t="shared" ref="BK10:BL10" si="14">SUM(BK7:BK9)</f>
        <v>-33546</v>
      </c>
      <c r="BL10" s="12">
        <f t="shared" si="14"/>
        <v>-5710</v>
      </c>
      <c r="BM10" s="12">
        <f t="shared" ref="BM10:BU10" si="15">SUM(BM7:BM9)</f>
        <v>-9182</v>
      </c>
      <c r="BN10" s="12">
        <f t="shared" si="15"/>
        <v>11686</v>
      </c>
      <c r="BO10" s="12">
        <f t="shared" si="15"/>
        <v>-20695</v>
      </c>
      <c r="BP10" s="12">
        <f t="shared" si="15"/>
        <v>-13318</v>
      </c>
      <c r="BQ10" s="12">
        <f t="shared" si="15"/>
        <v>13759</v>
      </c>
      <c r="BR10" s="12">
        <f t="shared" si="15"/>
        <v>28173</v>
      </c>
      <c r="BS10" s="12">
        <f t="shared" si="15"/>
        <v>-15494</v>
      </c>
      <c r="BT10" s="12">
        <f t="shared" si="15"/>
        <v>-11261</v>
      </c>
      <c r="BU10" s="12">
        <f t="shared" si="15"/>
        <v>-13472</v>
      </c>
      <c r="BV10" s="2"/>
      <c r="BW10" s="12">
        <f>SUM(C10:F10)</f>
        <v>-61051</v>
      </c>
      <c r="BX10" s="12">
        <f>SUM(G10:J10)</f>
        <v>-10435</v>
      </c>
      <c r="BY10" s="12">
        <f>SUM(K10:N10)</f>
        <v>-27824</v>
      </c>
      <c r="BZ10" s="12">
        <f>SUM(O10:R10)</f>
        <v>-18157</v>
      </c>
      <c r="CA10" s="12">
        <f>SUM(S10:V10)</f>
        <v>-12206</v>
      </c>
      <c r="CB10" s="12">
        <f>SUM(W10:Z10)</f>
        <v>-19410</v>
      </c>
      <c r="CC10" s="12">
        <f>SUM(AA10:AD10)</f>
        <v>-11658</v>
      </c>
      <c r="CD10" s="12">
        <f>SUM(AE10:AH10)</f>
        <v>-17687</v>
      </c>
      <c r="CE10" s="12">
        <f>SUM(AI10:AL10)</f>
        <v>28281</v>
      </c>
      <c r="CF10" s="12">
        <f>SUM(AM10:AP10)</f>
        <v>-38626.453269999998</v>
      </c>
      <c r="CG10" s="12">
        <f>SUM(AQ10:AT10)</f>
        <v>-40712</v>
      </c>
      <c r="CH10" s="12">
        <f>SUM(AU10:AX10)</f>
        <v>-33847</v>
      </c>
      <c r="CI10" s="12">
        <f>SUM(AY10:BB10)</f>
        <v>-1851</v>
      </c>
      <c r="CJ10" s="12">
        <f>SUM(BC10:BF10)</f>
        <v>-58754</v>
      </c>
      <c r="CK10" s="12">
        <f>SUM(BG10:BJ10)</f>
        <v>-181888</v>
      </c>
      <c r="CL10" s="12">
        <f t="shared" si="0"/>
        <v>7919</v>
      </c>
      <c r="CM10" s="12">
        <f>SUM(BS10:BU10)</f>
        <v>-40227</v>
      </c>
    </row>
    <row r="11" spans="2:94">
      <c r="B11" t="s">
        <v>112</v>
      </c>
      <c r="C11" s="4">
        <f>C10/C6</f>
        <v>-0.19850444544758689</v>
      </c>
      <c r="D11" s="4">
        <f t="shared" ref="D11:AB11" si="16">D10/D6</f>
        <v>-0.15746285867325305</v>
      </c>
      <c r="E11" s="4">
        <f t="shared" si="16"/>
        <v>-0.11015568969639015</v>
      </c>
      <c r="F11" s="4">
        <f t="shared" si="16"/>
        <v>-0.18856748447010102</v>
      </c>
      <c r="G11" s="4">
        <f t="shared" si="16"/>
        <v>-0.21607232187522332</v>
      </c>
      <c r="H11" s="4">
        <f t="shared" si="16"/>
        <v>-0.40427882683808758</v>
      </c>
      <c r="I11" s="4">
        <f t="shared" si="16"/>
        <v>1.3876860622462788</v>
      </c>
      <c r="J11" s="4">
        <f t="shared" si="16"/>
        <v>0.64848252016903574</v>
      </c>
      <c r="K11" s="4">
        <f t="shared" si="16"/>
        <v>-0.23555039209991285</v>
      </c>
      <c r="L11" s="4">
        <f t="shared" si="16"/>
        <v>-0.18935091277890467</v>
      </c>
      <c r="M11" s="4">
        <f t="shared" si="16"/>
        <v>-0.2036823210799236</v>
      </c>
      <c r="N11" s="4">
        <f t="shared" si="16"/>
        <v>-4.0226537216828478E-2</v>
      </c>
      <c r="O11" s="4">
        <f t="shared" si="16"/>
        <v>-0.19777486620328219</v>
      </c>
      <c r="P11" s="4">
        <f t="shared" si="16"/>
        <v>-0.20873044965786902</v>
      </c>
      <c r="Q11" s="4">
        <f t="shared" si="16"/>
        <v>-0.35430523099047279</v>
      </c>
      <c r="R11" s="4">
        <f t="shared" si="16"/>
        <v>0.23969549413620464</v>
      </c>
      <c r="S11" s="4">
        <f t="shared" si="16"/>
        <v>-0.24118889671274507</v>
      </c>
      <c r="T11" s="4">
        <f t="shared" si="16"/>
        <v>-0.27770383263369852</v>
      </c>
      <c r="U11" s="4">
        <f t="shared" si="16"/>
        <v>-0.13595747737394054</v>
      </c>
      <c r="V11" s="4">
        <f t="shared" si="16"/>
        <v>1.0765650803182705</v>
      </c>
      <c r="W11" s="4">
        <f t="shared" si="16"/>
        <v>-0.32024501335008637</v>
      </c>
      <c r="X11" s="4">
        <f t="shared" si="16"/>
        <v>-0.18750794525191744</v>
      </c>
      <c r="Y11" s="4">
        <f t="shared" si="16"/>
        <v>-0.21675466385075678</v>
      </c>
      <c r="Z11" s="4">
        <f t="shared" si="16"/>
        <v>-0.1672536451362964</v>
      </c>
      <c r="AA11" s="4">
        <f t="shared" si="16"/>
        <v>-0.14012293086660174</v>
      </c>
      <c r="AB11" s="4">
        <f t="shared" si="16"/>
        <v>-0.20500830105146653</v>
      </c>
      <c r="AC11" s="4">
        <f t="shared" ref="AC11:AD11" si="17">AC10/AC6</f>
        <v>-3.6512772439653153E-2</v>
      </c>
      <c r="AD11" s="4">
        <f t="shared" si="17"/>
        <v>8.7213769786383899E-2</v>
      </c>
      <c r="AE11" s="4">
        <f t="shared" ref="AE11:AF11" si="18">AE10/AE6</f>
        <v>-0.19511669142665453</v>
      </c>
      <c r="AF11" s="4">
        <f t="shared" si="18"/>
        <v>-0.13346217679944095</v>
      </c>
      <c r="AG11" s="4">
        <f t="shared" ref="AG11:AI11" si="19">AG10/AG6</f>
        <v>0.15550139854329945</v>
      </c>
      <c r="AH11" s="4">
        <f t="shared" si="19"/>
        <v>-8.1309368855410014E-2</v>
      </c>
      <c r="AI11" s="4">
        <f t="shared" si="19"/>
        <v>-0.40584292996035493</v>
      </c>
      <c r="AJ11" s="4">
        <f t="shared" ref="AJ11:AK11" si="20">AJ10/AJ6</f>
        <v>-0.28505723973545505</v>
      </c>
      <c r="AK11" s="4">
        <f t="shared" si="20"/>
        <v>-1.699978646166987</v>
      </c>
      <c r="AL11" s="4">
        <f t="shared" ref="AL11:AP11" si="21">AL10/AL6</f>
        <v>0.20824842147462666</v>
      </c>
      <c r="AM11" s="4">
        <f t="shared" si="21"/>
        <v>-0.21715469316372091</v>
      </c>
      <c r="AN11" s="4">
        <f t="shared" si="21"/>
        <v>-0.17496637003311258</v>
      </c>
      <c r="AO11" s="4">
        <f t="shared" si="21"/>
        <v>0.14174512828696562</v>
      </c>
      <c r="AP11" s="4">
        <f t="shared" si="21"/>
        <v>-0.14922081163838083</v>
      </c>
      <c r="AQ11" s="4">
        <f t="shared" ref="AQ11:AR11" si="22">AQ10/AQ6</f>
        <v>-0.21671868638892658</v>
      </c>
      <c r="AR11" s="4">
        <f t="shared" si="22"/>
        <v>-0.1270116846181083</v>
      </c>
      <c r="AS11" s="4">
        <f t="shared" ref="AS11:AT11" si="23">AS10/AS6</f>
        <v>-0.15342949026992383</v>
      </c>
      <c r="AT11" s="4">
        <f t="shared" si="23"/>
        <v>3.0166633206183495</v>
      </c>
      <c r="AU11" s="4">
        <f t="shared" ref="AU11" si="24">AU10/AU6</f>
        <v>-0.17070579762333454</v>
      </c>
      <c r="AV11" s="4">
        <f t="shared" ref="AV11:BA11" si="25">AV10/AV6</f>
        <v>-5.6818181818181816E-2</v>
      </c>
      <c r="AW11" s="4">
        <f t="shared" si="25"/>
        <v>-0.19393547740149189</v>
      </c>
      <c r="AX11" s="4">
        <f t="shared" si="25"/>
        <v>-0.92474003142066286</v>
      </c>
      <c r="AY11" s="4">
        <f t="shared" si="25"/>
        <v>-1.0763729591148292</v>
      </c>
      <c r="AZ11" s="4">
        <f t="shared" si="25"/>
        <v>-0.20976916584094829</v>
      </c>
      <c r="BA11" s="4">
        <f t="shared" si="25"/>
        <v>0.22914893617021276</v>
      </c>
      <c r="BB11" s="4">
        <f t="shared" ref="BB11:BC11" si="26">BB10/BB6</f>
        <v>0.34842654198885092</v>
      </c>
      <c r="BC11" s="4">
        <f t="shared" si="26"/>
        <v>-0.17352652946941061</v>
      </c>
      <c r="BD11" s="4">
        <f t="shared" ref="BD11" si="27">BD10/BD6</f>
        <v>-0.13677673775581897</v>
      </c>
      <c r="BE11" s="4">
        <f>BE10/BE6</f>
        <v>4.2886359873081793E-2</v>
      </c>
      <c r="BF11" s="4">
        <f t="shared" ref="BF11:BG11" si="28">BF10/BF6</f>
        <v>-0.1378844142545306</v>
      </c>
      <c r="BG11" s="4">
        <f t="shared" si="28"/>
        <v>-0.16227767225004316</v>
      </c>
      <c r="BH11" s="4">
        <f>BH10/BH6</f>
        <v>-0.13028378850461336</v>
      </c>
      <c r="BI11" s="4">
        <f t="shared" ref="BI11" si="29">BI10/BI6</f>
        <v>-0.1419571829486771</v>
      </c>
      <c r="BJ11" s="4">
        <f>BJ10/BJ6</f>
        <v>-0.16521853751771257</v>
      </c>
      <c r="BK11" s="4">
        <f t="shared" ref="BK11" si="30">BK10/BK6</f>
        <v>-0.20317856407398882</v>
      </c>
      <c r="BL11" s="4">
        <f>BL10/BL6</f>
        <v>-4.4789583088206457E-2</v>
      </c>
      <c r="BM11" s="4">
        <f t="shared" ref="BM11" si="31">BM10/BM6</f>
        <v>-0.11342523964818658</v>
      </c>
      <c r="BN11" s="4">
        <f t="shared" ref="BN11:BU11" si="32">BN10/BN6</f>
        <v>0.25352540460797501</v>
      </c>
      <c r="BO11" s="4">
        <f t="shared" si="32"/>
        <v>-0.33432956381260098</v>
      </c>
      <c r="BP11" s="4">
        <f t="shared" si="32"/>
        <v>-0.19012405601793031</v>
      </c>
      <c r="BQ11" s="4">
        <f t="shared" si="32"/>
        <v>0.1964196491027709</v>
      </c>
      <c r="BR11" s="4">
        <f t="shared" si="32"/>
        <v>0.25224281493419287</v>
      </c>
      <c r="BS11" s="4">
        <f t="shared" si="32"/>
        <v>-0.38986462684313822</v>
      </c>
      <c r="BT11" s="4">
        <f t="shared" si="32"/>
        <v>-0.37599332220367276</v>
      </c>
      <c r="BU11" s="4">
        <f t="shared" si="32"/>
        <v>-0.22668304420252058</v>
      </c>
      <c r="BW11" s="4">
        <f t="shared" ref="BW11" si="33">BW10/BW6</f>
        <v>-0.1530441627330407</v>
      </c>
      <c r="BX11" s="4">
        <f t="shared" ref="BX11" si="34">BX10/BX6</f>
        <v>-0.26710522947756421</v>
      </c>
      <c r="BY11" s="4">
        <f t="shared" ref="BY11" si="35">BY10/BY6</f>
        <v>-0.17197176656736343</v>
      </c>
      <c r="BZ11" s="4">
        <f t="shared" ref="BZ11" si="36">BZ10/BZ6</f>
        <v>-0.16652145601951632</v>
      </c>
      <c r="CA11" s="4">
        <f t="shared" ref="CA11" si="37">CA10/CA6</f>
        <v>-0.1248695652173913</v>
      </c>
      <c r="CB11" s="4">
        <f t="shared" ref="CB11" si="38">CB10/CB6</f>
        <v>-0.20840267562837542</v>
      </c>
      <c r="CC11" s="4">
        <f t="shared" ref="CC11:CE11" si="39">CC10/CC6</f>
        <v>-0.11279788685379234</v>
      </c>
      <c r="CD11" s="4">
        <f t="shared" si="39"/>
        <v>-8.6053051533551306E-2</v>
      </c>
      <c r="CE11" s="4">
        <f t="shared" si="39"/>
        <v>0.67494809193098015</v>
      </c>
      <c r="CF11" s="4">
        <f t="shared" ref="CF11" si="40">CF10/CF6</f>
        <v>-0.12505002871590998</v>
      </c>
      <c r="CG11" s="4">
        <f t="shared" ref="CG11:CL11" si="41">CG10/CG6</f>
        <v>-0.11635324378393827</v>
      </c>
      <c r="CH11" s="4">
        <f t="shared" si="41"/>
        <v>-0.13253582896076435</v>
      </c>
      <c r="CI11" s="4">
        <f t="shared" si="41"/>
        <v>-2.5756627008975162E-2</v>
      </c>
      <c r="CJ11" s="4">
        <f t="shared" si="41"/>
        <v>-8.3735593114053652E-2</v>
      </c>
      <c r="CK11" s="4">
        <f t="shared" si="41"/>
        <v>-0.14616968374154787</v>
      </c>
      <c r="CL11" s="4">
        <f t="shared" si="41"/>
        <v>2.5244829257096223E-2</v>
      </c>
      <c r="CM11" s="4">
        <f t="shared" ref="CM11" si="42">CM10/CM6</f>
        <v>-0.31154015938291396</v>
      </c>
    </row>
    <row r="13" spans="2:94" s="2" customFormat="1">
      <c r="B13" s="50"/>
    </row>
    <row r="14" spans="2:94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N14" s="15"/>
      <c r="AO14" s="15"/>
      <c r="AP14" s="15"/>
      <c r="AQ14" s="15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8"/>
      <c r="BW14" s="88"/>
    </row>
    <row r="15" spans="2:94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88"/>
      <c r="BX15" s="16"/>
      <c r="BY15" s="16"/>
      <c r="BZ15" s="16"/>
      <c r="CA15" s="16"/>
    </row>
    <row r="16" spans="2:94">
      <c r="F16" s="15"/>
      <c r="G16" s="16"/>
      <c r="AQ16" s="82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W16" s="88"/>
    </row>
    <row r="17" spans="15:73">
      <c r="O17" s="15"/>
      <c r="AQ17" s="82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</row>
    <row r="18" spans="15:73">
      <c r="O18" s="15"/>
      <c r="P18" s="15"/>
      <c r="AQ18" s="82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</row>
    <row r="19" spans="15:73">
      <c r="AQ19" s="83"/>
    </row>
    <row r="20" spans="15:73">
      <c r="AQ20" s="8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2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3" max="1048575" man="1"/>
  </colBreaks>
  <ignoredErrors>
    <ignoredError sqref="BW8:CF9 C10:AQ10 BW6:CF6 BW7:CE7 AT10:AZ10 BO10:BR11 BK10:BN11 BS10:BT10 BG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14</vt:i4>
      </vt:variant>
    </vt:vector>
  </HeadingPairs>
  <TitlesOfParts>
    <vt:vector size="26" baseType="lpstr">
      <vt:lpstr>Painel</vt:lpstr>
      <vt:lpstr>Indicadores financeiros</vt:lpstr>
      <vt:lpstr>Ebitda ajustado</vt:lpstr>
      <vt:lpstr>Balanço patrimonial</vt:lpstr>
      <vt:lpstr>DRE</vt:lpstr>
      <vt:lpstr>Fluxo de caixa</vt:lpstr>
      <vt:lpstr>Receita líquida</vt:lpstr>
      <vt:lpstr>Receita líquida por produto</vt:lpstr>
      <vt:lpstr>IRPJ e CSLL</vt:lpstr>
      <vt:lpstr>Vendas (ton)</vt:lpstr>
      <vt:lpstr>Produção (ton)</vt:lpstr>
      <vt:lpstr>Informações</vt:lpstr>
      <vt:lpstr>DRE!Area_de_impressao</vt:lpstr>
      <vt:lpstr>'Fluxo de caixa'!Area_de_impressao</vt:lpstr>
      <vt:lpstr>'Receita líquida por produto'!Area_de_impressao</vt:lpstr>
      <vt:lpstr>Painel!Área_de_Impressão</vt:lpstr>
      <vt:lpstr>'Balanço patrimonial'!Titulos_de_impressao</vt:lpstr>
      <vt:lpstr>DRE!Titulos_de_impressao</vt:lpstr>
      <vt:lpstr>'Ebitda ajustado'!Titulos_de_impressao</vt:lpstr>
      <vt:lpstr>'Fluxo de caixa'!Titulos_de_impressao</vt:lpstr>
      <vt:lpstr>'Indicadores financeiros'!Titulos_de_impressao</vt:lpstr>
      <vt:lpstr>'IRPJ e CSLL'!Titulos_de_impressao</vt:lpstr>
      <vt:lpstr>'Produção (ton)'!Titulos_de_impressao</vt:lpstr>
      <vt:lpstr>'Receita líquida'!Titulos_de_impressao</vt:lpstr>
      <vt:lpstr>'Receita líquida por produto'!Titulos_de_impressao</vt:lpstr>
      <vt:lpstr>'Vendas (ton)'!Titulos_de_impressao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</dc:creator>
  <cp:lastModifiedBy>Marcos Alberto Almeida Santos</cp:lastModifiedBy>
  <cp:lastPrinted>2018-03-05T18:47:36Z</cp:lastPrinted>
  <dcterms:created xsi:type="dcterms:W3CDTF">2014-03-21T23:38:47Z</dcterms:created>
  <dcterms:modified xsi:type="dcterms:W3CDTF">2025-11-06T14:04:06Z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MultiFormExcelAuto">
    <vt:lpwstr>0</vt:lpwstr>
  </property>
  <property fmtid="{D5CDD505-2E9C-101B-9397-08002B2CF9AE}" pid="3" name="AutoOpenUrl">
    <vt:lpwstr>0</vt:lpwstr>
  </property>
  <property fmtid="{D5CDD505-2E9C-101B-9397-08002B2CF9AE}" pid="4" name="AutoLoginExecuted">
    <vt:lpwstr>0</vt:lpwstr>
  </property>
  <property fmtid="{D5CDD505-2E9C-101B-9397-08002B2CF9AE}" pid="5" name="ExcelMultiForm">
    <vt:lpwstr>0</vt:lpwstr>
  </property>
  <property fmtid="{D5CDD505-2E9C-101B-9397-08002B2CF9AE}" pid="6" name="Application">
    <vt:lpwstr>0</vt:lpwstr>
  </property>
  <property fmtid="{D5CDD505-2E9C-101B-9397-08002B2CF9AE}" pid="7" name="MultiformPassword">
    <vt:lpwstr>0</vt:lpwstr>
  </property>
</Properties>
</file>