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4T2024\DF´s\"/>
    </mc:Choice>
  </mc:AlternateContent>
  <xr:revisionPtr revIDLastSave="0" documentId="13_ncr:1_{6E6CEBEF-6954-4EEC-A3E0-D4F15206EC25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" hidden="1">Tabela9</definedName>
    <definedName name="_xlcn.WorksheetConnection_IndicadoresFinanceirosB8T27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DRE!$A$1:$CB$23</definedName>
    <definedName name="_xlnm.Print_Area" localSheetId="5">'Fluxo de caixa'!$A$1:$AP$52</definedName>
    <definedName name="_xlnm.Print_Area" localSheetId="7">'Receita líquida por produto'!$A$1:$CB$11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7" i="33" l="1"/>
  <c r="BR9" i="33"/>
  <c r="BR22" i="29"/>
  <c r="BR22" i="36"/>
  <c r="BR8" i="14" l="1"/>
  <c r="BR39" i="33" l="1"/>
  <c r="BR33" i="32" l="1"/>
  <c r="BR42" i="32"/>
  <c r="BR14" i="14"/>
  <c r="BR14" i="32"/>
  <c r="CJ22" i="36" l="1"/>
  <c r="CI22" i="36"/>
  <c r="BR50" i="33" l="1"/>
  <c r="BR45" i="32"/>
  <c r="BR9" i="29" l="1"/>
  <c r="BR15" i="29" s="1"/>
  <c r="BR7" i="36"/>
  <c r="BR6" i="14"/>
  <c r="BR9" i="14"/>
  <c r="BR7" i="14"/>
  <c r="BR15" i="14" s="1"/>
  <c r="CJ8" i="34"/>
  <c r="CJ7" i="34"/>
  <c r="CJ6" i="34"/>
  <c r="BR6" i="34"/>
  <c r="CJ11" i="35"/>
  <c r="CJ10" i="35"/>
  <c r="CJ8" i="35"/>
  <c r="CJ7" i="35"/>
  <c r="BR9" i="35"/>
  <c r="CJ9" i="35" s="1"/>
  <c r="BR6" i="35"/>
  <c r="CJ6" i="35" s="1"/>
  <c r="CJ9" i="38"/>
  <c r="CJ8" i="38"/>
  <c r="CJ7" i="38"/>
  <c r="CJ6" i="38"/>
  <c r="BR10" i="38"/>
  <c r="BR11" i="38" s="1"/>
  <c r="CJ11" i="25"/>
  <c r="CJ9" i="25"/>
  <c r="CJ7" i="25"/>
  <c r="CJ6" i="25"/>
  <c r="CJ9" i="27"/>
  <c r="CJ8" i="27"/>
  <c r="CJ7" i="27"/>
  <c r="BR6" i="27"/>
  <c r="CJ6" i="27" s="1"/>
  <c r="BR8" i="25"/>
  <c r="CJ8" i="25" s="1"/>
  <c r="BR52" i="33"/>
  <c r="BR31" i="33"/>
  <c r="BR24" i="33"/>
  <c r="BR18" i="33"/>
  <c r="BR16" i="29"/>
  <c r="BR8" i="36" s="1"/>
  <c r="CJ23" i="29"/>
  <c r="CJ22" i="29"/>
  <c r="CJ20" i="29"/>
  <c r="CJ18" i="29"/>
  <c r="CJ17" i="29"/>
  <c r="CJ8" i="29"/>
  <c r="CJ7" i="29"/>
  <c r="CJ14" i="29"/>
  <c r="CJ13" i="29"/>
  <c r="CJ12" i="29"/>
  <c r="CJ11" i="29"/>
  <c r="CJ10" i="29"/>
  <c r="BR55" i="32"/>
  <c r="BR43" i="32"/>
  <c r="BR30" i="32"/>
  <c r="BR31" i="32"/>
  <c r="BR15" i="32"/>
  <c r="BR7" i="32"/>
  <c r="CJ23" i="36"/>
  <c r="CJ20" i="36"/>
  <c r="CJ18" i="36"/>
  <c r="CJ16" i="36"/>
  <c r="CJ15" i="36"/>
  <c r="CJ14" i="36"/>
  <c r="CJ12" i="36"/>
  <c r="CJ11" i="36"/>
  <c r="CJ14" i="14"/>
  <c r="CJ10" i="38" l="1"/>
  <c r="CJ16" i="29"/>
  <c r="BR19" i="29"/>
  <c r="BR21" i="29" s="1"/>
  <c r="BR6" i="36" s="1"/>
  <c r="BR10" i="36" s="1"/>
  <c r="BR24" i="36" s="1"/>
  <c r="BR10" i="14" s="1"/>
  <c r="BR11" i="14" s="1"/>
  <c r="BR6" i="33"/>
  <c r="BR48" i="33" s="1"/>
  <c r="BR55" i="33" s="1"/>
  <c r="BR10" i="25"/>
  <c r="BR12" i="25" s="1"/>
  <c r="CJ12" i="25" s="1"/>
  <c r="BR12" i="35"/>
  <c r="CJ12" i="35" s="1"/>
  <c r="BR63" i="32"/>
  <c r="BR27" i="32"/>
  <c r="CI21" i="36"/>
  <c r="CJ21" i="36"/>
  <c r="CJ19" i="36"/>
  <c r="CJ17" i="36"/>
  <c r="CJ13" i="36"/>
  <c r="BQ7" i="36"/>
  <c r="BR65" i="32" l="1"/>
  <c r="BR12" i="14"/>
  <c r="BR13" i="14" s="1"/>
  <c r="CJ10" i="25"/>
  <c r="BQ45" i="32"/>
  <c r="BQ42" i="32"/>
  <c r="BQ31" i="32" s="1"/>
  <c r="BQ14" i="32"/>
  <c r="BQ7" i="32" s="1"/>
  <c r="BQ55" i="32"/>
  <c r="BQ43" i="32"/>
  <c r="BQ30" i="32"/>
  <c r="BQ15" i="32"/>
  <c r="BQ22" i="29"/>
  <c r="BQ18" i="29"/>
  <c r="BQ17" i="29"/>
  <c r="BQ13" i="29"/>
  <c r="BQ12" i="29"/>
  <c r="BQ63" i="32" l="1"/>
  <c r="BQ27" i="32"/>
  <c r="BQ16" i="29"/>
  <c r="BQ8" i="36" s="1"/>
  <c r="BQ26" i="33"/>
  <c r="BQ28" i="33"/>
  <c r="BQ23" i="33"/>
  <c r="BQ17" i="33"/>
  <c r="BQ9" i="33"/>
  <c r="BQ65" i="32" l="1"/>
  <c r="BQ50" i="33"/>
  <c r="BQ52" i="33" s="1"/>
  <c r="BQ39" i="33"/>
  <c r="BQ31" i="33"/>
  <c r="BQ24" i="33"/>
  <c r="BQ18" i="33"/>
  <c r="BQ9" i="38"/>
  <c r="BQ8" i="38"/>
  <c r="BQ7" i="38"/>
  <c r="BQ6" i="38"/>
  <c r="BQ9" i="35"/>
  <c r="BQ6" i="35"/>
  <c r="BQ6" i="34"/>
  <c r="BQ6" i="33" l="1"/>
  <c r="BQ48" i="33" s="1"/>
  <c r="BQ55" i="33" s="1"/>
  <c r="BQ10" i="38"/>
  <c r="BQ11" i="38" s="1"/>
  <c r="BQ12" i="35"/>
  <c r="BP14" i="32" l="1"/>
  <c r="BP28" i="33"/>
  <c r="BP23" i="33"/>
  <c r="BP17" i="33"/>
  <c r="BP9" i="38"/>
  <c r="BP8" i="38"/>
  <c r="BP7" i="38"/>
  <c r="BP6" i="38"/>
  <c r="BP14" i="14"/>
  <c r="BP7" i="36"/>
  <c r="BQ14" i="14" l="1"/>
  <c r="BP45" i="32"/>
  <c r="BP42" i="32"/>
  <c r="BP33" i="32"/>
  <c r="BP31" i="32" s="1"/>
  <c r="BP55" i="32"/>
  <c r="BP43" i="32"/>
  <c r="BP30" i="32"/>
  <c r="BP15" i="32"/>
  <c r="BP7" i="32"/>
  <c r="BP63" i="32" l="1"/>
  <c r="BP27" i="32"/>
  <c r="BP23" i="29"/>
  <c r="BQ23" i="29" s="1"/>
  <c r="BP16" i="29"/>
  <c r="BP8" i="36" s="1"/>
  <c r="BP24" i="33"/>
  <c r="BP18" i="33"/>
  <c r="BP50" i="33"/>
  <c r="BP52" i="33" s="1"/>
  <c r="BP39" i="33"/>
  <c r="BP31" i="33"/>
  <c r="BP9" i="25"/>
  <c r="BQ9" i="25" s="1"/>
  <c r="BP7" i="25"/>
  <c r="BQ7" i="25" s="1"/>
  <c r="BP6" i="25"/>
  <c r="BQ6" i="25" s="1"/>
  <c r="BQ6" i="14" s="1"/>
  <c r="BP9" i="27"/>
  <c r="BQ9" i="27" s="1"/>
  <c r="BP8" i="27"/>
  <c r="BQ8" i="27" s="1"/>
  <c r="BP7" i="27"/>
  <c r="BP9" i="35"/>
  <c r="BP6" i="35"/>
  <c r="BQ7" i="27" l="1"/>
  <c r="BQ6" i="27" s="1"/>
  <c r="BQ8" i="25"/>
  <c r="BQ10" i="25" s="1"/>
  <c r="BP6" i="14"/>
  <c r="BP65" i="32"/>
  <c r="BP6" i="33"/>
  <c r="BP48" i="33" s="1"/>
  <c r="BP55" i="33" s="1"/>
  <c r="BP8" i="25"/>
  <c r="BP10" i="25" s="1"/>
  <c r="BP6" i="27"/>
  <c r="BP10" i="38"/>
  <c r="BP11" i="38" s="1"/>
  <c r="BP12" i="35"/>
  <c r="BQ12" i="25" l="1"/>
  <c r="BQ6" i="29"/>
  <c r="BP12" i="25"/>
  <c r="BP6" i="29"/>
  <c r="BP6" i="34"/>
  <c r="BK36" i="33"/>
  <c r="AG36" i="33"/>
  <c r="BO9" i="36"/>
  <c r="BQ9" i="36" l="1"/>
  <c r="CJ9" i="36"/>
  <c r="BQ7" i="14"/>
  <c r="BQ15" i="14" s="1"/>
  <c r="BQ9" i="29"/>
  <c r="BP9" i="29"/>
  <c r="BP7" i="14"/>
  <c r="BP15" i="14" s="1"/>
  <c r="BO45" i="32"/>
  <c r="BO42" i="32"/>
  <c r="BO33" i="32"/>
  <c r="BO14" i="32"/>
  <c r="BO15" i="32"/>
  <c r="BQ8" i="14" l="1"/>
  <c r="BQ9" i="14" s="1"/>
  <c r="BQ15" i="29"/>
  <c r="BQ19" i="29" s="1"/>
  <c r="BQ21" i="29" s="1"/>
  <c r="BP15" i="29"/>
  <c r="BP19" i="29" s="1"/>
  <c r="BP21" i="29" s="1"/>
  <c r="BP8" i="14"/>
  <c r="BP9" i="14" s="1"/>
  <c r="BO50" i="33"/>
  <c r="BO26" i="33"/>
  <c r="BN26" i="33"/>
  <c r="BO28" i="33"/>
  <c r="BO17" i="33"/>
  <c r="BO9" i="33"/>
  <c r="BQ12" i="14" l="1"/>
  <c r="BQ13" i="14" s="1"/>
  <c r="BQ6" i="36"/>
  <c r="BQ10" i="36" s="1"/>
  <c r="BQ24" i="36" s="1"/>
  <c r="BQ10" i="14" s="1"/>
  <c r="BQ11" i="14" s="1"/>
  <c r="BP12" i="14"/>
  <c r="BP13" i="14" s="1"/>
  <c r="BP6" i="36"/>
  <c r="BP10" i="36" s="1"/>
  <c r="BP24" i="36" s="1"/>
  <c r="BP10" i="14" s="1"/>
  <c r="BP11" i="14" s="1"/>
  <c r="BO6" i="14"/>
  <c r="CJ6" i="14" s="1"/>
  <c r="BO7" i="36"/>
  <c r="CJ7" i="36" s="1"/>
  <c r="BO55" i="32"/>
  <c r="BO43" i="32"/>
  <c r="BO31" i="32"/>
  <c r="BO30" i="32"/>
  <c r="BO7" i="32"/>
  <c r="BO16" i="29"/>
  <c r="BO52" i="33"/>
  <c r="BO39" i="33"/>
  <c r="BO31" i="33"/>
  <c r="BO24" i="33"/>
  <c r="BO18" i="33"/>
  <c r="BO9" i="35"/>
  <c r="BO6" i="35"/>
  <c r="BO6" i="34"/>
  <c r="BO63" i="32" l="1"/>
  <c r="BO8" i="36"/>
  <c r="CJ8" i="36" s="1"/>
  <c r="BO6" i="33"/>
  <c r="BO12" i="35"/>
  <c r="BO27" i="32"/>
  <c r="CI20" i="36"/>
  <c r="CH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CI8" i="34"/>
  <c r="CI7" i="34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N6" i="25" s="1"/>
  <c r="BM7" i="25"/>
  <c r="BN7" i="25" s="1"/>
  <c r="BN9" i="27"/>
  <c r="BN7" i="27"/>
  <c r="BN8" i="27"/>
  <c r="BN7" i="38"/>
  <c r="BN9" i="38"/>
  <c r="BN6" i="38"/>
  <c r="BN8" i="38"/>
  <c r="BL6" i="14"/>
  <c r="BK6" i="14"/>
  <c r="CI23" i="36"/>
  <c r="CI19" i="36"/>
  <c r="CI18" i="36"/>
  <c r="CI17" i="36"/>
  <c r="CI16" i="36"/>
  <c r="CI15" i="36"/>
  <c r="CI14" i="36"/>
  <c r="CI13" i="36"/>
  <c r="CI12" i="36"/>
  <c r="CI11" i="36"/>
  <c r="CI9" i="36"/>
  <c r="CH23" i="36"/>
  <c r="CH19" i="36"/>
  <c r="CH17" i="36"/>
  <c r="CH16" i="36"/>
  <c r="CH15" i="36"/>
  <c r="CH14" i="36"/>
  <c r="CH12" i="36"/>
  <c r="CH11" i="36"/>
  <c r="BN7" i="36"/>
  <c r="BM7" i="36"/>
  <c r="BL7" i="36"/>
  <c r="BK7" i="36"/>
  <c r="BN14" i="14" l="1"/>
  <c r="CI14" i="14" s="1"/>
  <c r="CI7" i="36"/>
  <c r="BN6" i="14"/>
  <c r="BO8" i="25"/>
  <c r="BM6" i="14"/>
  <c r="BO6" i="27"/>
  <c r="BK55" i="32"/>
  <c r="BK43" i="32"/>
  <c r="BK31" i="32"/>
  <c r="BK30" i="32"/>
  <c r="BK15" i="32"/>
  <c r="BK7" i="32"/>
  <c r="CI23" i="29"/>
  <c r="CI22" i="29"/>
  <c r="CI20" i="29"/>
  <c r="CI18" i="29"/>
  <c r="CI17" i="29"/>
  <c r="CI14" i="29"/>
  <c r="CI13" i="29"/>
  <c r="CI12" i="29"/>
  <c r="CI11" i="29"/>
  <c r="CI10" i="29"/>
  <c r="CI8" i="29"/>
  <c r="CI7" i="29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CI11" i="25"/>
  <c r="CI9" i="25"/>
  <c r="CI7" i="25"/>
  <c r="CI6" i="25"/>
  <c r="CI9" i="27"/>
  <c r="CI8" i="27"/>
  <c r="CI7" i="27"/>
  <c r="BN6" i="27"/>
  <c r="BM6" i="27"/>
  <c r="BL6" i="27"/>
  <c r="BK6" i="27"/>
  <c r="BK10" i="38"/>
  <c r="BK11" i="38" s="1"/>
  <c r="BL10" i="38"/>
  <c r="CI11" i="35"/>
  <c r="CI10" i="35"/>
  <c r="CI8" i="35"/>
  <c r="CI7" i="35"/>
  <c r="CH11" i="35"/>
  <c r="CH10" i="35"/>
  <c r="CH8" i="35"/>
  <c r="CH7" i="35"/>
  <c r="BN9" i="35"/>
  <c r="BM9" i="35"/>
  <c r="BK9" i="35"/>
  <c r="BN6" i="35"/>
  <c r="BM6" i="35"/>
  <c r="BK6" i="35"/>
  <c r="BN6" i="34"/>
  <c r="BM6" i="34"/>
  <c r="BK6" i="34"/>
  <c r="BO10" i="25" l="1"/>
  <c r="CI6" i="14"/>
  <c r="BO10" i="38"/>
  <c r="BL11" i="38"/>
  <c r="BM12" i="35"/>
  <c r="BN12" i="35"/>
  <c r="BN6" i="33"/>
  <c r="BN48" i="33" s="1"/>
  <c r="BL6" i="33"/>
  <c r="BL48" i="33" s="1"/>
  <c r="CI6" i="27"/>
  <c r="CI9" i="35"/>
  <c r="CI6" i="35"/>
  <c r="CI6" i="34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BO6" i="29"/>
  <c r="CJ6" i="29" s="1"/>
  <c r="BO11" i="38"/>
  <c r="BL8" i="36"/>
  <c r="BN55" i="33"/>
  <c r="BL10" i="25"/>
  <c r="BM55" i="33"/>
  <c r="BL55" i="33"/>
  <c r="BL6" i="29"/>
  <c r="CI12" i="35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H14" i="29" s="1"/>
  <c r="BJ10" i="29"/>
  <c r="CH10" i="29" s="1"/>
  <c r="BJ8" i="29"/>
  <c r="CH8" i="29" s="1"/>
  <c r="BJ7" i="29"/>
  <c r="CH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CJ9" i="29" s="1"/>
  <c r="BO7" i="14"/>
  <c r="CJ7" i="14" s="1"/>
  <c r="CI8" i="36"/>
  <c r="BL12" i="25"/>
  <c r="CJ11" i="38"/>
  <c r="BN12" i="25"/>
  <c r="BN6" i="29"/>
  <c r="CI8" i="25"/>
  <c r="BM12" i="25"/>
  <c r="BM6" i="29"/>
  <c r="BL9" i="29"/>
  <c r="BL7" i="14"/>
  <c r="BK12" i="25"/>
  <c r="CI10" i="25"/>
  <c r="BK6" i="29"/>
  <c r="CI1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H8" i="34"/>
  <c r="CH7" i="34"/>
  <c r="BJ6" i="34"/>
  <c r="CJ15" i="14" l="1"/>
  <c r="BO15" i="14"/>
  <c r="BO15" i="29"/>
  <c r="CJ15" i="29" s="1"/>
  <c r="BO8" i="14"/>
  <c r="CJ8" i="14" s="1"/>
  <c r="BL15" i="14"/>
  <c r="BN9" i="29"/>
  <c r="BN7" i="14"/>
  <c r="BN15" i="14" s="1"/>
  <c r="BI12" i="35"/>
  <c r="BM9" i="29"/>
  <c r="BM7" i="14"/>
  <c r="BL15" i="29"/>
  <c r="BL8" i="14"/>
  <c r="CI12" i="25"/>
  <c r="BK9" i="29"/>
  <c r="BK7" i="14"/>
  <c r="CI6" i="29"/>
  <c r="BJ11" i="29"/>
  <c r="CH11" i="29" s="1"/>
  <c r="BJ7" i="27"/>
  <c r="CH7" i="27" s="1"/>
  <c r="BJ9" i="27"/>
  <c r="CH9" i="27" s="1"/>
  <c r="BJ8" i="27"/>
  <c r="CH8" i="27" s="1"/>
  <c r="BJ63" i="32"/>
  <c r="BJ27" i="32"/>
  <c r="BJ6" i="33"/>
  <c r="BI6" i="27"/>
  <c r="BI18" i="36"/>
  <c r="CH18" i="36" s="1"/>
  <c r="BJ48" i="33" l="1"/>
  <c r="BJ55" i="33" s="1"/>
  <c r="CJ9" i="14"/>
  <c r="BO9" i="14"/>
  <c r="BO19" i="29"/>
  <c r="CJ19" i="29" s="1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CI7" i="14"/>
  <c r="BK15" i="29"/>
  <c r="BK8" i="14"/>
  <c r="CI9" i="29"/>
  <c r="BJ65" i="32"/>
  <c r="BI22" i="29"/>
  <c r="BI23" i="29"/>
  <c r="BI20" i="29"/>
  <c r="BO21" i="29" l="1"/>
  <c r="BL21" i="29"/>
  <c r="BN12" i="14"/>
  <c r="BN13" i="14" s="1"/>
  <c r="BN6" i="36"/>
  <c r="BN10" i="36" s="1"/>
  <c r="BN24" i="36" s="1"/>
  <c r="BN10" i="14" s="1"/>
  <c r="BN11" i="14" s="1"/>
  <c r="BM12" i="14"/>
  <c r="BM13" i="14" s="1"/>
  <c r="BM6" i="36"/>
  <c r="BM10" i="36" s="1"/>
  <c r="BM24" i="36" s="1"/>
  <c r="BM10" i="14" s="1"/>
  <c r="BM11" i="14" s="1"/>
  <c r="BK9" i="14"/>
  <c r="CI8" i="14"/>
  <c r="BK19" i="29"/>
  <c r="CI15" i="29"/>
  <c r="BJ20" i="29"/>
  <c r="BJ7" i="36" s="1"/>
  <c r="BJ23" i="29"/>
  <c r="CH23" i="29" s="1"/>
  <c r="BJ22" i="29"/>
  <c r="CH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BO6" i="36" l="1"/>
  <c r="CJ6" i="36" s="1"/>
  <c r="CJ21" i="29"/>
  <c r="CH20" i="29"/>
  <c r="BO12" i="14"/>
  <c r="CJ12" i="14" s="1"/>
  <c r="BL6" i="36"/>
  <c r="BL12" i="14"/>
  <c r="BI6" i="33"/>
  <c r="BK21" i="29"/>
  <c r="CI19" i="29"/>
  <c r="BH16" i="29"/>
  <c r="BI8" i="38"/>
  <c r="BJ8" i="38" s="1"/>
  <c r="CI8" i="38" s="1"/>
  <c r="BI12" i="29"/>
  <c r="BJ12" i="29" s="1"/>
  <c r="BI13" i="29"/>
  <c r="BJ13" i="29" s="1"/>
  <c r="BI17" i="29"/>
  <c r="BJ17" i="29" s="1"/>
  <c r="CH17" i="29" s="1"/>
  <c r="BI6" i="38"/>
  <c r="BI18" i="29"/>
  <c r="BJ18" i="29" s="1"/>
  <c r="BI9" i="36"/>
  <c r="BI13" i="36"/>
  <c r="CH13" i="36" s="1"/>
  <c r="BI11" i="25"/>
  <c r="BJ11" i="25" s="1"/>
  <c r="BI9" i="38"/>
  <c r="BJ9" i="38" s="1"/>
  <c r="CI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BO10" i="36"/>
  <c r="CJ10" i="36" s="1"/>
  <c r="BO13" i="14"/>
  <c r="CJ13" i="14"/>
  <c r="BL13" i="14"/>
  <c r="BL10" i="36"/>
  <c r="CH18" i="29"/>
  <c r="CH13" i="29"/>
  <c r="CH12" i="29"/>
  <c r="CH9" i="25"/>
  <c r="CH8" i="38"/>
  <c r="CH9" i="38"/>
  <c r="CH14" i="14"/>
  <c r="CH11" i="25"/>
  <c r="BK6" i="36"/>
  <c r="BK12" i="14"/>
  <c r="CI21" i="29"/>
  <c r="BH8" i="36"/>
  <c r="BH11" i="38"/>
  <c r="BI10" i="38"/>
  <c r="BI11" i="38" s="1"/>
  <c r="BJ7" i="38"/>
  <c r="BJ9" i="36"/>
  <c r="CH9" i="36" s="1"/>
  <c r="BJ16" i="29"/>
  <c r="BJ8" i="36" s="1"/>
  <c r="BJ6" i="38"/>
  <c r="BI65" i="32"/>
  <c r="BO24" i="36" l="1"/>
  <c r="CJ24" i="36" s="1"/>
  <c r="BL24" i="36"/>
  <c r="CI6" i="38"/>
  <c r="CH6" i="38"/>
  <c r="BJ10" i="38"/>
  <c r="BJ11" i="38" s="1"/>
  <c r="CH7" i="38"/>
  <c r="BK13" i="14"/>
  <c r="CI12" i="14"/>
  <c r="BK10" i="36"/>
  <c r="CI6" i="36"/>
  <c r="BO10" i="14" l="1"/>
  <c r="CJ10" i="14" s="1"/>
  <c r="BL10" i="14"/>
  <c r="CI7" i="38"/>
  <c r="BK24" i="36"/>
  <c r="CI10" i="36"/>
  <c r="BI7" i="36"/>
  <c r="BO11" i="14" l="1"/>
  <c r="CJ11" i="14"/>
  <c r="BL11" i="14"/>
  <c r="CI10" i="38"/>
  <c r="BK10" i="14"/>
  <c r="CI24" i="36"/>
  <c r="BH7" i="32"/>
  <c r="BH15" i="32"/>
  <c r="BH55" i="32"/>
  <c r="BH43" i="32"/>
  <c r="BH31" i="32"/>
  <c r="BH30" i="32"/>
  <c r="BI16" i="29"/>
  <c r="BH50" i="33"/>
  <c r="BG50" i="33"/>
  <c r="BK11" i="14" l="1"/>
  <c r="CI10" i="14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G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H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H8" i="36" s="1"/>
  <c r="CH16" i="29"/>
  <c r="BH10" i="25"/>
  <c r="BJ6" i="25"/>
  <c r="CH6" i="25" s="1"/>
  <c r="BJ7" i="25"/>
  <c r="CH7" i="25" s="1"/>
  <c r="BI8" i="25"/>
  <c r="BI10" i="25" s="1"/>
  <c r="BI12" i="25" s="1"/>
  <c r="BH12" i="25"/>
  <c r="BH6" i="29"/>
  <c r="BI6" i="14"/>
  <c r="BG27" i="32"/>
  <c r="BG63" i="32"/>
  <c r="BG8" i="25"/>
  <c r="BG6" i="14"/>
  <c r="BG52" i="33"/>
  <c r="BG39" i="33"/>
  <c r="BG31" i="33"/>
  <c r="BG24" i="33"/>
  <c r="BG18" i="33"/>
  <c r="BG6" i="27"/>
  <c r="CH6" i="27" s="1"/>
  <c r="BJ6" i="14" l="1"/>
  <c r="CH6" i="14" s="1"/>
  <c r="BG10" i="25"/>
  <c r="BG6" i="29" s="1"/>
  <c r="BG6" i="33"/>
  <c r="BJ8" i="25"/>
  <c r="BJ10" i="25" s="1"/>
  <c r="BJ12" i="25" s="1"/>
  <c r="BI6" i="29"/>
  <c r="BI9" i="29" s="1"/>
  <c r="BJ6" i="29"/>
  <c r="BH9" i="29"/>
  <c r="BH7" i="14"/>
  <c r="BG65" i="32"/>
  <c r="BG6" i="35"/>
  <c r="CH6" i="35" s="1"/>
  <c r="BG9" i="35"/>
  <c r="CH9" i="35" s="1"/>
  <c r="BI6" i="34"/>
  <c r="BG12" i="25" l="1"/>
  <c r="CH12" i="25" s="1"/>
  <c r="BG48" i="33"/>
  <c r="BG55" i="33" s="1"/>
  <c r="BI7" i="14"/>
  <c r="BI15" i="14" s="1"/>
  <c r="CH6" i="29"/>
  <c r="CH8" i="25"/>
  <c r="CH10" i="25"/>
  <c r="BH15" i="14"/>
  <c r="CH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BG12" i="35"/>
  <c r="CH12" i="35" s="1"/>
  <c r="BF7" i="29"/>
  <c r="BC50" i="33"/>
  <c r="BD50" i="33" s="1"/>
  <c r="BE50" i="33" s="1"/>
  <c r="BF50" i="33" s="1"/>
  <c r="CH7" i="14" l="1"/>
  <c r="CH15" i="14" s="1"/>
  <c r="BI9" i="14"/>
  <c r="BG8" i="14"/>
  <c r="BG9" i="14" s="1"/>
  <c r="CH9" i="29"/>
  <c r="BH9" i="14"/>
  <c r="BH19" i="29"/>
  <c r="BJ8" i="14"/>
  <c r="BJ9" i="14" s="1"/>
  <c r="BJ15" i="29"/>
  <c r="BJ19" i="29" s="1"/>
  <c r="BJ21" i="29" s="1"/>
  <c r="BI6" i="36"/>
  <c r="BI10" i="36" s="1"/>
  <c r="BI24" i="36" s="1"/>
  <c r="BI10" i="14" s="1"/>
  <c r="BI11" i="14" s="1"/>
  <c r="BI12" i="14"/>
  <c r="BI13" i="14" s="1"/>
  <c r="BG15" i="29"/>
  <c r="BG15" i="14"/>
  <c r="CG23" i="36"/>
  <c r="CG18" i="36"/>
  <c r="CG17" i="36"/>
  <c r="CG16" i="36"/>
  <c r="CG15" i="36"/>
  <c r="CG14" i="36"/>
  <c r="CG12" i="36"/>
  <c r="CG11" i="36"/>
  <c r="BF7" i="36"/>
  <c r="BF55" i="32"/>
  <c r="BF43" i="32"/>
  <c r="BF7" i="32"/>
  <c r="BF31" i="32"/>
  <c r="BF30" i="32"/>
  <c r="BF15" i="32"/>
  <c r="CG7" i="29"/>
  <c r="BF52" i="33"/>
  <c r="BF39" i="33"/>
  <c r="BF31" i="33"/>
  <c r="BF24" i="33"/>
  <c r="BF18" i="33"/>
  <c r="CG11" i="35"/>
  <c r="CG10" i="35"/>
  <c r="CG8" i="35"/>
  <c r="CG7" i="35"/>
  <c r="BF9" i="35"/>
  <c r="BF6" i="35"/>
  <c r="CG8" i="34"/>
  <c r="CG7" i="34"/>
  <c r="BF6" i="34"/>
  <c r="CH15" i="29" l="1"/>
  <c r="CH8" i="14"/>
  <c r="CH9" i="14" s="1"/>
  <c r="BH21" i="29"/>
  <c r="BJ6" i="36"/>
  <c r="BJ10" i="36" s="1"/>
  <c r="BJ24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H19" i="29"/>
  <c r="BH6" i="36"/>
  <c r="BH12" i="14"/>
  <c r="BF65" i="32"/>
  <c r="CG14" i="14"/>
  <c r="BE13" i="36"/>
  <c r="CH6" i="36" l="1"/>
  <c r="BG12" i="14"/>
  <c r="CH21" i="29"/>
  <c r="BH13" i="14"/>
  <c r="BH10" i="36"/>
  <c r="BG10" i="36"/>
  <c r="BF13" i="36"/>
  <c r="CG13" i="36" s="1"/>
  <c r="BE17" i="33"/>
  <c r="BE9" i="33"/>
  <c r="CH10" i="36" l="1"/>
  <c r="CH12" i="14"/>
  <c r="CH13" i="14" s="1"/>
  <c r="BG13" i="14"/>
  <c r="BH24" i="36"/>
  <c r="BG24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H24" i="36" l="1"/>
  <c r="BH10" i="14"/>
  <c r="BG10" i="14"/>
  <c r="BD12" i="35"/>
  <c r="BE9" i="27"/>
  <c r="BF9" i="27" s="1"/>
  <c r="BE11" i="25"/>
  <c r="BE10" i="29"/>
  <c r="BF10" i="29" s="1"/>
  <c r="CG10" i="29" s="1"/>
  <c r="BE14" i="29"/>
  <c r="CG14" i="29" s="1"/>
  <c r="BE22" i="29"/>
  <c r="BF22" i="29" s="1"/>
  <c r="BE7" i="27"/>
  <c r="BF7" i="27" s="1"/>
  <c r="CG7" i="27" s="1"/>
  <c r="BE12" i="29"/>
  <c r="BF12" i="29" s="1"/>
  <c r="CG12" i="29" s="1"/>
  <c r="BE8" i="29"/>
  <c r="BF8" i="29" s="1"/>
  <c r="BE23" i="29"/>
  <c r="BF23" i="29" s="1"/>
  <c r="CG23" i="29" s="1"/>
  <c r="CG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H10" i="14"/>
  <c r="CH11" i="14" s="1"/>
  <c r="BH11" i="14"/>
  <c r="BF13" i="29"/>
  <c r="CG13" i="29" s="1"/>
  <c r="BF11" i="25"/>
  <c r="CG11" i="25" s="1"/>
  <c r="CG22" i="29"/>
  <c r="BG11" i="14"/>
  <c r="CG9" i="38"/>
  <c r="BF6" i="27"/>
  <c r="CG8" i="38"/>
  <c r="CG20" i="29"/>
  <c r="CG8" i="27"/>
  <c r="CG9" i="25"/>
  <c r="CG8" i="29"/>
  <c r="CG9" i="27"/>
  <c r="BE9" i="36"/>
  <c r="BE65" i="32"/>
  <c r="BG10" i="38" l="1"/>
  <c r="BF9" i="36"/>
  <c r="CG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H10" i="38" l="1"/>
  <c r="CH11" i="38" s="1"/>
  <c r="BD6" i="33"/>
  <c r="BE12" i="35"/>
  <c r="BD63" i="32"/>
  <c r="BD27" i="32"/>
  <c r="CF8" i="34"/>
  <c r="CF11" i="35"/>
  <c r="CF10" i="35"/>
  <c r="CF8" i="35"/>
  <c r="CF7" i="35"/>
  <c r="CF11" i="25"/>
  <c r="CF23" i="36"/>
  <c r="CF17" i="36"/>
  <c r="CF16" i="36"/>
  <c r="CF15" i="36"/>
  <c r="CF14" i="36"/>
  <c r="CF12" i="36"/>
  <c r="BD48" i="33" l="1"/>
  <c r="BD55" i="33" s="1"/>
  <c r="BD65" i="32"/>
  <c r="BC7" i="14"/>
  <c r="BC15" i="14" l="1"/>
  <c r="BC7" i="36" l="1"/>
  <c r="CG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G18" i="29" s="1"/>
  <c r="BE17" i="29"/>
  <c r="BE11" i="29"/>
  <c r="CG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CG8" i="36" l="1"/>
  <c r="CG17" i="29"/>
  <c r="CG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G7" i="25" s="1"/>
  <c r="BD6" i="14"/>
  <c r="BD8" i="25"/>
  <c r="BD10" i="25" s="1"/>
  <c r="BC6" i="27"/>
  <c r="CG6" i="27" s="1"/>
  <c r="BC10" i="38"/>
  <c r="BC9" i="35"/>
  <c r="CG9" i="35" s="1"/>
  <c r="BC6" i="35"/>
  <c r="CG6" i="35" s="1"/>
  <c r="BE8" i="25" l="1"/>
  <c r="BE10" i="25" s="1"/>
  <c r="BE6" i="29" s="1"/>
  <c r="BE6" i="14"/>
  <c r="BF6" i="14"/>
  <c r="BF8" i="25"/>
  <c r="BF10" i="25" s="1"/>
  <c r="BF6" i="29" s="1"/>
  <c r="CG6" i="25"/>
  <c r="BD12" i="25"/>
  <c r="BD6" i="29"/>
  <c r="BC11" i="38"/>
  <c r="CG10" i="38"/>
  <c r="BC8" i="25"/>
  <c r="BC12" i="35"/>
  <c r="CG12" i="35" s="1"/>
  <c r="BE12" i="25" l="1"/>
  <c r="CG6" i="14"/>
  <c r="CG8" i="25"/>
  <c r="BF12" i="25"/>
  <c r="BF9" i="29"/>
  <c r="BF7" i="14"/>
  <c r="BF15" i="14" s="1"/>
  <c r="BD7" i="14"/>
  <c r="CG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G7" i="14"/>
  <c r="CG15" i="14" s="1"/>
  <c r="BC12" i="25"/>
  <c r="CG12" i="25" s="1"/>
  <c r="CG10" i="25"/>
  <c r="BD8" i="14"/>
  <c r="BD15" i="29"/>
  <c r="CG9" i="29"/>
  <c r="BF8" i="14"/>
  <c r="BF9" i="14" s="1"/>
  <c r="BF15" i="29"/>
  <c r="BF19" i="29" s="1"/>
  <c r="BF21" i="29" s="1"/>
  <c r="BC6" i="34"/>
  <c r="CG6" i="34" s="1"/>
  <c r="BD19" i="29" l="1"/>
  <c r="BF12" i="14"/>
  <c r="BF13" i="14" s="1"/>
  <c r="BF6" i="36"/>
  <c r="BF10" i="36" s="1"/>
  <c r="BF24" i="36" s="1"/>
  <c r="BF10" i="14" s="1"/>
  <c r="BF11" i="14" s="1"/>
  <c r="BE6" i="36"/>
  <c r="BE10" i="36" s="1"/>
  <c r="BE24" i="36" s="1"/>
  <c r="BE10" i="14" s="1"/>
  <c r="BE11" i="14" s="1"/>
  <c r="BE12" i="14"/>
  <c r="BE13" i="14" s="1"/>
  <c r="BD9" i="14"/>
  <c r="CG8" i="14"/>
  <c r="CG9" i="14" s="1"/>
  <c r="AZ7" i="38"/>
  <c r="BD21" i="29" l="1"/>
  <c r="BA7" i="38"/>
  <c r="BB7" i="38" s="1"/>
  <c r="CF7" i="38" s="1"/>
  <c r="BB11" i="36"/>
  <c r="CF11" i="36" s="1"/>
  <c r="BD6" i="36" l="1"/>
  <c r="BD12" i="14"/>
  <c r="BB55" i="32"/>
  <c r="BB43" i="32"/>
  <c r="BB31" i="32"/>
  <c r="BB30" i="32"/>
  <c r="BB15" i="32"/>
  <c r="BB7" i="32"/>
  <c r="BB20" i="29"/>
  <c r="BB14" i="29"/>
  <c r="CF14" i="29" s="1"/>
  <c r="BB10" i="29"/>
  <c r="CF10" i="29" s="1"/>
  <c r="BB8" i="29"/>
  <c r="CF8" i="29" s="1"/>
  <c r="BB7" i="29"/>
  <c r="CF7" i="29" s="1"/>
  <c r="BB6" i="29"/>
  <c r="BD10" i="36" l="1"/>
  <c r="BD13" i="14"/>
  <c r="BB7" i="14"/>
  <c r="BB15" i="14" s="1"/>
  <c r="CF6" i="29"/>
  <c r="BB7" i="36"/>
  <c r="CF20" i="29"/>
  <c r="BB63" i="32"/>
  <c r="BB27" i="32"/>
  <c r="BB9" i="29"/>
  <c r="BD24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F7" i="27" s="1"/>
  <c r="BB9" i="35"/>
  <c r="BB6" i="35"/>
  <c r="AY7" i="34"/>
  <c r="CF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E7" i="27"/>
  <c r="CD7" i="27"/>
  <c r="CC7" i="27"/>
  <c r="CB7" i="27"/>
  <c r="CA7" i="27"/>
  <c r="BZ7" i="27"/>
  <c r="BY7" i="27"/>
  <c r="BX7" i="27"/>
  <c r="BW7" i="27"/>
  <c r="BV7" i="27"/>
  <c r="BU7" i="27"/>
  <c r="BT7" i="27"/>
  <c r="CE8" i="27"/>
  <c r="CD8" i="27"/>
  <c r="CC8" i="27"/>
  <c r="CB8" i="27"/>
  <c r="CA8" i="27"/>
  <c r="BZ8" i="27"/>
  <c r="BY8" i="27"/>
  <c r="BX8" i="27"/>
  <c r="BW8" i="27"/>
  <c r="BV8" i="27"/>
  <c r="BU8" i="27"/>
  <c r="BT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T7" i="35"/>
  <c r="BU7" i="35"/>
  <c r="BV7" i="35"/>
  <c r="BW7" i="35"/>
  <c r="BX7" i="35"/>
  <c r="BY7" i="35"/>
  <c r="BZ7" i="35"/>
  <c r="CA7" i="35"/>
  <c r="CB7" i="35"/>
  <c r="CC7" i="35"/>
  <c r="CD7" i="35"/>
  <c r="CE7" i="35"/>
  <c r="BT8" i="35"/>
  <c r="BU8" i="35"/>
  <c r="BV8" i="35"/>
  <c r="BW8" i="35"/>
  <c r="BX8" i="35"/>
  <c r="BY8" i="35"/>
  <c r="BZ8" i="35"/>
  <c r="CA8" i="35"/>
  <c r="CB8" i="35"/>
  <c r="CC8" i="35"/>
  <c r="CD8" i="35"/>
  <c r="CE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T10" i="35"/>
  <c r="BU10" i="35"/>
  <c r="BV10" i="35"/>
  <c r="BW10" i="35"/>
  <c r="BX10" i="35"/>
  <c r="BY10" i="35"/>
  <c r="BZ10" i="35"/>
  <c r="CA10" i="35"/>
  <c r="CB10" i="35"/>
  <c r="CC10" i="35"/>
  <c r="CD10" i="35"/>
  <c r="CE10" i="35"/>
  <c r="BT11" i="35"/>
  <c r="BU11" i="35"/>
  <c r="BV11" i="35"/>
  <c r="BW11" i="35"/>
  <c r="BX11" i="35"/>
  <c r="BY11" i="35"/>
  <c r="BZ11" i="35"/>
  <c r="CA11" i="35"/>
  <c r="CB11" i="35"/>
  <c r="CC11" i="35"/>
  <c r="CD11" i="35"/>
  <c r="CE11" i="35"/>
  <c r="CF6" i="35" l="1"/>
  <c r="CF9" i="35"/>
  <c r="CE6" i="35"/>
  <c r="BA18" i="36"/>
  <c r="BB18" i="36" l="1"/>
  <c r="CF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F22" i="29" s="1"/>
  <c r="BB18" i="29"/>
  <c r="CF18" i="29" s="1"/>
  <c r="BB17" i="29"/>
  <c r="BB12" i="29"/>
  <c r="CF12" i="29" s="1"/>
  <c r="BB23" i="29"/>
  <c r="CF23" i="29" s="1"/>
  <c r="BB13" i="29"/>
  <c r="CF13" i="29" s="1"/>
  <c r="BA9" i="25"/>
  <c r="BB16" i="29" l="1"/>
  <c r="BB8" i="36" s="1"/>
  <c r="CF17" i="29"/>
  <c r="BB9" i="25"/>
  <c r="CF9" i="25" s="1"/>
  <c r="BC15" i="29"/>
  <c r="CG15" i="29" s="1"/>
  <c r="BA9" i="27"/>
  <c r="BA8" i="27"/>
  <c r="BA9" i="38"/>
  <c r="BA8" i="38"/>
  <c r="BA6" i="38"/>
  <c r="BB9" i="27" l="1"/>
  <c r="CF9" i="27" s="1"/>
  <c r="BB8" i="38"/>
  <c r="BB9" i="38"/>
  <c r="CF9" i="38" s="1"/>
  <c r="BB6" i="38"/>
  <c r="BB8" i="27"/>
  <c r="BB6" i="27" s="1"/>
  <c r="BC19" i="29"/>
  <c r="CG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F8" i="27"/>
  <c r="CF6" i="27"/>
  <c r="BB10" i="38"/>
  <c r="BB11" i="38" s="1"/>
  <c r="CF8" i="38"/>
  <c r="CF6" i="38"/>
  <c r="BD11" i="38"/>
  <c r="BC21" i="29"/>
  <c r="CG21" i="29" s="1"/>
  <c r="BA8" i="14"/>
  <c r="BA9" i="14" s="1"/>
  <c r="BA63" i="32"/>
  <c r="BA27" i="32"/>
  <c r="BA12" i="35"/>
  <c r="BA15" i="14"/>
  <c r="AV28" i="33"/>
  <c r="AV20" i="33"/>
  <c r="AV9" i="33"/>
  <c r="BC6" i="36" l="1"/>
  <c r="CG6" i="36" s="1"/>
  <c r="BC12" i="14"/>
  <c r="CG12" i="14" s="1"/>
  <c r="CG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G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F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F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F14" i="14" s="1"/>
  <c r="AY7" i="36"/>
  <c r="CF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F11" i="29"/>
  <c r="BB12" i="14"/>
  <c r="BB13" i="14" s="1"/>
  <c r="BB6" i="36"/>
  <c r="BA9" i="36"/>
  <c r="BB9" i="36" s="1"/>
  <c r="AZ10" i="36"/>
  <c r="AZ13" i="36"/>
  <c r="AY7" i="14"/>
  <c r="AY6" i="14"/>
  <c r="CF6" i="14" s="1"/>
  <c r="AX7" i="14"/>
  <c r="AX6" i="14"/>
  <c r="CE23" i="36"/>
  <c r="CE17" i="36"/>
  <c r="CE16" i="36"/>
  <c r="CE15" i="36"/>
  <c r="CE14" i="36"/>
  <c r="CE12" i="36"/>
  <c r="CE11" i="36"/>
  <c r="AX7" i="36"/>
  <c r="AY7" i="32"/>
  <c r="AY27" i="32" s="1"/>
  <c r="AX7" i="32"/>
  <c r="AX27" i="32" s="1"/>
  <c r="CE7" i="29"/>
  <c r="AY16" i="29"/>
  <c r="AY9" i="29"/>
  <c r="CE11" i="25"/>
  <c r="AY8" i="25"/>
  <c r="AX8" i="25"/>
  <c r="AX10" i="25" s="1"/>
  <c r="AX12" i="25" s="1"/>
  <c r="AY10" i="38"/>
  <c r="CE8" i="34"/>
  <c r="CE7" i="34"/>
  <c r="AY6" i="34"/>
  <c r="CF6" i="34" s="1"/>
  <c r="AX6" i="34"/>
  <c r="AY11" i="38" l="1"/>
  <c r="CF10" i="38"/>
  <c r="CF11" i="38" s="1"/>
  <c r="AY10" i="25"/>
  <c r="CF8" i="25"/>
  <c r="AY8" i="14"/>
  <c r="CF8" i="14" s="1"/>
  <c r="CF9" i="29"/>
  <c r="AY8" i="36"/>
  <c r="CF8" i="36" s="1"/>
  <c r="CF16" i="29"/>
  <c r="AY15" i="14"/>
  <c r="CF7" i="14"/>
  <c r="CF9" i="36"/>
  <c r="BC10" i="36"/>
  <c r="CG10" i="36" s="1"/>
  <c r="BA13" i="36"/>
  <c r="BB10" i="36"/>
  <c r="BA10" i="36"/>
  <c r="AZ24" i="36"/>
  <c r="AX12" i="35"/>
  <c r="AY63" i="32"/>
  <c r="AX8" i="36"/>
  <c r="AX8" i="14"/>
  <c r="AY15" i="29"/>
  <c r="AY6" i="33"/>
  <c r="AY48" i="33" s="1"/>
  <c r="AY12" i="35"/>
  <c r="CF12" i="35" s="1"/>
  <c r="AX63" i="32"/>
  <c r="AX6" i="33"/>
  <c r="AX48" i="33" s="1"/>
  <c r="AW6" i="34"/>
  <c r="AY12" i="25" l="1"/>
  <c r="CF12" i="25" s="1"/>
  <c r="CF10" i="25"/>
  <c r="AY9" i="14"/>
  <c r="AY19" i="29"/>
  <c r="CF19" i="29" s="1"/>
  <c r="CF15" i="29"/>
  <c r="BA24" i="36"/>
  <c r="BA10" i="14" s="1"/>
  <c r="BA11" i="14" s="1"/>
  <c r="CF9" i="14"/>
  <c r="AZ10" i="14"/>
  <c r="BB13" i="36"/>
  <c r="CF13" i="36" s="1"/>
  <c r="AX65" i="32"/>
  <c r="AY65" i="32"/>
  <c r="AX9" i="14"/>
  <c r="CF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F21" i="29" s="1"/>
  <c r="AZ11" i="14"/>
  <c r="BB24" i="36"/>
  <c r="BC24" i="36"/>
  <c r="CG24" i="36" s="1"/>
  <c r="CE6" i="25"/>
  <c r="CE9" i="25"/>
  <c r="CE7" i="25"/>
  <c r="AS7" i="25"/>
  <c r="AR7" i="25"/>
  <c r="AQ7" i="25"/>
  <c r="AQ8" i="25" s="1"/>
  <c r="AY6" i="36" l="1"/>
  <c r="CF6" i="36" s="1"/>
  <c r="AY12" i="14"/>
  <c r="AY13" i="14" s="1"/>
  <c r="BC10" i="14"/>
  <c r="CG10" i="14" s="1"/>
  <c r="CG11" i="14" s="1"/>
  <c r="BB10" i="14"/>
  <c r="AX12" i="14"/>
  <c r="AX6" i="36"/>
  <c r="AS15" i="36"/>
  <c r="AY10" i="36" l="1"/>
  <c r="CF10" i="36" s="1"/>
  <c r="CF12" i="14"/>
  <c r="CF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4" i="36" l="1"/>
  <c r="CF24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F10" i="14" s="1"/>
  <c r="CF11" i="14" s="1"/>
  <c r="AX10" i="36"/>
  <c r="CE9" i="36"/>
  <c r="CE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E8" i="29" s="1"/>
  <c r="AW20" i="29"/>
  <c r="AW7" i="36" s="1"/>
  <c r="AW22" i="29"/>
  <c r="CE22" i="29" s="1"/>
  <c r="AW12" i="29"/>
  <c r="CE12" i="29" s="1"/>
  <c r="AW10" i="29"/>
  <c r="CE10" i="29" s="1"/>
  <c r="AW23" i="29"/>
  <c r="CE23" i="29" s="1"/>
  <c r="AW13" i="29"/>
  <c r="CE13" i="29" s="1"/>
  <c r="AW7" i="38"/>
  <c r="AX7" i="38" s="1"/>
  <c r="AW14" i="14"/>
  <c r="AX14" i="14" s="1"/>
  <c r="AX15" i="14" s="1"/>
  <c r="AW13" i="36"/>
  <c r="AX13" i="36" s="1"/>
  <c r="AX24" i="36" s="1"/>
  <c r="AX10" i="14" s="1"/>
  <c r="AX11" i="14" s="1"/>
  <c r="AW17" i="29"/>
  <c r="CE17" i="29" s="1"/>
  <c r="AW8" i="38"/>
  <c r="AX8" i="38" s="1"/>
  <c r="AW11" i="29"/>
  <c r="CE11" i="29" s="1"/>
  <c r="AW6" i="29"/>
  <c r="AW7" i="14" s="1"/>
  <c r="AW18" i="29"/>
  <c r="CE18" i="29" s="1"/>
  <c r="AW9" i="38"/>
  <c r="AX9" i="38" s="1"/>
  <c r="AW14" i="29"/>
  <c r="CE14" i="29" s="1"/>
  <c r="AV24" i="33"/>
  <c r="AV6" i="14"/>
  <c r="AV9" i="29"/>
  <c r="AV8" i="14" s="1"/>
  <c r="AV16" i="29"/>
  <c r="AW65" i="32"/>
  <c r="AW9" i="29" l="1"/>
  <c r="AW15" i="29" s="1"/>
  <c r="CE6" i="29"/>
  <c r="AW10" i="38"/>
  <c r="AW11" i="38" s="1"/>
  <c r="CE9" i="38"/>
  <c r="CE20" i="29"/>
  <c r="AW15" i="14"/>
  <c r="CE7" i="14"/>
  <c r="AX10" i="38"/>
  <c r="AX11" i="38" s="1"/>
  <c r="CE8" i="38"/>
  <c r="AW16" i="29"/>
  <c r="AW8" i="36" s="1"/>
  <c r="CE7" i="38"/>
  <c r="CE13" i="36"/>
  <c r="CE14" i="14"/>
  <c r="AW6" i="14"/>
  <c r="CE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4" i="36" s="1"/>
  <c r="AW10" i="14" s="1"/>
  <c r="AW11" i="14" s="1"/>
  <c r="AW10" i="25"/>
  <c r="AW12" i="25" s="1"/>
  <c r="CE8" i="25"/>
  <c r="CE15" i="14"/>
  <c r="AV12" i="35"/>
  <c r="AV6" i="36"/>
  <c r="AV10" i="36" s="1"/>
  <c r="AV24" i="36" s="1"/>
  <c r="AV10" i="14" s="1"/>
  <c r="AV12" i="14"/>
  <c r="AV63" i="32"/>
  <c r="AV65" i="32" s="1"/>
  <c r="AV55" i="33"/>
  <c r="AU10" i="25"/>
  <c r="AW12" i="14" l="1"/>
  <c r="AW13" i="14" s="1"/>
  <c r="CE10" i="25"/>
  <c r="CE9" i="27"/>
  <c r="CE6" i="27"/>
  <c r="AV13" i="14"/>
  <c r="AV11" i="14" l="1"/>
  <c r="AU7" i="36"/>
  <c r="CE7" i="36" s="1"/>
  <c r="AU14" i="32" l="1"/>
  <c r="AU12" i="25"/>
  <c r="CE12" i="25" s="1"/>
  <c r="AU10" i="38"/>
  <c r="CC7" i="38"/>
  <c r="AU6" i="34"/>
  <c r="CE6" i="34" s="1"/>
  <c r="CD8" i="34"/>
  <c r="CD7" i="34"/>
  <c r="CE9" i="35"/>
  <c r="CD7" i="25"/>
  <c r="CD6" i="25"/>
  <c r="AU32" i="33"/>
  <c r="AU26" i="33"/>
  <c r="AU11" i="38" l="1"/>
  <c r="CE10" i="38"/>
  <c r="CE11" i="38" s="1"/>
  <c r="AU24" i="33"/>
  <c r="AU31" i="33"/>
  <c r="AU12" i="35"/>
  <c r="CE12" i="35" s="1"/>
  <c r="AU6" i="33" l="1"/>
  <c r="AU52" i="33"/>
  <c r="AU39" i="33" l="1"/>
  <c r="AU48" i="33" s="1"/>
  <c r="CD6" i="29"/>
  <c r="CD7" i="29"/>
  <c r="CD8" i="29"/>
  <c r="CD11" i="29"/>
  <c r="CD13" i="29"/>
  <c r="CD20" i="29"/>
  <c r="AU16" i="29"/>
  <c r="CE16" i="29" s="1"/>
  <c r="AU9" i="29"/>
  <c r="CE9" i="29" s="1"/>
  <c r="AU7" i="32"/>
  <c r="AU27" i="32" s="1"/>
  <c r="AU55" i="32"/>
  <c r="AU43" i="32"/>
  <c r="AU30" i="32"/>
  <c r="AU15" i="29" l="1"/>
  <c r="CE15" i="29" s="1"/>
  <c r="AU8" i="14"/>
  <c r="CE8" i="14" s="1"/>
  <c r="CE9" i="14" s="1"/>
  <c r="AU8" i="36"/>
  <c r="CE8" i="36" s="1"/>
  <c r="AU63" i="32"/>
  <c r="AU65" i="32" s="1"/>
  <c r="AR8" i="36"/>
  <c r="AR9" i="36"/>
  <c r="AT9" i="36"/>
  <c r="AU55" i="33" l="1"/>
  <c r="AU19" i="29"/>
  <c r="CE19" i="29" s="1"/>
  <c r="AU9" i="14"/>
  <c r="AS13" i="36"/>
  <c r="AU21" i="29" l="1"/>
  <c r="CE21" i="29" s="1"/>
  <c r="CD9" i="25"/>
  <c r="CD9" i="27"/>
  <c r="AT32" i="33"/>
  <c r="AT31" i="33" s="1"/>
  <c r="AT26" i="33"/>
  <c r="AT24" i="33" s="1"/>
  <c r="AT9" i="33"/>
  <c r="AT18" i="29"/>
  <c r="CD18" i="29" s="1"/>
  <c r="CD9" i="38"/>
  <c r="CD8" i="38"/>
  <c r="CD7" i="38"/>
  <c r="CD6" i="38"/>
  <c r="AU12" i="14" l="1"/>
  <c r="CE12" i="14" s="1"/>
  <c r="CE13" i="14" s="1"/>
  <c r="AU6" i="36"/>
  <c r="CE6" i="36" s="1"/>
  <c r="AU13" i="14" l="1"/>
  <c r="AU10" i="36"/>
  <c r="AU24" i="36" s="1"/>
  <c r="CE24" i="36" s="1"/>
  <c r="AT7" i="32"/>
  <c r="CE10" i="36" l="1"/>
  <c r="AU10" i="14"/>
  <c r="CE10" i="14" s="1"/>
  <c r="CE11" i="14" s="1"/>
  <c r="CD11" i="25"/>
  <c r="AU11" i="14" l="1"/>
  <c r="CD23" i="36"/>
  <c r="CD16" i="36"/>
  <c r="CD15" i="36"/>
  <c r="CD14" i="36"/>
  <c r="CD13" i="36"/>
  <c r="CD12" i="36"/>
  <c r="CD11" i="36"/>
  <c r="CD7" i="36"/>
  <c r="CD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4" i="36" l="1"/>
  <c r="AT10" i="14" s="1"/>
  <c r="AT12" i="25"/>
  <c r="AT6" i="33"/>
  <c r="AT15" i="29"/>
  <c r="AT63" i="32"/>
  <c r="AT27" i="32"/>
  <c r="AS39" i="33"/>
  <c r="AS23" i="33"/>
  <c r="AS18" i="33" s="1"/>
  <c r="AS14" i="32"/>
  <c r="CD9" i="36"/>
  <c r="CD8" i="36"/>
  <c r="AS6" i="14"/>
  <c r="CD6" i="14" s="1"/>
  <c r="AS7" i="14"/>
  <c r="CD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D22" i="29" s="1"/>
  <c r="AS23" i="29"/>
  <c r="CD23" i="29" s="1"/>
  <c r="AS14" i="29"/>
  <c r="CD14" i="29" s="1"/>
  <c r="BT12" i="29"/>
  <c r="AS12" i="29"/>
  <c r="CD12" i="29" s="1"/>
  <c r="AS10" i="29"/>
  <c r="CD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4" i="36" s="1"/>
  <c r="AS10" i="14" l="1"/>
  <c r="AS11" i="14" l="1"/>
  <c r="CD10" i="14"/>
  <c r="AS8" i="14"/>
  <c r="AS16" i="29"/>
  <c r="AS9" i="29"/>
  <c r="AS43" i="32"/>
  <c r="AS7" i="32"/>
  <c r="AS9" i="14" l="1"/>
  <c r="CD8" i="14"/>
  <c r="AS15" i="29"/>
  <c r="AS63" i="32"/>
  <c r="AS27" i="32"/>
  <c r="AS15" i="14"/>
  <c r="AR13" i="14"/>
  <c r="AS19" i="29" l="1"/>
  <c r="AS21" i="29" s="1"/>
  <c r="AS12" i="14" s="1"/>
  <c r="AR9" i="14"/>
  <c r="CD12" i="14" l="1"/>
  <c r="CD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D11" i="14"/>
  <c r="CD9" i="14"/>
  <c r="AR15" i="14"/>
  <c r="AR12" i="25" l="1"/>
  <c r="AR6" i="33"/>
  <c r="AR12" i="35"/>
  <c r="AR24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D9" i="35"/>
  <c r="AQ10" i="38"/>
  <c r="CD10" i="38" s="1"/>
  <c r="CD11" i="38" s="1"/>
  <c r="AR48" i="33" l="1"/>
  <c r="AR55" i="33" s="1"/>
  <c r="AQ16" i="29"/>
  <c r="CD16" i="29" s="1"/>
  <c r="CD17" i="29"/>
  <c r="AQ10" i="25"/>
  <c r="AQ12" i="25" s="1"/>
  <c r="CD8" i="25"/>
  <c r="CD9" i="29"/>
  <c r="AQ15" i="29"/>
  <c r="CD15" i="29" s="1"/>
  <c r="CD6" i="34"/>
  <c r="AQ24" i="36"/>
  <c r="CD24" i="36" s="1"/>
  <c r="CD10" i="36"/>
  <c r="AR21" i="29"/>
  <c r="AQ12" i="35"/>
  <c r="AQ11" i="38"/>
  <c r="AQ39" i="33"/>
  <c r="AQ31" i="33"/>
  <c r="AQ55" i="32"/>
  <c r="AQ43" i="32"/>
  <c r="AQ7" i="32"/>
  <c r="CD12" i="25" l="1"/>
  <c r="CD10" i="25"/>
  <c r="AQ19" i="29"/>
  <c r="AQ6" i="33"/>
  <c r="AQ63" i="32"/>
  <c r="AQ27" i="32"/>
  <c r="AP12" i="36"/>
  <c r="AP13" i="36"/>
  <c r="AP11" i="36"/>
  <c r="AQ48" i="33" l="1"/>
  <c r="AQ55" i="33" s="1"/>
  <c r="AQ21" i="29"/>
  <c r="CD21" i="29" s="1"/>
  <c r="CD19" i="29"/>
  <c r="AP6" i="36"/>
  <c r="CC8" i="34" l="1"/>
  <c r="CC7" i="34"/>
  <c r="AP6" i="34"/>
  <c r="CC9" i="38"/>
  <c r="CC8" i="38"/>
  <c r="CC6" i="38"/>
  <c r="AP10" i="38"/>
  <c r="CC9" i="27"/>
  <c r="CC11" i="25"/>
  <c r="CC9" i="25"/>
  <c r="CC7" i="25"/>
  <c r="CC6" i="25"/>
  <c r="AP8" i="25"/>
  <c r="AP10" i="25" s="1"/>
  <c r="AP52" i="33"/>
  <c r="AP39" i="33"/>
  <c r="AP31" i="33"/>
  <c r="AP6" i="33"/>
  <c r="AP48" i="33" l="1"/>
  <c r="AP55" i="33" s="1"/>
  <c r="AP12" i="35"/>
  <c r="AP11" i="38"/>
  <c r="AP12" i="25"/>
  <c r="CC23" i="29"/>
  <c r="CC22" i="29"/>
  <c r="CC20" i="29"/>
  <c r="CC18" i="29"/>
  <c r="CC17" i="29"/>
  <c r="CC14" i="29"/>
  <c r="CC11" i="29"/>
  <c r="CC10" i="29"/>
  <c r="CC8" i="29"/>
  <c r="CC7" i="29"/>
  <c r="CC6" i="29"/>
  <c r="AP16" i="29"/>
  <c r="AP9" i="29"/>
  <c r="AP15" i="29" s="1"/>
  <c r="AP55" i="32"/>
  <c r="AP43" i="32"/>
  <c r="AP7" i="32"/>
  <c r="CC23" i="36"/>
  <c r="CC16" i="36"/>
  <c r="CC14" i="36"/>
  <c r="CC13" i="36"/>
  <c r="CC12" i="36"/>
  <c r="CC11" i="36"/>
  <c r="CC9" i="36"/>
  <c r="CC8" i="36"/>
  <c r="CC7" i="36"/>
  <c r="AP10" i="36"/>
  <c r="CC14" i="14"/>
  <c r="CC12" i="14"/>
  <c r="CC8" i="14"/>
  <c r="CC7" i="14"/>
  <c r="CC6" i="14"/>
  <c r="AP15" i="14"/>
  <c r="AP13" i="14"/>
  <c r="AP9" i="14"/>
  <c r="AP24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55" i="33" s="1"/>
  <c r="AO24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4" i="36"/>
  <c r="AN10" i="14" s="1"/>
  <c r="AN11" i="14" s="1"/>
  <c r="AN6" i="33"/>
  <c r="AN48" i="33" s="1"/>
  <c r="AN55" i="33" s="1"/>
  <c r="AN63" i="32"/>
  <c r="AN27" i="32"/>
  <c r="AN19" i="29" l="1"/>
  <c r="AN21" i="29" s="1"/>
  <c r="CC9" i="14"/>
  <c r="AM6" i="34"/>
  <c r="CC6" i="34" s="1"/>
  <c r="CC6" i="35"/>
  <c r="CC9" i="35"/>
  <c r="AM10" i="38"/>
  <c r="CC6" i="27"/>
  <c r="AM8" i="25"/>
  <c r="CC8" i="25" s="1"/>
  <c r="AM31" i="33"/>
  <c r="AM39" i="33"/>
  <c r="AM52" i="33"/>
  <c r="AM13" i="29"/>
  <c r="CC13" i="29" s="1"/>
  <c r="AM12" i="29"/>
  <c r="CC12" i="29" s="1"/>
  <c r="AM9" i="29"/>
  <c r="CC9" i="29" s="1"/>
  <c r="AM16" i="29"/>
  <c r="CC16" i="29" s="1"/>
  <c r="AM55" i="32"/>
  <c r="AM7" i="32"/>
  <c r="AM43" i="32"/>
  <c r="AM6" i="36"/>
  <c r="CC6" i="36" s="1"/>
  <c r="AM9" i="14"/>
  <c r="AM13" i="14"/>
  <c r="AM15" i="14"/>
  <c r="AM11" i="38" l="1"/>
  <c r="CC10" i="38"/>
  <c r="CC11" i="38" s="1"/>
  <c r="AM10" i="36"/>
  <c r="CC10" i="36" s="1"/>
  <c r="AM12" i="35"/>
  <c r="CC12" i="35" s="1"/>
  <c r="AM10" i="25"/>
  <c r="AM6" i="33"/>
  <c r="AM48" i="33" s="1"/>
  <c r="AM55" i="33" s="1"/>
  <c r="AM15" i="29"/>
  <c r="AM63" i="32"/>
  <c r="AM27" i="32"/>
  <c r="CC15" i="14"/>
  <c r="CC13" i="14"/>
  <c r="AK55" i="32"/>
  <c r="AK43" i="32"/>
  <c r="AM12" i="25" l="1"/>
  <c r="CC12" i="25" s="1"/>
  <c r="CC10" i="25"/>
  <c r="AM19" i="29"/>
  <c r="CC15" i="29"/>
  <c r="AM24" i="36"/>
  <c r="CC24" i="36" s="1"/>
  <c r="AK63" i="32"/>
  <c r="AK7" i="32"/>
  <c r="AK27" i="32" s="1"/>
  <c r="CB8" i="34"/>
  <c r="CB7" i="34"/>
  <c r="AL6" i="34"/>
  <c r="CB9" i="27"/>
  <c r="AL18" i="33"/>
  <c r="AL31" i="33"/>
  <c r="AL39" i="33"/>
  <c r="AL52" i="33"/>
  <c r="CB8" i="38"/>
  <c r="CB9" i="38"/>
  <c r="CB7" i="38"/>
  <c r="CB6" i="38"/>
  <c r="AL10" i="38"/>
  <c r="AL11" i="38" s="1"/>
  <c r="CB11" i="25"/>
  <c r="CB9" i="25"/>
  <c r="CB7" i="25"/>
  <c r="CB6" i="25"/>
  <c r="AL8" i="25"/>
  <c r="CB11" i="29"/>
  <c r="CB23" i="29"/>
  <c r="CB22" i="29"/>
  <c r="CB20" i="29"/>
  <c r="CB18" i="29"/>
  <c r="CB17" i="29"/>
  <c r="CB14" i="29"/>
  <c r="CB10" i="29"/>
  <c r="CB8" i="29"/>
  <c r="CB7" i="29"/>
  <c r="AL6" i="29"/>
  <c r="AL9" i="29" s="1"/>
  <c r="AL16" i="29"/>
  <c r="CB23" i="36"/>
  <c r="CB16" i="36"/>
  <c r="CB14" i="36"/>
  <c r="CB13" i="36"/>
  <c r="CB12" i="36"/>
  <c r="CB11" i="36"/>
  <c r="CB9" i="36"/>
  <c r="CB8" i="36"/>
  <c r="CB7" i="36"/>
  <c r="AL6" i="36"/>
  <c r="AL10" i="36" s="1"/>
  <c r="AL24" i="36" s="1"/>
  <c r="CB14" i="14"/>
  <c r="CB12" i="14"/>
  <c r="CB8" i="14"/>
  <c r="CB7" i="14"/>
  <c r="CB6" i="14"/>
  <c r="AL9" i="14"/>
  <c r="AL13" i="14"/>
  <c r="AL15" i="14"/>
  <c r="AM21" i="29" l="1"/>
  <c r="CC21" i="29" s="1"/>
  <c r="CC19" i="29"/>
  <c r="AM10" i="14"/>
  <c r="CC10" i="14" s="1"/>
  <c r="AL10" i="14"/>
  <c r="AL11" i="14" s="1"/>
  <c r="AL6" i="33"/>
  <c r="AL48" i="33" s="1"/>
  <c r="AL55" i="33" s="1"/>
  <c r="AL12" i="35"/>
  <c r="AL10" i="25"/>
  <c r="AL12" i="25" s="1"/>
  <c r="AL15" i="29"/>
  <c r="AL19" i="29" s="1"/>
  <c r="AL21" i="29" s="1"/>
  <c r="AK6" i="36"/>
  <c r="AK10" i="36" s="1"/>
  <c r="AK24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CC11" i="14" l="1"/>
  <c r="AM11" i="14"/>
  <c r="AK6" i="33"/>
  <c r="AK48" i="33" s="1"/>
  <c r="AK55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4" i="36" s="1"/>
  <c r="AJ10" i="14" s="1"/>
  <c r="AJ9" i="14"/>
  <c r="AJ13" i="14"/>
  <c r="AJ15" i="14"/>
  <c r="AK19" i="29" l="1"/>
  <c r="AJ12" i="35"/>
  <c r="AJ10" i="25"/>
  <c r="AJ6" i="33"/>
  <c r="AJ48" i="33" s="1"/>
  <c r="AJ55" i="33" s="1"/>
  <c r="AJ19" i="29"/>
  <c r="AJ21" i="29" s="1"/>
  <c r="AJ63" i="32"/>
  <c r="AJ27" i="32"/>
  <c r="AJ11" i="14"/>
  <c r="CB9" i="35"/>
  <c r="AI12" i="29"/>
  <c r="CB12" i="29" s="1"/>
  <c r="AI13" i="29"/>
  <c r="CB13" i="29" s="1"/>
  <c r="AI57" i="32"/>
  <c r="AI52" i="32"/>
  <c r="AI49" i="32"/>
  <c r="CB13" i="14"/>
  <c r="CB9" i="14"/>
  <c r="BU9" i="35" l="1"/>
  <c r="BV9" i="35"/>
  <c r="BW9" i="35"/>
  <c r="BX9" i="35"/>
  <c r="BY9" i="35"/>
  <c r="BZ9" i="35"/>
  <c r="CA9" i="35"/>
  <c r="AK21" i="29"/>
  <c r="AJ12" i="25"/>
  <c r="AI13" i="14"/>
  <c r="AI9" i="14"/>
  <c r="AI6" i="34"/>
  <c r="CB6" i="34" s="1"/>
  <c r="CB6" i="35"/>
  <c r="AI10" i="38"/>
  <c r="CB10" i="38" s="1"/>
  <c r="AI8" i="25"/>
  <c r="CB8" i="25" s="1"/>
  <c r="AI52" i="33"/>
  <c r="AI39" i="33"/>
  <c r="AI31" i="33"/>
  <c r="AI18" i="33"/>
  <c r="AI16" i="29"/>
  <c r="CB16" i="29" s="1"/>
  <c r="AI6" i="29"/>
  <c r="CB6" i="29" s="1"/>
  <c r="AI55" i="32"/>
  <c r="AI43" i="32"/>
  <c r="AI7" i="32"/>
  <c r="AI6" i="36"/>
  <c r="CB6" i="36" s="1"/>
  <c r="CB6" i="27" l="1"/>
  <c r="AI11" i="38"/>
  <c r="AI10" i="36"/>
  <c r="CB10" i="36" s="1"/>
  <c r="AI12" i="35"/>
  <c r="CB12" i="35" s="1"/>
  <c r="CB11" i="38"/>
  <c r="AI10" i="25"/>
  <c r="CB10" i="25" s="1"/>
  <c r="AI63" i="32"/>
  <c r="AI27" i="32"/>
  <c r="CB15" i="14"/>
  <c r="AI9" i="29"/>
  <c r="CB9" i="29" s="1"/>
  <c r="AI15" i="14"/>
  <c r="AI24" i="36" l="1"/>
  <c r="CB24" i="36" s="1"/>
  <c r="AI12" i="25"/>
  <c r="CB12" i="25" s="1"/>
  <c r="AI15" i="29"/>
  <c r="CB15" i="29" s="1"/>
  <c r="AH10" i="38"/>
  <c r="AH11" i="38" s="1"/>
  <c r="AH16" i="29"/>
  <c r="AH15" i="14"/>
  <c r="AH11" i="14"/>
  <c r="AH9" i="14"/>
  <c r="AH12" i="14"/>
  <c r="AH13" i="14" s="1"/>
  <c r="AI10" i="14" l="1"/>
  <c r="CB10" i="14" s="1"/>
  <c r="AI19" i="29"/>
  <c r="CB19" i="29" s="1"/>
  <c r="AH14" i="32"/>
  <c r="AI11" i="14" l="1"/>
  <c r="CB11" i="14"/>
  <c r="AI21" i="29"/>
  <c r="CB21" i="29" s="1"/>
  <c r="CA8" i="34"/>
  <c r="CA7" i="34"/>
  <c r="AH6" i="34"/>
  <c r="CA9" i="38"/>
  <c r="CA8" i="38"/>
  <c r="CA7" i="38"/>
  <c r="CA6" i="38"/>
  <c r="CA9" i="27"/>
  <c r="CA11" i="25"/>
  <c r="CA9" i="25"/>
  <c r="CA7" i="25"/>
  <c r="CA6" i="25"/>
  <c r="AH8" i="25"/>
  <c r="AH10" i="25" s="1"/>
  <c r="AH12" i="25" s="1"/>
  <c r="AH52" i="33"/>
  <c r="AH39" i="33"/>
  <c r="AH31" i="33"/>
  <c r="AH18" i="33"/>
  <c r="CA23" i="29"/>
  <c r="CA22" i="29"/>
  <c r="CA20" i="29"/>
  <c r="CA17" i="29"/>
  <c r="CA14" i="29"/>
  <c r="CA13" i="29"/>
  <c r="CA12" i="29"/>
  <c r="CA11" i="29"/>
  <c r="CA10" i="29"/>
  <c r="CA8" i="29"/>
  <c r="CA7" i="29"/>
  <c r="AH6" i="29"/>
  <c r="AH7" i="32"/>
  <c r="AH43" i="32"/>
  <c r="AH55" i="32"/>
  <c r="CA23" i="36"/>
  <c r="CA16" i="36"/>
  <c r="CA14" i="36"/>
  <c r="CA13" i="36"/>
  <c r="CA12" i="36"/>
  <c r="CA11" i="36"/>
  <c r="CA9" i="36"/>
  <c r="CA8" i="36"/>
  <c r="CA7" i="36"/>
  <c r="AH6" i="36"/>
  <c r="CA14" i="14"/>
  <c r="CA12" i="14"/>
  <c r="CA10" i="14"/>
  <c r="CA8" i="14"/>
  <c r="CA7" i="14"/>
  <c r="CA6" i="14"/>
  <c r="CA8" i="25" l="1"/>
  <c r="AI6" i="33"/>
  <c r="AI48" i="33" s="1"/>
  <c r="AI55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BY16" i="36"/>
  <c r="BX16" i="36"/>
  <c r="BW16" i="36"/>
  <c r="BV16" i="36"/>
  <c r="BU16" i="36"/>
  <c r="BT16" i="36"/>
  <c r="BY14" i="36"/>
  <c r="BX14" i="36"/>
  <c r="BW14" i="36"/>
  <c r="BV14" i="36"/>
  <c r="BU14" i="36"/>
  <c r="BT14" i="36"/>
  <c r="BZ16" i="36"/>
  <c r="AG6" i="36"/>
  <c r="AG10" i="36" s="1"/>
  <c r="AG24" i="36" s="1"/>
  <c r="AG9" i="14"/>
  <c r="AG11" i="14"/>
  <c r="AG13" i="14"/>
  <c r="AG15" i="14"/>
  <c r="AG27" i="32" l="1"/>
  <c r="AH15" i="29"/>
  <c r="AH19" i="29" s="1"/>
  <c r="AH24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CA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CA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4" i="36" s="1"/>
  <c r="AF15" i="14"/>
  <c r="AF13" i="14"/>
  <c r="AF11" i="14"/>
  <c r="AF9" i="14"/>
  <c r="AF12" i="35" l="1"/>
  <c r="AF27" i="32"/>
  <c r="AF63" i="32"/>
  <c r="AE13" i="14"/>
  <c r="AE11" i="14"/>
  <c r="AE6" i="34"/>
  <c r="CA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CA9" i="29" s="1"/>
  <c r="AE42" i="32"/>
  <c r="AE31" i="32" s="1"/>
  <c r="AE16" i="29" l="1"/>
  <c r="CA16" i="29" s="1"/>
  <c r="CA18" i="29"/>
  <c r="AE11" i="38"/>
  <c r="CA10" i="38"/>
  <c r="CA11" i="38" s="1"/>
  <c r="AE18" i="33"/>
  <c r="AE15" i="29"/>
  <c r="CA15" i="29" s="1"/>
  <c r="CA9" i="14"/>
  <c r="CA11" i="14"/>
  <c r="CA13" i="14"/>
  <c r="CA15" i="14"/>
  <c r="AE15" i="14"/>
  <c r="AE9" i="14"/>
  <c r="CA6" i="34"/>
  <c r="CA12" i="35"/>
  <c r="AE12" i="35"/>
  <c r="CA6" i="27"/>
  <c r="CA10" i="25"/>
  <c r="CA12" i="25" s="1"/>
  <c r="AE55" i="32"/>
  <c r="AE43" i="32"/>
  <c r="AE7" i="32"/>
  <c r="AE10" i="36"/>
  <c r="CA10" i="36" s="1"/>
  <c r="AE19" i="29" l="1"/>
  <c r="CA19" i="29" s="1"/>
  <c r="AE24" i="36"/>
  <c r="CA24" i="36" s="1"/>
  <c r="AE63" i="32"/>
  <c r="AE27" i="32"/>
  <c r="AC9" i="36"/>
  <c r="BZ14" i="14"/>
  <c r="BZ12" i="14"/>
  <c r="BZ8" i="14"/>
  <c r="BZ6" i="14"/>
  <c r="AE21" i="29" l="1"/>
  <c r="CA21" i="29" s="1"/>
  <c r="BZ20" i="29"/>
  <c r="BZ18" i="29"/>
  <c r="BZ17" i="29"/>
  <c r="BZ14" i="29"/>
  <c r="BZ13" i="29"/>
  <c r="BZ12" i="29"/>
  <c r="BZ11" i="29"/>
  <c r="BZ10" i="29"/>
  <c r="BZ7" i="29"/>
  <c r="BZ6" i="29"/>
  <c r="AE7" i="33" l="1"/>
  <c r="AF7" i="33" s="1"/>
  <c r="BZ8" i="34"/>
  <c r="BZ7" i="34"/>
  <c r="AD6" i="34"/>
  <c r="BZ9" i="38"/>
  <c r="BZ8" i="38"/>
  <c r="BZ7" i="38"/>
  <c r="BZ6" i="38"/>
  <c r="AD10" i="38"/>
  <c r="AD11" i="38" s="1"/>
  <c r="BZ9" i="27"/>
  <c r="BZ11" i="25"/>
  <c r="BZ9" i="25"/>
  <c r="BZ7" i="25"/>
  <c r="BZ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BZ14" i="36"/>
  <c r="AD13" i="36"/>
  <c r="AD23" i="36"/>
  <c r="BZ23" i="36" s="1"/>
  <c r="AD8" i="36"/>
  <c r="AD7" i="36"/>
  <c r="BZ13" i="36"/>
  <c r="BZ12" i="36"/>
  <c r="BZ11" i="36"/>
  <c r="BZ9" i="36"/>
  <c r="AE6" i="33" l="1"/>
  <c r="AE48" i="33" s="1"/>
  <c r="AE55" i="33" s="1"/>
  <c r="AG7" i="33"/>
  <c r="AF6" i="33"/>
  <c r="AF48" i="33" s="1"/>
  <c r="AF55" i="33" s="1"/>
  <c r="AD12" i="35"/>
  <c r="AD6" i="33"/>
  <c r="AD48" i="33" s="1"/>
  <c r="AD55" i="33" s="1"/>
  <c r="AD10" i="36"/>
  <c r="AD24" i="36" s="1"/>
  <c r="BZ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H55" i="33" s="1"/>
  <c r="AG6" i="33"/>
  <c r="AG48" i="33" s="1"/>
  <c r="AG55" i="33" s="1"/>
  <c r="AD9" i="14"/>
  <c r="AD11" i="14"/>
  <c r="AD19" i="29"/>
  <c r="AD63" i="32"/>
  <c r="AD27" i="32"/>
  <c r="AD13" i="14"/>
  <c r="N55" i="32"/>
  <c r="N50" i="32"/>
  <c r="BX7" i="34"/>
  <c r="BW7" i="34"/>
  <c r="BV7" i="34"/>
  <c r="BU7" i="34"/>
  <c r="BT7" i="34"/>
  <c r="BY6" i="38"/>
  <c r="BX6" i="38"/>
  <c r="BW6" i="38"/>
  <c r="BV6" i="38"/>
  <c r="BU6" i="38"/>
  <c r="BT6" i="38"/>
  <c r="BW6" i="25"/>
  <c r="BV9" i="25"/>
  <c r="BV6" i="25"/>
  <c r="BU6" i="25"/>
  <c r="BT6" i="25"/>
  <c r="BY6" i="29"/>
  <c r="BW6" i="29"/>
  <c r="BV6" i="29"/>
  <c r="BT6" i="29"/>
  <c r="BX6" i="36"/>
  <c r="BU6" i="36"/>
  <c r="BT10" i="14"/>
  <c r="BW6" i="14"/>
  <c r="BV6" i="14"/>
  <c r="BU6" i="14"/>
  <c r="BT6" i="14"/>
  <c r="AD21" i="29" l="1"/>
  <c r="AC7" i="36"/>
  <c r="BZ7" i="36" s="1"/>
  <c r="AC6" i="34"/>
  <c r="AC10" i="38"/>
  <c r="AC8" i="25"/>
  <c r="AC31" i="33"/>
  <c r="AC52" i="33"/>
  <c r="AC39" i="33"/>
  <c r="AC18" i="33"/>
  <c r="AC16" i="29"/>
  <c r="AC8" i="36" s="1"/>
  <c r="BZ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Z8" i="29"/>
  <c r="AC10" i="25"/>
  <c r="AC12" i="25" s="1"/>
  <c r="AC12" i="35"/>
  <c r="AC11" i="38"/>
  <c r="AC6" i="33"/>
  <c r="AC48" i="33" s="1"/>
  <c r="AC55" i="33" s="1"/>
  <c r="AC63" i="32"/>
  <c r="BY23" i="36"/>
  <c r="BX23" i="36"/>
  <c r="BW23" i="36"/>
  <c r="BV23" i="36"/>
  <c r="BU23" i="36"/>
  <c r="BT23" i="36"/>
  <c r="BY12" i="36"/>
  <c r="BX12" i="36"/>
  <c r="BW12" i="36"/>
  <c r="BV12" i="36"/>
  <c r="BU12" i="36"/>
  <c r="BT12" i="36"/>
  <c r="BY11" i="36"/>
  <c r="BX11" i="36"/>
  <c r="BW11" i="36"/>
  <c r="BV11" i="36"/>
  <c r="BT11" i="36"/>
  <c r="AC27" i="32" l="1"/>
  <c r="AC15" i="14"/>
  <c r="BZ7" i="14"/>
  <c r="AC9" i="14"/>
  <c r="AC21" i="29"/>
  <c r="BU11" i="36"/>
  <c r="D22" i="29"/>
  <c r="BZ6" i="36" l="1"/>
  <c r="BU13" i="36"/>
  <c r="BX13" i="36"/>
  <c r="AC13" i="14" l="1"/>
  <c r="AC10" i="36"/>
  <c r="BY13" i="36"/>
  <c r="BT13" i="36"/>
  <c r="BW13" i="36"/>
  <c r="BV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4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X23" i="29"/>
  <c r="BW23" i="29"/>
  <c r="BV23" i="29"/>
  <c r="BU23" i="29"/>
  <c r="BT23" i="29"/>
  <c r="BX22" i="29"/>
  <c r="BW22" i="29"/>
  <c r="BV22" i="29"/>
  <c r="BU22" i="29"/>
  <c r="BT22" i="29"/>
  <c r="AA23" i="29"/>
  <c r="BZ23" i="29" s="1"/>
  <c r="AA22" i="29"/>
  <c r="BZ22" i="29" s="1"/>
  <c r="AA16" i="29"/>
  <c r="AB16" i="29"/>
  <c r="BZ16" i="29" l="1"/>
  <c r="AC11" i="14"/>
  <c r="BY23" i="29"/>
  <c r="Z22" i="29"/>
  <c r="BY22" i="29" l="1"/>
  <c r="BT7" i="38" l="1"/>
  <c r="BT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Y9" i="38"/>
  <c r="BX9" i="38"/>
  <c r="BW9" i="38"/>
  <c r="BV9" i="38"/>
  <c r="BU9" i="38"/>
  <c r="BY8" i="38"/>
  <c r="BX8" i="38"/>
  <c r="BW8" i="38"/>
  <c r="BV8" i="38"/>
  <c r="BU8" i="38"/>
  <c r="BY7" i="38"/>
  <c r="BX7" i="38"/>
  <c r="BW7" i="38"/>
  <c r="BV7" i="38"/>
  <c r="BU7" i="38"/>
  <c r="BZ10" i="38" l="1"/>
  <c r="BT9" i="38"/>
  <c r="BY10" i="38"/>
  <c r="BX10" i="38"/>
  <c r="BW10" i="38"/>
  <c r="BV10" i="38"/>
  <c r="BU10" i="38"/>
  <c r="F10" i="38"/>
  <c r="BT10" i="38" l="1"/>
  <c r="CI11" i="38" s="1"/>
  <c r="BX9" i="36"/>
  <c r="F12" i="35"/>
  <c r="I6" i="34"/>
  <c r="U6" i="34"/>
  <c r="C6" i="34"/>
  <c r="G6" i="34"/>
  <c r="BV8" i="34"/>
  <c r="O6" i="34"/>
  <c r="S6" i="34"/>
  <c r="BY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Z6" i="35" l="1"/>
  <c r="N12" i="35"/>
  <c r="T12" i="35"/>
  <c r="AB12" i="35"/>
  <c r="K12" i="35"/>
  <c r="W12" i="35"/>
  <c r="C12" i="35"/>
  <c r="S12" i="35"/>
  <c r="G12" i="35"/>
  <c r="H12" i="35"/>
  <c r="O12" i="35"/>
  <c r="AA12" i="35"/>
  <c r="BX7" i="36"/>
  <c r="BT7" i="36"/>
  <c r="BT9" i="36"/>
  <c r="BU9" i="36"/>
  <c r="BV9" i="36"/>
  <c r="BW9" i="36"/>
  <c r="BY9" i="36"/>
  <c r="BW7" i="36"/>
  <c r="BU7" i="36"/>
  <c r="BY7" i="36"/>
  <c r="BV7" i="36"/>
  <c r="D12" i="35"/>
  <c r="J12" i="35"/>
  <c r="R12" i="35"/>
  <c r="Z12" i="35"/>
  <c r="BT9" i="35"/>
  <c r="M12" i="35"/>
  <c r="P12" i="35"/>
  <c r="L12" i="35"/>
  <c r="X12" i="35"/>
  <c r="BU6" i="35"/>
  <c r="V12" i="35"/>
  <c r="BW8" i="34"/>
  <c r="W6" i="34"/>
  <c r="BT8" i="34"/>
  <c r="Y6" i="34"/>
  <c r="Q6" i="34"/>
  <c r="BU8" i="34"/>
  <c r="E6" i="34"/>
  <c r="BX8" i="34"/>
  <c r="BZ6" i="34"/>
  <c r="BY7" i="34"/>
  <c r="BV6" i="34"/>
  <c r="BW6" i="35" l="1"/>
  <c r="BT6" i="35"/>
  <c r="BV6" i="35"/>
  <c r="BX6" i="35"/>
  <c r="BY6" i="35"/>
  <c r="Q12" i="35"/>
  <c r="BW6" i="34"/>
  <c r="BT6" i="34"/>
  <c r="Y12" i="35"/>
  <c r="U12" i="35"/>
  <c r="I12" i="35"/>
  <c r="E12" i="35"/>
  <c r="BU14" i="14"/>
  <c r="BY14" i="14"/>
  <c r="BW14" i="14"/>
  <c r="BX6" i="34"/>
  <c r="BU6" i="34"/>
  <c r="BY6" i="34"/>
  <c r="BT14" i="14" l="1"/>
  <c r="BV14" i="14"/>
  <c r="BX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B18" i="33"/>
  <c r="AB6" i="33" s="1"/>
  <c r="AB48" i="33" s="1"/>
  <c r="AB55" i="33" s="1"/>
  <c r="Y39" i="33"/>
  <c r="W18" i="33"/>
  <c r="Z39" i="33"/>
  <c r="X18" i="33"/>
  <c r="X6" i="33" s="1"/>
  <c r="X31" i="33"/>
  <c r="Z31" i="33"/>
  <c r="Y18" i="33"/>
  <c r="Y6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T13" i="29"/>
  <c r="BU6" i="29"/>
  <c r="BX6" i="29"/>
  <c r="BY9" i="27"/>
  <c r="BX9" i="27"/>
  <c r="BW9" i="27"/>
  <c r="BV9" i="27"/>
  <c r="BU9" i="27"/>
  <c r="BT9" i="27"/>
  <c r="BY11" i="25"/>
  <c r="BX11" i="25"/>
  <c r="BW11" i="25"/>
  <c r="BV11" i="25"/>
  <c r="BU11" i="25"/>
  <c r="BT11" i="25"/>
  <c r="BY9" i="25"/>
  <c r="BX9" i="25"/>
  <c r="BW9" i="25"/>
  <c r="BU9" i="25"/>
  <c r="BT9" i="25"/>
  <c r="BY7" i="25"/>
  <c r="BX7" i="25"/>
  <c r="BW7" i="25"/>
  <c r="BV7" i="25"/>
  <c r="BV8" i="25" s="1"/>
  <c r="BU7" i="25"/>
  <c r="BT7" i="25"/>
  <c r="BZ8" i="25"/>
  <c r="BZ10" i="25" s="1"/>
  <c r="BY6" i="25"/>
  <c r="BX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Y18" i="29"/>
  <c r="Z16" i="29"/>
  <c r="BY20" i="29"/>
  <c r="BY13" i="29"/>
  <c r="BY14" i="29"/>
  <c r="BY12" i="29"/>
  <c r="BY11" i="29"/>
  <c r="BY10" i="29"/>
  <c r="BY8" i="29"/>
  <c r="BY7" i="29"/>
  <c r="W16" i="29"/>
  <c r="BX14" i="29"/>
  <c r="BX12" i="29"/>
  <c r="BX20" i="29"/>
  <c r="BX18" i="29"/>
  <c r="BX17" i="29"/>
  <c r="BX13" i="29"/>
  <c r="BX11" i="29"/>
  <c r="BX10" i="29"/>
  <c r="BX8" i="29"/>
  <c r="BX7" i="29"/>
  <c r="V16" i="29"/>
  <c r="U16" i="29"/>
  <c r="T16" i="29"/>
  <c r="S16" i="29"/>
  <c r="BW20" i="29"/>
  <c r="BW18" i="29"/>
  <c r="BW17" i="29"/>
  <c r="BW13" i="29"/>
  <c r="BW14" i="29"/>
  <c r="BW12" i="29"/>
  <c r="BW11" i="29"/>
  <c r="BW10" i="29"/>
  <c r="BW8" i="29"/>
  <c r="BW7" i="29"/>
  <c r="R16" i="29"/>
  <c r="Q16" i="29"/>
  <c r="P16" i="29"/>
  <c r="O16" i="29"/>
  <c r="BV20" i="29"/>
  <c r="BV18" i="29"/>
  <c r="BV17" i="29"/>
  <c r="BV14" i="29"/>
  <c r="BV13" i="29"/>
  <c r="BV12" i="29"/>
  <c r="BV11" i="29"/>
  <c r="BV10" i="29"/>
  <c r="BV8" i="29"/>
  <c r="BV7" i="29"/>
  <c r="N16" i="29"/>
  <c r="M16" i="29"/>
  <c r="L16" i="29"/>
  <c r="K16" i="29"/>
  <c r="BU20" i="29"/>
  <c r="BT20" i="29"/>
  <c r="BU18" i="29"/>
  <c r="BU17" i="29"/>
  <c r="G16" i="29"/>
  <c r="BU14" i="29"/>
  <c r="BU13" i="29"/>
  <c r="BU12" i="29"/>
  <c r="BU11" i="29"/>
  <c r="BU10" i="29"/>
  <c r="BU8" i="29"/>
  <c r="BU7" i="29"/>
  <c r="J16" i="29"/>
  <c r="I16" i="29"/>
  <c r="H16" i="29"/>
  <c r="BT10" i="29"/>
  <c r="BT18" i="29"/>
  <c r="BT17" i="29"/>
  <c r="BT14" i="29"/>
  <c r="BT11" i="29"/>
  <c r="BT8" i="29"/>
  <c r="BT7" i="29"/>
  <c r="AA48" i="33" l="1"/>
  <c r="AA55" i="33" s="1"/>
  <c r="Y48" i="33"/>
  <c r="Y55" i="33" s="1"/>
  <c r="Z48" i="33"/>
  <c r="Z55" i="33" s="1"/>
  <c r="V48" i="33"/>
  <c r="V55" i="33" s="1"/>
  <c r="X48" i="33"/>
  <c r="X55" i="33" s="1"/>
  <c r="J63" i="32"/>
  <c r="X63" i="32"/>
  <c r="M6" i="33"/>
  <c r="M48" i="33" s="1"/>
  <c r="M55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X8" i="25"/>
  <c r="BX10" i="25" s="1"/>
  <c r="BX12" i="25" s="1"/>
  <c r="BU8" i="25"/>
  <c r="BU10" i="25" s="1"/>
  <c r="BU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T8" i="25"/>
  <c r="I27" i="32"/>
  <c r="M63" i="32"/>
  <c r="L63" i="32"/>
  <c r="K63" i="32"/>
  <c r="BU16" i="29"/>
  <c r="BU8" i="36"/>
  <c r="BU6" i="27"/>
  <c r="BT6" i="27"/>
  <c r="BV8" i="36"/>
  <c r="Q63" i="32"/>
  <c r="L6" i="33"/>
  <c r="L48" i="33" s="1"/>
  <c r="L55" i="33" s="1"/>
  <c r="U27" i="32"/>
  <c r="BW8" i="36"/>
  <c r="T63" i="32"/>
  <c r="U6" i="33"/>
  <c r="U48" i="33" s="1"/>
  <c r="BX8" i="36"/>
  <c r="AB63" i="32"/>
  <c r="BY16" i="29"/>
  <c r="BY8" i="36"/>
  <c r="BZ12" i="25"/>
  <c r="AB15" i="14"/>
  <c r="Y15" i="14"/>
  <c r="Z15" i="14"/>
  <c r="X15" i="14"/>
  <c r="R15" i="14"/>
  <c r="O15" i="14"/>
  <c r="BV10" i="25"/>
  <c r="BV12" i="25" s="1"/>
  <c r="I15" i="14"/>
  <c r="H15" i="14"/>
  <c r="J15" i="14"/>
  <c r="F15" i="14"/>
  <c r="W6" i="33"/>
  <c r="W48" i="33" s="1"/>
  <c r="W55" i="33" s="1"/>
  <c r="R6" i="33"/>
  <c r="R48" i="33" s="1"/>
  <c r="R55" i="33" s="1"/>
  <c r="U52" i="33"/>
  <c r="T31" i="33"/>
  <c r="T6" i="33"/>
  <c r="S6" i="33"/>
  <c r="S48" i="33" s="1"/>
  <c r="S55" i="33" s="1"/>
  <c r="R52" i="33"/>
  <c r="Q6" i="33"/>
  <c r="Q48" i="33" s="1"/>
  <c r="Q55" i="33" s="1"/>
  <c r="O6" i="33"/>
  <c r="O48" i="33" s="1"/>
  <c r="O55" i="33" s="1"/>
  <c r="P6" i="33"/>
  <c r="P48" i="33" s="1"/>
  <c r="P55" i="33" s="1"/>
  <c r="K6" i="33"/>
  <c r="K48" i="33" s="1"/>
  <c r="K55" i="33" s="1"/>
  <c r="N6" i="33"/>
  <c r="N48" i="33" s="1"/>
  <c r="N55" i="33" s="1"/>
  <c r="H52" i="33"/>
  <c r="I52" i="33"/>
  <c r="I39" i="33"/>
  <c r="H6" i="33"/>
  <c r="H48" i="33" s="1"/>
  <c r="J6" i="33"/>
  <c r="J48" i="33" s="1"/>
  <c r="J55" i="33" s="1"/>
  <c r="I6" i="33"/>
  <c r="I48" i="33" s="1"/>
  <c r="I55" i="33" s="1"/>
  <c r="G6" i="33"/>
  <c r="G48" i="33" s="1"/>
  <c r="G55" i="33" s="1"/>
  <c r="F52" i="33"/>
  <c r="E6" i="33"/>
  <c r="E48" i="33" s="1"/>
  <c r="E55" i="33" s="1"/>
  <c r="C18" i="33"/>
  <c r="C6" i="33" s="1"/>
  <c r="C48" i="33" s="1"/>
  <c r="C55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X16" i="29"/>
  <c r="BV16" i="29"/>
  <c r="BW16" i="29"/>
  <c r="BY17" i="29"/>
  <c r="BZ6" i="27"/>
  <c r="BV6" i="27"/>
  <c r="BX6" i="27"/>
  <c r="BW6" i="27"/>
  <c r="BY6" i="27"/>
  <c r="BW8" i="25"/>
  <c r="BW10" i="25" s="1"/>
  <c r="BW12" i="25" s="1"/>
  <c r="BY8" i="25"/>
  <c r="BY10" i="25" s="1"/>
  <c r="BY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H55" i="33" l="1"/>
  <c r="U55" i="33"/>
  <c r="T48" i="33"/>
  <c r="T55" i="33" s="1"/>
  <c r="F48" i="33"/>
  <c r="F55" i="33" s="1"/>
  <c r="BT10" i="25"/>
  <c r="BZ9" i="29"/>
  <c r="BU7" i="14"/>
  <c r="BY6" i="14"/>
  <c r="BY7" i="14"/>
  <c r="BY15" i="14" s="1"/>
  <c r="BW7" i="14"/>
  <c r="BW15" i="14" s="1"/>
  <c r="Q15" i="14"/>
  <c r="AA15" i="14"/>
  <c r="BZ15" i="14"/>
  <c r="K15" i="14"/>
  <c r="BV7" i="14"/>
  <c r="BV15" i="14" s="1"/>
  <c r="S15" i="14"/>
  <c r="BX7" i="14"/>
  <c r="BX15" i="14" s="1"/>
  <c r="C15" i="14"/>
  <c r="BT7" i="14"/>
  <c r="C9" i="14"/>
  <c r="S9" i="14"/>
  <c r="BX6" i="14"/>
  <c r="E15" i="29"/>
  <c r="E9" i="14"/>
  <c r="BT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U15" i="14"/>
  <c r="BT15" i="14"/>
  <c r="D6" i="33"/>
  <c r="D48" i="33" s="1"/>
  <c r="D55" i="33" s="1"/>
  <c r="G15" i="29"/>
  <c r="BU9" i="29"/>
  <c r="K15" i="29"/>
  <c r="BV9" i="29"/>
  <c r="O15" i="29"/>
  <c r="BW9" i="29"/>
  <c r="BT16" i="29"/>
  <c r="S15" i="29"/>
  <c r="BX9" i="29"/>
  <c r="W15" i="29"/>
  <c r="BY9" i="29"/>
  <c r="C15" i="29"/>
  <c r="BT9" i="29"/>
  <c r="AA15" i="29"/>
  <c r="CI11" i="14" l="1"/>
  <c r="CI15" i="14"/>
  <c r="BT12" i="25"/>
  <c r="BZ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T15" i="29"/>
  <c r="BT8" i="14"/>
  <c r="F9" i="14"/>
  <c r="I11" i="38"/>
  <c r="BU8" i="14"/>
  <c r="BU9" i="14" s="1"/>
  <c r="V19" i="29"/>
  <c r="Z19" i="29"/>
  <c r="BV8" i="14"/>
  <c r="BV9" i="14" s="1"/>
  <c r="M11" i="38"/>
  <c r="BW8" i="14"/>
  <c r="BW9" i="14" s="1"/>
  <c r="T19" i="29"/>
  <c r="BX8" i="14"/>
  <c r="BX9" i="14" s="1"/>
  <c r="U9" i="14"/>
  <c r="U19" i="29"/>
  <c r="Y19" i="29"/>
  <c r="AB19" i="29"/>
  <c r="AB21" i="29" s="1"/>
  <c r="X19" i="29"/>
  <c r="BY8" i="14"/>
  <c r="BY9" i="14" s="1"/>
  <c r="BZ9" i="14"/>
  <c r="O19" i="29"/>
  <c r="BW15" i="29"/>
  <c r="G19" i="29"/>
  <c r="BU15" i="29"/>
  <c r="S19" i="29"/>
  <c r="S11" i="38" s="1"/>
  <c r="BX15" i="29"/>
  <c r="AA19" i="29"/>
  <c r="K19" i="29"/>
  <c r="BV15" i="29"/>
  <c r="W19" i="29"/>
  <c r="BY15" i="29"/>
  <c r="BT9" i="14" l="1"/>
  <c r="CI9" i="14"/>
  <c r="BZ19" i="29"/>
  <c r="N21" i="29"/>
  <c r="H11" i="38"/>
  <c r="C21" i="29"/>
  <c r="Q11" i="38"/>
  <c r="L11" i="38"/>
  <c r="P21" i="29"/>
  <c r="E21" i="29"/>
  <c r="R21" i="29"/>
  <c r="J11" i="38"/>
  <c r="BT19" i="29"/>
  <c r="E10" i="36"/>
  <c r="E24" i="36" s="1"/>
  <c r="E13" i="14"/>
  <c r="D13" i="14"/>
  <c r="D10" i="36"/>
  <c r="D24" i="36" s="1"/>
  <c r="C10" i="36"/>
  <c r="C24" i="36" s="1"/>
  <c r="C13" i="14"/>
  <c r="J13" i="14"/>
  <c r="J10" i="36"/>
  <c r="J24" i="36" s="1"/>
  <c r="I13" i="14"/>
  <c r="I10" i="36"/>
  <c r="I24" i="36" s="1"/>
  <c r="H13" i="14"/>
  <c r="H10" i="36"/>
  <c r="H24" i="36" s="1"/>
  <c r="G11" i="38"/>
  <c r="N13" i="14"/>
  <c r="N10" i="36"/>
  <c r="N24" i="36" s="1"/>
  <c r="R10" i="36"/>
  <c r="R24" i="36" s="1"/>
  <c r="R13" i="14"/>
  <c r="V21" i="29"/>
  <c r="V11" i="38"/>
  <c r="Z21" i="29"/>
  <c r="Z11" i="38"/>
  <c r="M10" i="36"/>
  <c r="M24" i="36" s="1"/>
  <c r="M13" i="14"/>
  <c r="L13" i="14"/>
  <c r="L10" i="36"/>
  <c r="L24" i="36" s="1"/>
  <c r="K11" i="38"/>
  <c r="Q10" i="36"/>
  <c r="Q24" i="36" s="1"/>
  <c r="Q13" i="14"/>
  <c r="P10" i="36"/>
  <c r="P24" i="36" s="1"/>
  <c r="P13" i="14"/>
  <c r="BW11" i="38"/>
  <c r="O11" i="38"/>
  <c r="T21" i="29"/>
  <c r="T11" i="38"/>
  <c r="U21" i="29"/>
  <c r="Y21" i="29"/>
  <c r="Y11" i="38"/>
  <c r="AB11" i="38"/>
  <c r="X21" i="29"/>
  <c r="X11" i="38"/>
  <c r="W11" i="38"/>
  <c r="AB10" i="36"/>
  <c r="AB24" i="36" s="1"/>
  <c r="AB13" i="14"/>
  <c r="AA11" i="38"/>
  <c r="W21" i="29"/>
  <c r="BY19" i="29"/>
  <c r="AA21" i="29"/>
  <c r="BZ21" i="29" s="1"/>
  <c r="G21" i="29"/>
  <c r="BU19" i="29"/>
  <c r="K21" i="29"/>
  <c r="BV19" i="29"/>
  <c r="S21" i="29"/>
  <c r="BX19" i="29"/>
  <c r="O21" i="29"/>
  <c r="BW19" i="29"/>
  <c r="BT21" i="29" l="1"/>
  <c r="BV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T12" i="14"/>
  <c r="F13" i="14"/>
  <c r="F10" i="36"/>
  <c r="BT6" i="36"/>
  <c r="BU11" i="38"/>
  <c r="BU21" i="29"/>
  <c r="V10" i="36"/>
  <c r="V24" i="36" s="1"/>
  <c r="V13" i="14"/>
  <c r="Z10" i="36"/>
  <c r="Z24" i="36" s="1"/>
  <c r="Z13" i="14"/>
  <c r="BV21" i="29"/>
  <c r="BW21" i="29"/>
  <c r="T13" i="14"/>
  <c r="T10" i="36"/>
  <c r="T24" i="36" s="1"/>
  <c r="BX21" i="29"/>
  <c r="S13" i="14"/>
  <c r="S10" i="36"/>
  <c r="S24" i="36" s="1"/>
  <c r="BX11" i="38"/>
  <c r="U11" i="38"/>
  <c r="Y13" i="14"/>
  <c r="Y10" i="36"/>
  <c r="Y24" i="36" s="1"/>
  <c r="BY11" i="38"/>
  <c r="BZ11" i="38"/>
  <c r="X10" i="36"/>
  <c r="X24" i="36" s="1"/>
  <c r="X13" i="14"/>
  <c r="BY21" i="29"/>
  <c r="C63" i="32"/>
  <c r="BT12" i="35"/>
  <c r="BZ12" i="35"/>
  <c r="BV12" i="35"/>
  <c r="BX12" i="35"/>
  <c r="BY12" i="35"/>
  <c r="BU12" i="35"/>
  <c r="BT11" i="38"/>
  <c r="BT13" i="14" l="1"/>
  <c r="CI13" i="14"/>
  <c r="Y11" i="14"/>
  <c r="V11" i="14"/>
  <c r="X11" i="14"/>
  <c r="T11" i="14"/>
  <c r="S11" i="14"/>
  <c r="Z11" i="14"/>
  <c r="F24" i="36"/>
  <c r="BT10" i="36"/>
  <c r="G10" i="36"/>
  <c r="BU12" i="14"/>
  <c r="BU13" i="14" s="1"/>
  <c r="G13" i="14"/>
  <c r="BV12" i="14"/>
  <c r="BV13" i="14" s="1"/>
  <c r="K13" i="14"/>
  <c r="BV6" i="36"/>
  <c r="K10" i="36"/>
  <c r="O10" i="36"/>
  <c r="BW6" i="36"/>
  <c r="BW12" i="14"/>
  <c r="BW13" i="14" s="1"/>
  <c r="O13" i="14"/>
  <c r="BX12" i="14"/>
  <c r="BX13" i="14" s="1"/>
  <c r="U13" i="14"/>
  <c r="U10" i="36"/>
  <c r="W10" i="36"/>
  <c r="BY6" i="36"/>
  <c r="BY12" i="14"/>
  <c r="BY13" i="14" s="1"/>
  <c r="W13" i="14"/>
  <c r="BZ13" i="14"/>
  <c r="AA13" i="14"/>
  <c r="AA10" i="36"/>
  <c r="BZ10" i="36" s="1"/>
  <c r="BT24" i="36" l="1"/>
  <c r="BT11" i="14"/>
  <c r="F11" i="14"/>
  <c r="G24" i="36"/>
  <c r="BU10" i="36"/>
  <c r="BU24" i="36" s="1"/>
  <c r="K24" i="36"/>
  <c r="BV10" i="36"/>
  <c r="BV24" i="36" s="1"/>
  <c r="BW10" i="36"/>
  <c r="BW24" i="36" s="1"/>
  <c r="O24" i="36"/>
  <c r="BX10" i="36"/>
  <c r="BX24" i="36" s="1"/>
  <c r="U24" i="36"/>
  <c r="W24" i="36"/>
  <c r="BY10" i="36"/>
  <c r="BY24" i="36" s="1"/>
  <c r="AA24" i="36"/>
  <c r="BZ24" i="36" s="1"/>
  <c r="BU10" i="14" l="1"/>
  <c r="BU11" i="14" s="1"/>
  <c r="G11" i="14"/>
  <c r="BV10" i="14"/>
  <c r="BV11" i="14" s="1"/>
  <c r="K11" i="14"/>
  <c r="BW10" i="14"/>
  <c r="BW11" i="14" s="1"/>
  <c r="O11" i="14"/>
  <c r="BX10" i="14"/>
  <c r="BX11" i="14" s="1"/>
  <c r="U11" i="14"/>
  <c r="BY10" i="14"/>
  <c r="BY11" i="14" s="1"/>
  <c r="W11" i="14"/>
  <c r="BZ11" i="14"/>
  <c r="AA11" i="14"/>
  <c r="BW12" i="35"/>
  <c r="CD6" i="27" l="1"/>
  <c r="CD14" i="14"/>
  <c r="AT15" i="14"/>
  <c r="CD15" i="14" l="1"/>
  <c r="AT12" i="35" l="1"/>
  <c r="CD6" i="35"/>
  <c r="CD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"/>
        </x15:connection>
      </ext>
    </extLst>
  </connection>
</connections>
</file>

<file path=xl/sharedStrings.xml><?xml version="1.0" encoding="utf-8"?>
<sst xmlns="http://schemas.openxmlformats.org/spreadsheetml/2006/main" count="931" uniqueCount="238">
  <si>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</si>
  <si>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</si>
  <si>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</si>
  <si>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</si>
  <si>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</si>
  <si>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</si>
  <si>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</si>
  <si>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</si>
  <si>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</si>
  <si>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</si>
  <si>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</si>
  <si>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</si>
  <si>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</si>
  <si>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</si>
  <si>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</si>
  <si>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</si>
  <si>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</si>
  <si>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</si>
  <si>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</si>
  <si>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</si>
  <si>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</si>
  <si>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</si>
  <si>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</si>
  <si>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</si>
  <si>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</si>
  <si>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</si>
  <si>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</si>
  <si>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</si>
  <si>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</si>
  <si>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</si>
  <si>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</si>
  <si>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</si>
  <si>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</si>
  <si>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</si>
  <si>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</si>
  <si>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</si>
  <si>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</si>
  <si>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</si>
  <si>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</si>
  <si>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</si>
  <si>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</si>
  <si>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</si>
  <si>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</si>
  <si>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</si>
  <si>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</si>
  <si>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</si>
  <si>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</si>
  <si>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</si>
  <si>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</si>
  <si>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</si>
  <si>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</si>
  <si>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</si>
  <si>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</si>
  <si>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</si>
  <si>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</si>
  <si>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</si>
  <si>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</si>
  <si>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</si>
  <si>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</si>
  <si>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</si>
  <si>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</si>
  <si>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</si>
  <si>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</si>
  <si>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</si>
  <si>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</si>
  <si>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</si>
  <si>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</si>
  <si>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</si>
  <si>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</si>
  <si>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</si>
  <si>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</si>
  <si>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</si>
  <si>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</si>
  <si>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</si>
  <si>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</si>
  <si>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</si>
  <si>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</si>
  <si>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</si>
  <si>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</si>
  <si>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</si>
  <si>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</si>
  <si>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</si>
  <si>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</si>
  <si>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</si>
  <si>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</si>
  <si>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</si>
  <si>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</si>
  <si>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</si>
  <si>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</si>
  <si>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</si>
  <si>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</si>
  <si>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</si>
  <si>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</si>
  <si>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</si>
  <si>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</si>
  <si>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</si>
  <si>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</si>
  <si>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</si>
  <si>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</si>
  <si>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</si>
  <si>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</si>
  <si>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</si>
  <si>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</si>
  <si>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</si>
  <si>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</si>
  <si>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</si>
  <si>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</si>
  <si>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</si>
  <si>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</si>
  <si>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</si>
  <si>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</si>
  <si>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</si>
  <si>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</si>
  <si>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</si>
  <si>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</si>
  <si>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</si>
  <si>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</si>
  <si>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</si>
  <si>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</si>
  <si>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</si>
  <si>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</si>
  <si>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</si>
  <si>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</si>
  <si>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</si>
  <si>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</si>
  <si>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</si>
  <si>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</si>
  <si>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</si>
  <si>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</si>
  <si>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</si>
  <si>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</si>
  <si>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</si>
  <si>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</si>
  <si>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</si>
  <si>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</si>
  <si>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</si>
  <si>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</si>
  <si>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</si>
  <si>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</si>
  <si>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</si>
  <si>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</si>
  <si>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</si>
  <si>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</si>
  <si>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</si>
  <si>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</si>
  <si>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</si>
  <si>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</si>
  <si>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</si>
  <si>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</si>
  <si>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</si>
  <si>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</si>
  <si>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</si>
  <si>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</si>
  <si>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</si>
  <si>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</si>
  <si>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</si>
  <si>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</si>
  <si>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</si>
  <si>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</si>
  <si>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</si>
  <si>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</si>
  <si>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</si>
  <si>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</si>
  <si>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</si>
  <si>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</si>
  <si>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</si>
  <si>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</si>
  <si>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</si>
  <si>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</si>
  <si>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</si>
  <si>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</si>
  <si>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</si>
  <si>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</si>
  <si>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</si>
  <si>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</si>
  <si>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</si>
  <si>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</si>
  <si>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</si>
  <si>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</si>
  <si>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</si>
  <si>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</si>
  <si>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</si>
  <si>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</si>
  <si>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</si>
  <si>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</si>
  <si>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</si>
  <si>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</si>
  <si>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</si>
  <si>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</si>
  <si>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</si>
  <si>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</si>
  <si>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</si>
  <si>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</si>
  <si>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</si>
  <si>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</si>
  <si>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</si>
  <si>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</si>
  <si>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</si>
  <si>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</si>
  <si>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</si>
  <si>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</si>
  <si>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</si>
  <si>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</si>
  <si>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</si>
  <si>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</si>
  <si>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</si>
  <si>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</si>
  <si>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</si>
  <si>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</si>
  <si>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</si>
  <si>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</si>
  <si>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</si>
  <si>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</si>
  <si>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</si>
  <si>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</si>
  <si>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</si>
  <si>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</si>
  <si>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</si>
  <si>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</si>
  <si>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</si>
  <si>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</si>
  <si>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</si>
  <si>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</si>
  <si>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</si>
  <si>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</si>
  <si>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</si>
  <si>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</si>
  <si>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</si>
  <si>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</si>
  <si>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Investimento em participações</t>
  </si>
  <si>
    <t>2T24</t>
  </si>
  <si>
    <t>(+/-) Restrição geração de energia ONS</t>
  </si>
  <si>
    <t>3T24</t>
  </si>
  <si>
    <t>4T24</t>
  </si>
  <si>
    <t>4T4</t>
  </si>
  <si>
    <t>(+/-) Demais efeitos</t>
  </si>
  <si>
    <t>DADOS PARA O VALUATION 4T24</t>
  </si>
  <si>
    <t>(+/-) Crédito tributário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</si>
</sst>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20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5" fontId="55" fillId="63" borderId="0" xfId="217" applyNumberFormat="1" applyFont="1" applyFill="1" applyAlignment="1">
      <alignment horizontal="right"/>
    </xf>
    <xf numFmtId="165" fontId="82" fillId="63" borderId="0" xfId="217" applyNumberFormat="1" applyFont="1" applyFill="1" applyAlignment="1">
      <alignment horizontal="right"/>
    </xf>
    <xf numFmtId="0" fontId="1" fillId="0" borderId="0" xfId="217"/>
    <xf numFmtId="165" fontId="55" fillId="0" borderId="0" xfId="217" applyNumberFormat="1" applyFont="1" applyAlignment="1">
      <alignment horizontal="right"/>
    </xf>
    <xf numFmtId="165" fontId="82" fillId="0" borderId="0" xfId="217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</cellXfs>
  <cellStyles count="408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Relatorio Ferbasa" xfId="407" xr:uid="{50E9D830-AA3F-4B90-BD25-0E97DFB396C4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/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1" t="s">
        <v>141</v>
      </c>
    </row>
    <row r="2" spans="2:7" ht="48" customHeight="1" thickBot="1">
      <c r="B2" s="46"/>
      <c r="C2" s="48"/>
      <c r="D2" s="35"/>
      <c r="E2" s="35"/>
      <c r="F2" s="112" t="s">
        <v>236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9"/>
      <c r="C4" s="119"/>
      <c r="D4" s="119"/>
      <c r="E4" s="119"/>
      <c r="F4" s="119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J14"/>
  <sheetViews>
    <sheetView showGridLines="0" showRowColHeaders="0" zoomScale="80" zoomScaleNormal="80" workbookViewId="0">
      <pane xSplit="2" ySplit="5" topLeftCell="BF6" activePane="bottomRight" state="frozen"/>
      <selection activeCell="CJ13" sqref="CJ13"/>
      <selection pane="topRight" activeCell="CJ13" sqref="CJ13"/>
      <selection pane="bottomLeft" activeCell="CJ13" sqref="CJ13"/>
      <selection pane="bottomRight" activeCell="CJ33" sqref="CJ33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70" width="11.5703125" customWidth="1"/>
    <col min="71" max="71" width="11.28515625" bestFit="1" customWidth="1"/>
    <col min="72" max="75" width="11.5703125" hidden="1" customWidth="1"/>
    <col min="76" max="76" width="10.5703125" hidden="1" customWidth="1"/>
    <col min="77" max="77" width="11.28515625" hidden="1" customWidth="1"/>
    <col min="78" max="79" width="10.85546875" hidden="1" customWidth="1"/>
    <col min="80" max="80" width="11.140625" hidden="1" customWidth="1"/>
    <col min="81" max="81" width="9" hidden="1" customWidth="1"/>
    <col min="82" max="86" width="0" hidden="1" customWidth="1"/>
    <col min="87" max="88" width="9.5703125" bestFit="1" customWidth="1"/>
  </cols>
  <sheetData>
    <row r="2" spans="2:88" ht="21">
      <c r="B2" s="31" t="s">
        <v>119</v>
      </c>
    </row>
    <row r="3" spans="2:88" ht="15.75">
      <c r="B3" s="63" t="s">
        <v>169</v>
      </c>
      <c r="BS3" s="63" t="s">
        <v>167</v>
      </c>
    </row>
    <row r="4" spans="2:88" ht="7.5" customHeight="1" thickBot="1"/>
    <row r="5" spans="2:88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88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>SUM(BN7:BN8)</f>
        <v>34370</v>
      </c>
      <c r="BO6" s="12">
        <f>SUM(BO7:BO8)</f>
        <v>29801</v>
      </c>
      <c r="BP6" s="12">
        <f>SUM(BP7:BP8)</f>
        <v>29558</v>
      </c>
      <c r="BQ6" s="12">
        <f>SUM(BQ7:BQ8)</f>
        <v>37378</v>
      </c>
      <c r="BR6" s="12">
        <f>SUM(BR7:BR8)</f>
        <v>34991</v>
      </c>
      <c r="BT6" s="9">
        <f t="shared" ref="BT6:BT11" si="12">SUM(C6:F6)</f>
        <v>162810.29999999999</v>
      </c>
      <c r="BU6" s="9">
        <f t="shared" ref="BU6:BU11" si="13">SUM(G6:J6)</f>
        <v>120873</v>
      </c>
      <c r="BV6" s="9">
        <f t="shared" ref="BV6:BV11" si="14">SUM(K6:N6)</f>
        <v>168160</v>
      </c>
      <c r="BW6" s="9">
        <f t="shared" ref="BW6:BW11" si="15">SUM(O6:R6)</f>
        <v>158627.88700000002</v>
      </c>
      <c r="BX6" s="9">
        <f t="shared" ref="BX6:BX11" si="16">SUM(S6:V6)</f>
        <v>169770</v>
      </c>
      <c r="BY6" s="9">
        <f t="shared" ref="BY6:BY11" si="17">SUM(W6:Z6)</f>
        <v>195176</v>
      </c>
      <c r="BZ6" s="9">
        <f t="shared" ref="BZ6:BZ11" si="18">SUM(AA6:AD6)</f>
        <v>189234.5</v>
      </c>
      <c r="CA6" s="9">
        <f t="shared" ref="CA6:CA11" si="19">SUM(AE6:AH6)</f>
        <v>160967</v>
      </c>
      <c r="CB6" s="12">
        <f t="shared" ref="CB6:CB12" si="20">SUM(AI6:AL6)</f>
        <v>169981</v>
      </c>
      <c r="CC6" s="12">
        <f t="shared" ref="CC6:CC12" si="21">SUM(AM6:AP6)</f>
        <v>146856</v>
      </c>
      <c r="CD6" s="12">
        <f t="shared" ref="CD6:CD12" si="22">SUM(AQ6:AT6)</f>
        <v>150213</v>
      </c>
      <c r="CE6" s="12">
        <f>SUM(AU6:AX6)+1</f>
        <v>125230</v>
      </c>
      <c r="CF6" s="12">
        <f t="shared" ref="CF6:CF12" si="23">SUM(AY6:BB6)</f>
        <v>112878</v>
      </c>
      <c r="CG6" s="12">
        <f t="shared" ref="CG6:CG12" si="24">SUM(BC6:BF6)</f>
        <v>160575</v>
      </c>
      <c r="CH6" s="12">
        <f t="shared" ref="CH6:CH12" si="25">SUM(BG6:BJ6)</f>
        <v>141215</v>
      </c>
      <c r="CI6" s="12">
        <f t="shared" ref="CI6:CI12" si="26">SUM(BK6:BN6)</f>
        <v>143652</v>
      </c>
      <c r="CJ6" s="12">
        <f t="shared" ref="CJ6:CJ12" si="27">SUM(BO6:BR6)</f>
        <v>131728</v>
      </c>
    </row>
    <row r="7" spans="2:88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86">
        <v>29428</v>
      </c>
      <c r="BO7" s="86">
        <v>25124</v>
      </c>
      <c r="BP7" s="86">
        <v>24770</v>
      </c>
      <c r="BQ7" s="86">
        <v>31119</v>
      </c>
      <c r="BR7" s="86">
        <v>28303</v>
      </c>
      <c r="BS7" s="15"/>
      <c r="BT7" s="2">
        <f t="shared" si="12"/>
        <v>130765.29999999999</v>
      </c>
      <c r="BU7" s="2">
        <f t="shared" si="13"/>
        <v>99661</v>
      </c>
      <c r="BV7" s="2">
        <f t="shared" si="14"/>
        <v>130489</v>
      </c>
      <c r="BW7" s="2">
        <f t="shared" si="15"/>
        <v>120274.88700000002</v>
      </c>
      <c r="BX7" s="2">
        <f t="shared" si="16"/>
        <v>136039</v>
      </c>
      <c r="BY7" s="2">
        <f t="shared" si="17"/>
        <v>153854</v>
      </c>
      <c r="BZ7" s="2">
        <f t="shared" si="18"/>
        <v>136904.5</v>
      </c>
      <c r="CA7" s="2">
        <f t="shared" si="19"/>
        <v>126962</v>
      </c>
      <c r="CB7" s="2">
        <f t="shared" si="20"/>
        <v>138673</v>
      </c>
      <c r="CC7" s="2">
        <f t="shared" si="21"/>
        <v>122158</v>
      </c>
      <c r="CD7" s="2">
        <f t="shared" si="22"/>
        <v>128350</v>
      </c>
      <c r="CE7" s="2">
        <f>SUM(AU7:AX7)</f>
        <v>108898</v>
      </c>
      <c r="CF7" s="2">
        <f t="shared" si="23"/>
        <v>106066</v>
      </c>
      <c r="CG7" s="2">
        <f t="shared" si="24"/>
        <v>138085</v>
      </c>
      <c r="CH7" s="2">
        <f t="shared" si="25"/>
        <v>120183</v>
      </c>
      <c r="CI7" s="2">
        <f t="shared" si="26"/>
        <v>125155</v>
      </c>
      <c r="CJ7" s="2">
        <f t="shared" si="27"/>
        <v>109316</v>
      </c>
    </row>
    <row r="8" spans="2:88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86">
        <v>4942</v>
      </c>
      <c r="BO8" s="86">
        <v>4677</v>
      </c>
      <c r="BP8" s="86">
        <v>4788</v>
      </c>
      <c r="BQ8" s="86">
        <v>6259</v>
      </c>
      <c r="BR8" s="86">
        <v>6688</v>
      </c>
      <c r="BS8" s="15"/>
      <c r="BT8" s="2">
        <f t="shared" si="12"/>
        <v>32045</v>
      </c>
      <c r="BU8" s="2">
        <f t="shared" si="13"/>
        <v>21212</v>
      </c>
      <c r="BV8" s="2">
        <f t="shared" si="14"/>
        <v>37671</v>
      </c>
      <c r="BW8" s="2">
        <f t="shared" si="15"/>
        <v>38353</v>
      </c>
      <c r="BX8" s="2">
        <f t="shared" si="16"/>
        <v>33731</v>
      </c>
      <c r="BY8" s="2">
        <f t="shared" si="17"/>
        <v>41322</v>
      </c>
      <c r="BZ8" s="2">
        <f t="shared" si="18"/>
        <v>52330</v>
      </c>
      <c r="CA8" s="2">
        <f t="shared" si="19"/>
        <v>34005</v>
      </c>
      <c r="CB8" s="2">
        <f t="shared" si="20"/>
        <v>31308</v>
      </c>
      <c r="CC8" s="2">
        <f t="shared" si="21"/>
        <v>24698</v>
      </c>
      <c r="CD8" s="2">
        <f t="shared" si="22"/>
        <v>21863</v>
      </c>
      <c r="CE8" s="2">
        <f>SUM(AU8:AX8)</f>
        <v>16331</v>
      </c>
      <c r="CF8" s="2">
        <f t="shared" si="23"/>
        <v>6812</v>
      </c>
      <c r="CG8" s="2">
        <f t="shared" si="24"/>
        <v>22490</v>
      </c>
      <c r="CH8" s="2">
        <f t="shared" si="25"/>
        <v>21032</v>
      </c>
      <c r="CI8" s="2">
        <f t="shared" si="26"/>
        <v>18497</v>
      </c>
      <c r="CJ8" s="2">
        <f t="shared" si="27"/>
        <v>22412</v>
      </c>
    </row>
    <row r="9" spans="2:88" ht="15.75" thickBot="1">
      <c r="B9" s="9" t="s">
        <v>1</v>
      </c>
      <c r="C9" s="12">
        <f t="shared" ref="C9:AL9" si="28">SUM(C10:C11)</f>
        <v>17563.048999999999</v>
      </c>
      <c r="D9" s="12">
        <f t="shared" si="28"/>
        <v>17391.27</v>
      </c>
      <c r="E9" s="12">
        <f t="shared" si="28"/>
        <v>16887.920000000002</v>
      </c>
      <c r="F9" s="12">
        <f t="shared" si="28"/>
        <v>12929.135</v>
      </c>
      <c r="G9" s="12">
        <f t="shared" si="28"/>
        <v>7940</v>
      </c>
      <c r="H9" s="12">
        <f t="shared" si="28"/>
        <v>8736</v>
      </c>
      <c r="I9" s="12">
        <f t="shared" si="28"/>
        <v>27638.95</v>
      </c>
      <c r="J9" s="12">
        <f t="shared" si="28"/>
        <v>13831</v>
      </c>
      <c r="K9" s="12">
        <f t="shared" si="28"/>
        <v>14125.54</v>
      </c>
      <c r="L9" s="12">
        <f t="shared" si="28"/>
        <v>14409.65</v>
      </c>
      <c r="M9" s="12">
        <f t="shared" si="28"/>
        <v>12886.491000000002</v>
      </c>
      <c r="N9" s="12">
        <f t="shared" si="28"/>
        <v>20464.035000000003</v>
      </c>
      <c r="O9" s="12">
        <f t="shared" si="28"/>
        <v>19176.399999999998</v>
      </c>
      <c r="P9" s="12">
        <f t="shared" si="28"/>
        <v>15013.295</v>
      </c>
      <c r="Q9" s="12">
        <f t="shared" si="28"/>
        <v>11377.66</v>
      </c>
      <c r="R9" s="12">
        <f t="shared" si="28"/>
        <v>12782.49</v>
      </c>
      <c r="S9" s="12">
        <f t="shared" si="28"/>
        <v>16234.985000000001</v>
      </c>
      <c r="T9" s="12">
        <f t="shared" si="28"/>
        <v>15929.01</v>
      </c>
      <c r="U9" s="12">
        <f t="shared" si="28"/>
        <v>10419.299999999999</v>
      </c>
      <c r="V9" s="12">
        <f t="shared" si="28"/>
        <v>17769.55</v>
      </c>
      <c r="W9" s="12">
        <f t="shared" si="28"/>
        <v>13112</v>
      </c>
      <c r="X9" s="12">
        <f t="shared" si="28"/>
        <v>11991.75</v>
      </c>
      <c r="Y9" s="12">
        <f t="shared" si="28"/>
        <v>24711.93</v>
      </c>
      <c r="Z9" s="12">
        <f t="shared" si="28"/>
        <v>15226.8</v>
      </c>
      <c r="AA9" s="12">
        <f t="shared" si="28"/>
        <v>14974.16</v>
      </c>
      <c r="AB9" s="12">
        <f t="shared" si="28"/>
        <v>10802</v>
      </c>
      <c r="AC9" s="12">
        <f t="shared" si="28"/>
        <v>7149</v>
      </c>
      <c r="AD9" s="12">
        <f t="shared" si="28"/>
        <v>6216</v>
      </c>
      <c r="AE9" s="12">
        <f t="shared" si="28"/>
        <v>5287</v>
      </c>
      <c r="AF9" s="12">
        <f t="shared" si="28"/>
        <v>10221</v>
      </c>
      <c r="AG9" s="12">
        <f t="shared" si="28"/>
        <v>12693</v>
      </c>
      <c r="AH9" s="12">
        <f t="shared" si="28"/>
        <v>15909</v>
      </c>
      <c r="AI9" s="12">
        <f t="shared" si="28"/>
        <v>34453</v>
      </c>
      <c r="AJ9" s="12">
        <f t="shared" si="28"/>
        <v>30768</v>
      </c>
      <c r="AK9" s="12">
        <f t="shared" si="28"/>
        <v>15591</v>
      </c>
      <c r="AL9" s="12">
        <f t="shared" si="28"/>
        <v>11697</v>
      </c>
      <c r="AM9" s="12">
        <f t="shared" ref="AM9:AP9" si="29">SUM(AM10:AM11)</f>
        <v>15145</v>
      </c>
      <c r="AN9" s="12">
        <f t="shared" si="29"/>
        <v>15982</v>
      </c>
      <c r="AO9" s="12">
        <f t="shared" si="29"/>
        <v>18989</v>
      </c>
      <c r="AP9" s="12">
        <f t="shared" si="29"/>
        <v>14572</v>
      </c>
      <c r="AQ9" s="12">
        <f t="shared" ref="AQ9:AR9" si="30">SUM(AQ10:AQ11)</f>
        <v>24525</v>
      </c>
      <c r="AR9" s="12">
        <f t="shared" si="30"/>
        <v>15360</v>
      </c>
      <c r="AS9" s="12">
        <f t="shared" ref="AS9:AU9" si="31">SUM(AS10:AS11)</f>
        <v>20051</v>
      </c>
      <c r="AT9" s="12">
        <f t="shared" si="31"/>
        <v>15817</v>
      </c>
      <c r="AU9" s="12">
        <f t="shared" si="31"/>
        <v>19520</v>
      </c>
      <c r="AV9" s="12">
        <f t="shared" ref="AV9:AW9" si="32">SUM(AV10:AV11)</f>
        <v>27832</v>
      </c>
      <c r="AW9" s="12">
        <f t="shared" si="32"/>
        <v>25178</v>
      </c>
      <c r="AX9" s="12">
        <f t="shared" ref="AX9:AY9" si="33">SUM(AX10:AX11)</f>
        <v>24896</v>
      </c>
      <c r="AY9" s="12">
        <f t="shared" si="33"/>
        <v>32779</v>
      </c>
      <c r="AZ9" s="12">
        <f t="shared" ref="AZ9:BA9" si="34">SUM(AZ10:AZ11)</f>
        <v>46102</v>
      </c>
      <c r="BA9" s="12">
        <f t="shared" si="34"/>
        <v>34419</v>
      </c>
      <c r="BB9" s="12">
        <f t="shared" ref="BB9:BC9" si="35">SUM(BB10:BB11)</f>
        <v>41885</v>
      </c>
      <c r="BC9" s="12">
        <f t="shared" si="35"/>
        <v>31048</v>
      </c>
      <c r="BD9" s="12">
        <f t="shared" ref="BD9:BE9" si="36">SUM(BD10:BD11)</f>
        <v>25018</v>
      </c>
      <c r="BE9" s="12">
        <f t="shared" si="36"/>
        <v>32633</v>
      </c>
      <c r="BF9" s="12">
        <f t="shared" ref="BF9:BG9" si="37">SUM(BF10:BF11)</f>
        <v>22846</v>
      </c>
      <c r="BG9" s="12">
        <f t="shared" si="37"/>
        <v>33948</v>
      </c>
      <c r="BH9" s="12">
        <f t="shared" ref="BH9:BL9" si="38">SUM(BH10:BH11)</f>
        <v>37809</v>
      </c>
      <c r="BI9" s="12">
        <f t="shared" ref="BI9" si="39">SUM(BI10:BI11)</f>
        <v>28495</v>
      </c>
      <c r="BJ9" s="12">
        <f t="shared" si="38"/>
        <v>28448</v>
      </c>
      <c r="BK9" s="12">
        <f t="shared" si="38"/>
        <v>41233</v>
      </c>
      <c r="BL9" s="12">
        <f t="shared" si="38"/>
        <v>31837</v>
      </c>
      <c r="BM9" s="12">
        <f t="shared" ref="BM9" si="40">SUM(BM10:BM11)</f>
        <v>25248</v>
      </c>
      <c r="BN9" s="12">
        <f>SUM(BN10:BN11)</f>
        <v>31679</v>
      </c>
      <c r="BO9" s="12">
        <f>SUM(BO10:BO11)</f>
        <v>33281</v>
      </c>
      <c r="BP9" s="12">
        <f>SUM(BP10:BP11)</f>
        <v>33858</v>
      </c>
      <c r="BQ9" s="12">
        <f>SUM(BQ10:BQ11)</f>
        <v>30946</v>
      </c>
      <c r="BR9" s="12">
        <f>SUM(BR10:BR11)</f>
        <v>38810</v>
      </c>
      <c r="BT9" s="9">
        <f t="shared" si="12"/>
        <v>64771.374000000003</v>
      </c>
      <c r="BU9" s="9">
        <f t="shared" si="13"/>
        <v>58145.95</v>
      </c>
      <c r="BV9" s="9">
        <f t="shared" si="14"/>
        <v>61885.716000000008</v>
      </c>
      <c r="BW9" s="9">
        <f t="shared" si="15"/>
        <v>58349.844999999994</v>
      </c>
      <c r="BX9" s="9">
        <f t="shared" si="16"/>
        <v>60352.845000000001</v>
      </c>
      <c r="BY9" s="9">
        <f t="shared" si="17"/>
        <v>65042.479999999996</v>
      </c>
      <c r="BZ9" s="9">
        <f t="shared" si="18"/>
        <v>39141.160000000003</v>
      </c>
      <c r="CA9" s="9">
        <f t="shared" si="19"/>
        <v>44110</v>
      </c>
      <c r="CB9" s="12">
        <f t="shared" si="20"/>
        <v>92509</v>
      </c>
      <c r="CC9" s="12">
        <f t="shared" si="21"/>
        <v>64688</v>
      </c>
      <c r="CD9" s="12">
        <f t="shared" si="22"/>
        <v>75753</v>
      </c>
      <c r="CE9" s="12">
        <f>SUM(AU9:AX9)</f>
        <v>97426</v>
      </c>
      <c r="CF9" s="12">
        <f t="shared" si="23"/>
        <v>155185</v>
      </c>
      <c r="CG9" s="12">
        <f t="shared" si="24"/>
        <v>111545</v>
      </c>
      <c r="CH9" s="12">
        <f t="shared" si="25"/>
        <v>128700</v>
      </c>
      <c r="CI9" s="12">
        <f t="shared" si="26"/>
        <v>129997</v>
      </c>
      <c r="CJ9" s="12">
        <f t="shared" si="27"/>
        <v>136895</v>
      </c>
    </row>
    <row r="10" spans="2:88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86">
        <v>11624</v>
      </c>
      <c r="BO10" s="86">
        <v>13053</v>
      </c>
      <c r="BP10" s="86">
        <v>16176</v>
      </c>
      <c r="BQ10" s="86">
        <v>11790</v>
      </c>
      <c r="BR10" s="86">
        <v>23144</v>
      </c>
      <c r="BS10" s="15"/>
      <c r="BT10" s="2">
        <f t="shared" si="12"/>
        <v>35816.243999999999</v>
      </c>
      <c r="BU10" s="2">
        <f t="shared" si="13"/>
        <v>5024</v>
      </c>
      <c r="BV10" s="2">
        <f t="shared" si="14"/>
        <v>9410.2049999999999</v>
      </c>
      <c r="BW10" s="2">
        <f t="shared" si="15"/>
        <v>11879.195</v>
      </c>
      <c r="BX10" s="2">
        <f t="shared" si="16"/>
        <v>8126.8449999999993</v>
      </c>
      <c r="BY10" s="2">
        <f t="shared" si="17"/>
        <v>24568</v>
      </c>
      <c r="BZ10" s="2">
        <f t="shared" si="18"/>
        <v>9069.16</v>
      </c>
      <c r="CA10" s="2">
        <f t="shared" si="19"/>
        <v>13424</v>
      </c>
      <c r="CB10" s="2">
        <f t="shared" si="20"/>
        <v>27986</v>
      </c>
      <c r="CC10" s="2">
        <f t="shared" si="21"/>
        <v>22452</v>
      </c>
      <c r="CD10" s="2">
        <f t="shared" si="22"/>
        <v>10641</v>
      </c>
      <c r="CE10" s="2">
        <f>SUM(AU10:AX10)</f>
        <v>15762</v>
      </c>
      <c r="CF10" s="2">
        <f t="shared" si="23"/>
        <v>66655</v>
      </c>
      <c r="CG10" s="2">
        <f t="shared" si="24"/>
        <v>40852</v>
      </c>
      <c r="CH10" s="2">
        <f t="shared" si="25"/>
        <v>53319</v>
      </c>
      <c r="CI10" s="2">
        <f t="shared" si="26"/>
        <v>57019</v>
      </c>
      <c r="CJ10" s="2">
        <f t="shared" si="27"/>
        <v>64163</v>
      </c>
    </row>
    <row r="11" spans="2:88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86">
        <v>20055</v>
      </c>
      <c r="BO11" s="86">
        <v>20228</v>
      </c>
      <c r="BP11" s="86">
        <v>17682</v>
      </c>
      <c r="BQ11" s="86">
        <v>19156</v>
      </c>
      <c r="BR11" s="86">
        <v>15666</v>
      </c>
      <c r="BS11" s="15"/>
      <c r="BT11" s="2">
        <f t="shared" si="12"/>
        <v>28955.130000000005</v>
      </c>
      <c r="BU11" s="2">
        <f t="shared" si="13"/>
        <v>53121.95</v>
      </c>
      <c r="BV11" s="2">
        <f t="shared" si="14"/>
        <v>52475.510999999999</v>
      </c>
      <c r="BW11" s="2">
        <f t="shared" si="15"/>
        <v>46470.649999999994</v>
      </c>
      <c r="BX11" s="2">
        <f t="shared" si="16"/>
        <v>52226</v>
      </c>
      <c r="BY11" s="2">
        <f t="shared" si="17"/>
        <v>40474.479999999996</v>
      </c>
      <c r="BZ11" s="2">
        <f t="shared" si="18"/>
        <v>30072</v>
      </c>
      <c r="CA11" s="2">
        <f t="shared" si="19"/>
        <v>30686</v>
      </c>
      <c r="CB11" s="2">
        <f t="shared" si="20"/>
        <v>64523</v>
      </c>
      <c r="CC11" s="2">
        <f t="shared" si="21"/>
        <v>42236</v>
      </c>
      <c r="CD11" s="2">
        <f t="shared" si="22"/>
        <v>65112</v>
      </c>
      <c r="CE11" s="2">
        <f>SUM(AU11:AX11)</f>
        <v>81664</v>
      </c>
      <c r="CF11" s="2">
        <f t="shared" si="23"/>
        <v>88530</v>
      </c>
      <c r="CG11" s="2">
        <f t="shared" si="24"/>
        <v>70693</v>
      </c>
      <c r="CH11" s="2">
        <f t="shared" si="25"/>
        <v>75381</v>
      </c>
      <c r="CI11" s="2">
        <f t="shared" si="26"/>
        <v>72978</v>
      </c>
      <c r="CJ11" s="2">
        <f t="shared" si="27"/>
        <v>72732</v>
      </c>
    </row>
    <row r="12" spans="2:88" ht="15.75" thickBot="1">
      <c r="B12" s="13" t="s">
        <v>108</v>
      </c>
      <c r="C12" s="9">
        <f t="shared" ref="C12:AH12" si="41">C6+C9</f>
        <v>63707.808999999994</v>
      </c>
      <c r="D12" s="9">
        <f t="shared" si="41"/>
        <v>68485.63</v>
      </c>
      <c r="E12" s="9">
        <f t="shared" si="41"/>
        <v>57547.64</v>
      </c>
      <c r="F12" s="9">
        <f t="shared" si="41"/>
        <v>37840.595000000001</v>
      </c>
      <c r="G12" s="9">
        <f t="shared" si="41"/>
        <v>24206</v>
      </c>
      <c r="H12" s="9">
        <f t="shared" si="41"/>
        <v>41918</v>
      </c>
      <c r="I12" s="9">
        <f t="shared" si="41"/>
        <v>66703.95</v>
      </c>
      <c r="J12" s="9">
        <f t="shared" si="41"/>
        <v>46191</v>
      </c>
      <c r="K12" s="9">
        <f t="shared" si="41"/>
        <v>56923.54</v>
      </c>
      <c r="L12" s="9">
        <f t="shared" si="41"/>
        <v>59542.65</v>
      </c>
      <c r="M12" s="9">
        <f t="shared" si="41"/>
        <v>57673.491000000002</v>
      </c>
      <c r="N12" s="9">
        <f t="shared" si="41"/>
        <v>55906.035000000003</v>
      </c>
      <c r="O12" s="9">
        <f t="shared" si="41"/>
        <v>67472.286999999997</v>
      </c>
      <c r="P12" s="9">
        <f t="shared" si="41"/>
        <v>57727.125</v>
      </c>
      <c r="Q12" s="9">
        <f t="shared" si="41"/>
        <v>50491.150000000009</v>
      </c>
      <c r="R12" s="9">
        <f t="shared" si="41"/>
        <v>41287.17</v>
      </c>
      <c r="S12" s="9">
        <f t="shared" si="41"/>
        <v>65250.985000000001</v>
      </c>
      <c r="T12" s="9">
        <f t="shared" si="41"/>
        <v>59014.01</v>
      </c>
      <c r="U12" s="9">
        <f t="shared" si="41"/>
        <v>50761.3</v>
      </c>
      <c r="V12" s="9">
        <f t="shared" si="41"/>
        <v>55096.55</v>
      </c>
      <c r="W12" s="9">
        <f t="shared" si="41"/>
        <v>63924</v>
      </c>
      <c r="X12" s="9">
        <f t="shared" si="41"/>
        <v>58414.75</v>
      </c>
      <c r="Y12" s="9">
        <f t="shared" si="41"/>
        <v>72010.929999999993</v>
      </c>
      <c r="Z12" s="9">
        <f t="shared" si="41"/>
        <v>65868.800000000003</v>
      </c>
      <c r="AA12" s="9">
        <f t="shared" si="41"/>
        <v>65658.66</v>
      </c>
      <c r="AB12" s="9">
        <f t="shared" si="41"/>
        <v>60090</v>
      </c>
      <c r="AC12" s="9">
        <f t="shared" si="41"/>
        <v>55595</v>
      </c>
      <c r="AD12" s="9">
        <f t="shared" si="41"/>
        <v>47032</v>
      </c>
      <c r="AE12" s="9">
        <f t="shared" si="41"/>
        <v>51277</v>
      </c>
      <c r="AF12" s="9">
        <f t="shared" si="41"/>
        <v>53166</v>
      </c>
      <c r="AG12" s="9">
        <f t="shared" si="41"/>
        <v>48159</v>
      </c>
      <c r="AH12" s="9">
        <f t="shared" si="41"/>
        <v>52475</v>
      </c>
      <c r="AI12" s="12">
        <f t="shared" ref="AI12:BA12" si="42">AI6+AI9</f>
        <v>73273</v>
      </c>
      <c r="AJ12" s="12">
        <f t="shared" si="42"/>
        <v>72496</v>
      </c>
      <c r="AK12" s="12">
        <f t="shared" si="42"/>
        <v>62870</v>
      </c>
      <c r="AL12" s="12">
        <f t="shared" si="42"/>
        <v>53851</v>
      </c>
      <c r="AM12" s="12">
        <f t="shared" si="42"/>
        <v>53448</v>
      </c>
      <c r="AN12" s="12">
        <f t="shared" si="42"/>
        <v>52369</v>
      </c>
      <c r="AO12" s="12">
        <f t="shared" si="42"/>
        <v>61565</v>
      </c>
      <c r="AP12" s="12">
        <f t="shared" si="42"/>
        <v>44162</v>
      </c>
      <c r="AQ12" s="12">
        <f t="shared" si="42"/>
        <v>69395</v>
      </c>
      <c r="AR12" s="12">
        <f t="shared" si="42"/>
        <v>51356</v>
      </c>
      <c r="AS12" s="12">
        <f t="shared" si="42"/>
        <v>56955</v>
      </c>
      <c r="AT12" s="12">
        <f t="shared" si="42"/>
        <v>48260</v>
      </c>
      <c r="AU12" s="12">
        <f t="shared" si="42"/>
        <v>60243</v>
      </c>
      <c r="AV12" s="12">
        <f t="shared" si="42"/>
        <v>55704</v>
      </c>
      <c r="AW12" s="12">
        <f t="shared" si="42"/>
        <v>56696</v>
      </c>
      <c r="AX12" s="12">
        <f t="shared" si="42"/>
        <v>50012</v>
      </c>
      <c r="AY12" s="12">
        <f t="shared" si="42"/>
        <v>66215</v>
      </c>
      <c r="AZ12" s="12">
        <f t="shared" si="42"/>
        <v>65405</v>
      </c>
      <c r="BA12" s="12">
        <f t="shared" si="42"/>
        <v>60446</v>
      </c>
      <c r="BB12" s="12">
        <f t="shared" ref="BB12:BC12" si="43">BB6+BB9</f>
        <v>75997</v>
      </c>
      <c r="BC12" s="12">
        <f t="shared" si="43"/>
        <v>72111</v>
      </c>
      <c r="BD12" s="12">
        <f t="shared" ref="BD12:BE12" si="44">BD6+BD9</f>
        <v>60836</v>
      </c>
      <c r="BE12" s="12">
        <f t="shared" si="44"/>
        <v>77263</v>
      </c>
      <c r="BF12" s="12">
        <f t="shared" ref="BF12:BG12" si="45">BF6+BF9</f>
        <v>61910</v>
      </c>
      <c r="BG12" s="12">
        <f t="shared" si="45"/>
        <v>64403</v>
      </c>
      <c r="BH12" s="12">
        <f t="shared" ref="BH12:BL12" si="46">BH6+BH9</f>
        <v>71586</v>
      </c>
      <c r="BI12" s="12">
        <f t="shared" ref="BI12" si="47">BI6+BI9</f>
        <v>67162</v>
      </c>
      <c r="BJ12" s="12">
        <f t="shared" si="46"/>
        <v>66764</v>
      </c>
      <c r="BK12" s="12">
        <f t="shared" si="46"/>
        <v>73454</v>
      </c>
      <c r="BL12" s="12">
        <f t="shared" si="46"/>
        <v>68042</v>
      </c>
      <c r="BM12" s="12">
        <f t="shared" ref="BM12" si="48">BM6+BM9</f>
        <v>66104</v>
      </c>
      <c r="BN12" s="12">
        <f>BN6+BN9</f>
        <v>66049</v>
      </c>
      <c r="BO12" s="12">
        <f>BO6+BO9</f>
        <v>63082</v>
      </c>
      <c r="BP12" s="12">
        <f>BP6+BP9</f>
        <v>63416</v>
      </c>
      <c r="BQ12" s="12">
        <f>BQ6+BQ9</f>
        <v>68324</v>
      </c>
      <c r="BR12" s="12">
        <f>BR6+BR9</f>
        <v>73801</v>
      </c>
      <c r="BT12" s="9">
        <f>BT9+BT6</f>
        <v>227581.674</v>
      </c>
      <c r="BU12" s="9">
        <f t="shared" ref="BU12:CA12" si="49">BU6+BU9</f>
        <v>179018.95</v>
      </c>
      <c r="BV12" s="9">
        <f t="shared" si="49"/>
        <v>230045.71600000001</v>
      </c>
      <c r="BW12" s="9">
        <f t="shared" si="49"/>
        <v>216977.73200000002</v>
      </c>
      <c r="BX12" s="9">
        <f t="shared" si="49"/>
        <v>230122.845</v>
      </c>
      <c r="BY12" s="9">
        <f t="shared" si="49"/>
        <v>260218.47999999998</v>
      </c>
      <c r="BZ12" s="9">
        <f t="shared" si="49"/>
        <v>228375.66</v>
      </c>
      <c r="CA12" s="9">
        <f t="shared" si="49"/>
        <v>205077</v>
      </c>
      <c r="CB12" s="12">
        <f t="shared" si="20"/>
        <v>262490</v>
      </c>
      <c r="CC12" s="12">
        <f t="shared" si="21"/>
        <v>211544</v>
      </c>
      <c r="CD12" s="12">
        <f t="shared" si="22"/>
        <v>225966</v>
      </c>
      <c r="CE12" s="12">
        <f>SUM(AU12:AX12)+1</f>
        <v>222656</v>
      </c>
      <c r="CF12" s="12">
        <f t="shared" si="23"/>
        <v>268063</v>
      </c>
      <c r="CG12" s="12">
        <f t="shared" si="24"/>
        <v>272120</v>
      </c>
      <c r="CH12" s="12">
        <f t="shared" si="25"/>
        <v>269915</v>
      </c>
      <c r="CI12" s="12">
        <f t="shared" si="26"/>
        <v>273649</v>
      </c>
      <c r="CJ12" s="12">
        <f t="shared" si="27"/>
        <v>268623</v>
      </c>
    </row>
    <row r="13" spans="2:88" s="19" customFormat="1">
      <c r="BS13" s="59"/>
      <c r="BT13" s="59"/>
      <c r="BU13" s="59"/>
      <c r="BV13" s="59"/>
      <c r="BW13" s="59"/>
      <c r="BX13" s="59"/>
      <c r="BY13" s="59"/>
      <c r="BZ13" s="59"/>
      <c r="CA13" s="59"/>
    </row>
    <row r="14" spans="2:88">
      <c r="BS14" s="59"/>
      <c r="BT14" s="59"/>
      <c r="BU14" s="59"/>
      <c r="BV14" s="59"/>
      <c r="BW14" s="59"/>
      <c r="BX14" s="59"/>
      <c r="BY14" s="59"/>
      <c r="BZ14" s="59"/>
      <c r="CA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70" max="1048575" man="1"/>
  </colBreaks>
  <ignoredErrors>
    <ignoredError sqref="BT6:CC11 CD8:CE8 CD12 CD10:CE11 CD9:CE9 CD7:CE7 CI7:CJ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J9"/>
  <sheetViews>
    <sheetView showGridLines="0" showRowColHeaders="0" zoomScale="80" zoomScaleNormal="80" zoomScaleSheetLayoutView="85" workbookViewId="0">
      <pane xSplit="2" ySplit="5" topLeftCell="BB6" activePane="bottomRight" state="frozen"/>
      <selection activeCell="CJ13" sqref="CJ13"/>
      <selection pane="topRight" activeCell="CJ13" sqref="CJ13"/>
      <selection pane="bottomLeft" activeCell="CJ13" sqref="CJ13"/>
      <selection pane="bottomRight" activeCell="BQ35" sqref="BQ35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70" width="10.85546875" customWidth="1"/>
    <col min="71" max="71" width="10.5703125" bestFit="1" customWidth="1"/>
    <col min="72" max="75" width="11.5703125" hidden="1" customWidth="1"/>
    <col min="76" max="76" width="10.5703125" hidden="1" customWidth="1"/>
    <col min="77" max="78" width="0" hidden="1" customWidth="1"/>
    <col min="79" max="79" width="9.5703125" hidden="1" customWidth="1"/>
    <col min="80" max="86" width="0" hidden="1" customWidth="1"/>
    <col min="87" max="88" width="10.7109375" customWidth="1"/>
  </cols>
  <sheetData>
    <row r="2" spans="2:88" ht="21">
      <c r="B2" s="31" t="s">
        <v>118</v>
      </c>
    </row>
    <row r="3" spans="2:88" ht="15.75">
      <c r="B3" s="63" t="s">
        <v>169</v>
      </c>
      <c r="BS3" s="63" t="s">
        <v>167</v>
      </c>
    </row>
    <row r="4" spans="2:88" ht="7.5" customHeight="1" thickBot="1"/>
    <row r="5" spans="2:88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10">
        <v>2008</v>
      </c>
      <c r="BU5" s="10">
        <v>2009</v>
      </c>
      <c r="BV5" s="10">
        <v>2010</v>
      </c>
      <c r="BW5" s="10">
        <v>2011</v>
      </c>
      <c r="BX5" s="10">
        <v>2012</v>
      </c>
      <c r="BY5" s="10">
        <v>2013</v>
      </c>
      <c r="BZ5" s="10">
        <v>2014</v>
      </c>
      <c r="CA5" s="10">
        <v>2015</v>
      </c>
      <c r="CB5" s="10">
        <v>2016</v>
      </c>
      <c r="CC5" s="10">
        <v>2017</v>
      </c>
      <c r="CD5" s="10">
        <v>2018</v>
      </c>
      <c r="CE5" s="10">
        <v>2019</v>
      </c>
      <c r="CF5" s="10">
        <v>2020</v>
      </c>
      <c r="CG5" s="10">
        <v>2021</v>
      </c>
      <c r="CH5" s="8">
        <v>2022</v>
      </c>
      <c r="CI5" s="8">
        <v>2023</v>
      </c>
      <c r="CJ5" s="8">
        <v>2024</v>
      </c>
    </row>
    <row r="6" spans="2:88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:BP6" si="12">SUM(BO7:BO8)</f>
        <v>76788</v>
      </c>
      <c r="BP6" s="12">
        <f t="shared" si="12"/>
        <v>74750</v>
      </c>
      <c r="BQ6" s="12">
        <f t="shared" ref="BQ6:BR6" si="13">SUM(BQ7:BQ8)</f>
        <v>76286</v>
      </c>
      <c r="BR6" s="12">
        <f t="shared" si="13"/>
        <v>73384</v>
      </c>
      <c r="BT6" s="9">
        <f t="shared" ref="BT6:CA6" si="14">SUM(BT7:BT8)</f>
        <v>265196.32999999996</v>
      </c>
      <c r="BU6" s="9">
        <f t="shared" si="14"/>
        <v>165388.065</v>
      </c>
      <c r="BV6" s="9">
        <f t="shared" si="14"/>
        <v>265342.98200000002</v>
      </c>
      <c r="BW6" s="9">
        <f t="shared" si="14"/>
        <v>236171.524</v>
      </c>
      <c r="BX6" s="9">
        <f t="shared" si="14"/>
        <v>265433.24699999997</v>
      </c>
      <c r="BY6" s="9">
        <f t="shared" si="14"/>
        <v>260326</v>
      </c>
      <c r="BZ6" s="9">
        <f t="shared" si="14"/>
        <v>285340</v>
      </c>
      <c r="CA6" s="9">
        <f t="shared" si="14"/>
        <v>261778</v>
      </c>
      <c r="CB6" s="12">
        <f>SUM(AI6:AL6)</f>
        <v>212521</v>
      </c>
      <c r="CC6" s="12">
        <f>SUM(AM6:AP6)</f>
        <v>236121</v>
      </c>
      <c r="CD6" s="12">
        <f>SUM(AQ6:AT6)</f>
        <v>263568</v>
      </c>
      <c r="CE6" s="12">
        <f>SUM(AU6:AX6)</f>
        <v>233366</v>
      </c>
      <c r="CF6" s="12">
        <f>SUM(AY6:BB6)</f>
        <v>296394</v>
      </c>
      <c r="CG6" s="12">
        <f>SUM(BC6:BF6)</f>
        <v>309770</v>
      </c>
      <c r="CH6" s="12">
        <f>SUM(BG6:BJ6)</f>
        <v>301627</v>
      </c>
      <c r="CI6" s="12">
        <f>SUM(BK6:BN6)</f>
        <v>296643</v>
      </c>
      <c r="CJ6" s="12">
        <f>SUM(BO6:BR6)</f>
        <v>301208</v>
      </c>
    </row>
    <row r="7" spans="2:88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P7" s="21">
        <v>50067</v>
      </c>
      <c r="BQ7" s="21">
        <v>48495</v>
      </c>
      <c r="BR7" s="21">
        <v>51513</v>
      </c>
      <c r="BT7" s="2">
        <f>SUM(C7:F7)</f>
        <v>199324.677</v>
      </c>
      <c r="BU7" s="2">
        <f>SUM(G7:J7)</f>
        <v>90634.055999999997</v>
      </c>
      <c r="BV7" s="2">
        <f>SUM(K7:N7)</f>
        <v>173431.98200000002</v>
      </c>
      <c r="BW7" s="2">
        <f>SUM(O7:R7)</f>
        <v>145123.524</v>
      </c>
      <c r="BX7" s="2">
        <f>SUM(S7:V7)</f>
        <v>180916.247</v>
      </c>
      <c r="BY7" s="2">
        <f>SUM(W7:Z7)</f>
        <v>174180</v>
      </c>
      <c r="BZ7" s="2">
        <f>SUM(AA7:AD7)</f>
        <v>188682</v>
      </c>
      <c r="CA7" s="2">
        <f>SUM(AE7:AH7)</f>
        <v>173467</v>
      </c>
      <c r="CB7" s="2">
        <f>SUM(AI7:AL7)</f>
        <v>150240</v>
      </c>
      <c r="CC7" s="2">
        <f>SUM(AM7:AP7)</f>
        <v>171531</v>
      </c>
      <c r="CD7" s="2">
        <f>SUM(AQ7:AT7)</f>
        <v>175061</v>
      </c>
      <c r="CE7" s="2">
        <f>SUM(AU7:AX7)</f>
        <v>136780</v>
      </c>
      <c r="CF7" s="2">
        <f>SUM(AY7:BB7)</f>
        <v>201189</v>
      </c>
      <c r="CG7" s="2">
        <f>SUM(BC7:BF7)</f>
        <v>213756</v>
      </c>
      <c r="CH7" s="2">
        <f>SUM(BG7:BJ7)</f>
        <v>205371</v>
      </c>
      <c r="CI7" s="2">
        <f>SUM(BK7:BN7)</f>
        <v>202481</v>
      </c>
      <c r="CJ7" s="2">
        <f>SUM(BO7:BR7)</f>
        <v>201372</v>
      </c>
    </row>
    <row r="8" spans="2:88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P8" s="21">
        <v>24683</v>
      </c>
      <c r="BQ8" s="21">
        <v>27791</v>
      </c>
      <c r="BR8" s="21">
        <v>21871</v>
      </c>
      <c r="BT8" s="2">
        <f t="shared" ref="BT8" si="15">SUM(C8:F8)</f>
        <v>65871.652999999991</v>
      </c>
      <c r="BU8" s="2">
        <f>SUM(G8:J8)</f>
        <v>74754.009000000005</v>
      </c>
      <c r="BV8" s="2">
        <f>SUM(K8:N8)</f>
        <v>91911</v>
      </c>
      <c r="BW8" s="2">
        <f>SUM(O8:R8)</f>
        <v>91048</v>
      </c>
      <c r="BX8" s="2">
        <f>SUM(S8:V8)</f>
        <v>84517</v>
      </c>
      <c r="BY8" s="2">
        <f>SUM(W8:Z8)</f>
        <v>86146</v>
      </c>
      <c r="BZ8" s="2">
        <f t="shared" ref="BZ8" si="16">SUM(AA8:AD8)</f>
        <v>96658</v>
      </c>
      <c r="CA8" s="2">
        <f>SUM(AE8:AH8)</f>
        <v>88311</v>
      </c>
      <c r="CB8" s="2">
        <f>SUM(AI8:AL8)</f>
        <v>62281</v>
      </c>
      <c r="CC8" s="2">
        <f>SUM(AM8:AP8)</f>
        <v>64590</v>
      </c>
      <c r="CD8" s="2">
        <f>SUM(AQ8:AT8)</f>
        <v>88507</v>
      </c>
      <c r="CE8" s="2">
        <f>SUM(AU8:AX8)</f>
        <v>96586</v>
      </c>
      <c r="CF8" s="2">
        <f>SUM(AY8:BB8)</f>
        <v>95205</v>
      </c>
      <c r="CG8" s="2">
        <f>SUM(BC8:BF8)</f>
        <v>96014</v>
      </c>
      <c r="CH8" s="2">
        <f>SUM(BG8:BJ8)</f>
        <v>96256</v>
      </c>
      <c r="CI8" s="2">
        <f>SUM(BK8:BN8)</f>
        <v>94162</v>
      </c>
      <c r="CJ8" s="2">
        <f>SUM(BO8:BR8)</f>
        <v>99836</v>
      </c>
    </row>
    <row r="9" spans="2:88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70" max="1048575" man="1"/>
  </colBreaks>
  <ignoredErrors>
    <ignoredError sqref="BT7:CC8 CD7:CE8 CI7:CJ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A34" sqref="AA3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R43"/>
  <sheetViews>
    <sheetView showGridLines="0" showRowColHeaders="0" zoomScaleNormal="100" zoomScaleSheetLayoutView="85" workbookViewId="0">
      <pane xSplit="2" ySplit="5" topLeftCell="BJ6" activePane="bottomRight" state="frozen"/>
      <selection activeCell="CJ13" sqref="CJ13"/>
      <selection pane="topRight" activeCell="CJ13" sqref="CJ13"/>
      <selection pane="bottomLeft" activeCell="CJ13" sqref="CJ13"/>
      <selection pane="bottomRight" activeCell="BR6" sqref="BR6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70" width="12.28515625" customWidth="1"/>
    <col min="71" max="71" width="12.28515625" bestFit="1" customWidth="1"/>
    <col min="72" max="75" width="12.28515625" hidden="1" customWidth="1"/>
    <col min="76" max="76" width="11" hidden="1" customWidth="1"/>
    <col min="77" max="77" width="12.5703125" hidden="1" customWidth="1"/>
    <col min="78" max="79" width="11.28515625" hidden="1" customWidth="1"/>
    <col min="80" max="86" width="10.5703125" hidden="1" customWidth="1"/>
    <col min="87" max="88" width="11.28515625" bestFit="1" customWidth="1"/>
    <col min="95" max="95" width="13.28515625" bestFit="1" customWidth="1"/>
    <col min="96" max="96" width="10.5703125" bestFit="1" customWidth="1"/>
  </cols>
  <sheetData>
    <row r="2" spans="2:88" ht="21">
      <c r="B2" s="31" t="s">
        <v>27</v>
      </c>
    </row>
    <row r="3" spans="2:88" ht="15.75">
      <c r="B3" s="63" t="s">
        <v>169</v>
      </c>
      <c r="BS3" s="63" t="s">
        <v>167</v>
      </c>
    </row>
    <row r="4" spans="2:88" ht="3" customHeight="1" thickBot="1"/>
    <row r="5" spans="2:8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88" ht="15.75" thickBot="1">
      <c r="B6" s="9" t="s">
        <v>204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57">
        <f>'Receita líquida'!BP6+'Receita líquida'!BP7</f>
        <v>585450</v>
      </c>
      <c r="BQ6" s="57">
        <f>'Receita líquida'!BQ6+'Receita líquida'!BQ7</f>
        <v>681925</v>
      </c>
      <c r="BR6" s="57">
        <f>'Receita líquida'!BR6+'Receita líquida'!BR7</f>
        <v>678605</v>
      </c>
      <c r="BS6" s="16"/>
      <c r="BT6" s="9">
        <f>SUM(C6:F6)</f>
        <v>1056910</v>
      </c>
      <c r="BU6" s="9">
        <f>SUM(G6:J6)</f>
        <v>550976</v>
      </c>
      <c r="BV6" s="9">
        <f>SUM(K6:N6)</f>
        <v>822133</v>
      </c>
      <c r="BW6" s="9">
        <f>SUM(O6:R6)</f>
        <v>785082</v>
      </c>
      <c r="BX6" s="9">
        <f>SUM(S6:V6)</f>
        <v>855891</v>
      </c>
      <c r="BY6" s="9">
        <f>SUM(W6:Z6)</f>
        <v>975953</v>
      </c>
      <c r="BZ6" s="9">
        <f>SUM(AA6:AD6)</f>
        <v>1018874</v>
      </c>
      <c r="CA6" s="9">
        <f>SUM(AE6:AH6)</f>
        <v>1145592</v>
      </c>
      <c r="CB6" s="12">
        <f>SUM(AI6:AL6)</f>
        <v>1292626</v>
      </c>
      <c r="CC6" s="12">
        <f>SUM(AM6:AP6)</f>
        <v>1323966</v>
      </c>
      <c r="CD6" s="12">
        <f>SUM(AQ6:AT6)</f>
        <v>1656118</v>
      </c>
      <c r="CE6" s="12">
        <f>SUM(AU6:AX6)</f>
        <v>1478914</v>
      </c>
      <c r="CF6" s="12">
        <f>SUM(AY6:BB6)</f>
        <v>1803658</v>
      </c>
      <c r="CG6" s="12">
        <f t="shared" ref="CG6:CG8" si="0">SUM(BC6:BF6)</f>
        <v>2724110</v>
      </c>
      <c r="CH6" s="12">
        <f>SUM(BG6:BJ6)</f>
        <v>3524381</v>
      </c>
      <c r="CI6" s="12">
        <f>SUM(BK6:BN6)</f>
        <v>2742475</v>
      </c>
      <c r="CJ6" s="12">
        <f>SUM(BO6:BR6)</f>
        <v>2516724</v>
      </c>
    </row>
    <row r="7" spans="2:88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21">
        <f>DRE!BP6</f>
        <v>522027</v>
      </c>
      <c r="BQ7" s="21">
        <f>DRE!BQ6</f>
        <v>597723</v>
      </c>
      <c r="BR7" s="21">
        <f>DRE!BR6</f>
        <v>607465</v>
      </c>
      <c r="BS7" s="16"/>
      <c r="BT7" s="2">
        <f>SUM(C7:F7)</f>
        <v>878914</v>
      </c>
      <c r="BU7" s="2">
        <f>SUM(G7:J7)</f>
        <v>450753</v>
      </c>
      <c r="BV7" s="2">
        <f>SUM(K7:N7)</f>
        <v>673058</v>
      </c>
      <c r="BW7" s="2">
        <f>SUM(O7:R7)</f>
        <v>642334</v>
      </c>
      <c r="BX7" s="2">
        <f>SUM(S7:V7)</f>
        <v>707402</v>
      </c>
      <c r="BY7" s="2">
        <f>SUM(W7:Z7)</f>
        <v>799772</v>
      </c>
      <c r="BZ7" s="2">
        <f>SUM(AA7:AD7)</f>
        <v>828247</v>
      </c>
      <c r="CA7" s="2">
        <f>SUM(AE7:AH7)</f>
        <v>936230</v>
      </c>
      <c r="CB7" s="2">
        <f>SUM(AI7:AL7)</f>
        <v>1096154</v>
      </c>
      <c r="CC7" s="2">
        <f>SUM(AM7:AP7)</f>
        <v>1108722</v>
      </c>
      <c r="CD7" s="2">
        <f>SUM(AQ7:AT7)</f>
        <v>1381056</v>
      </c>
      <c r="CE7" s="2">
        <f>SUM(AU7:AX7)</f>
        <v>1279550</v>
      </c>
      <c r="CF7" s="2">
        <f>SUM(AY7:BB7)</f>
        <v>1622019</v>
      </c>
      <c r="CG7" s="2">
        <f t="shared" si="0"/>
        <v>2389477</v>
      </c>
      <c r="CH7" s="2">
        <f>SUM(BG7:BJ7)</f>
        <v>3139016</v>
      </c>
      <c r="CI7" s="2">
        <f t="shared" ref="CI7:CI8" si="1">SUM(BK7:BN7)</f>
        <v>2435135</v>
      </c>
      <c r="CJ7" s="2">
        <f>SUM(BO7:BR7)</f>
        <v>2236704</v>
      </c>
    </row>
    <row r="8" spans="2:88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57">
        <f>DRE!BP9</f>
        <v>119263</v>
      </c>
      <c r="BQ8" s="57">
        <f>DRE!BQ9</f>
        <v>133860</v>
      </c>
      <c r="BR8" s="57">
        <f>DRE!BR9</f>
        <v>120653</v>
      </c>
      <c r="BS8" s="16"/>
      <c r="BT8" s="9">
        <f>SUM(C8:F8)</f>
        <v>454325</v>
      </c>
      <c r="BU8" s="9">
        <f>SUM(G8:J8)</f>
        <v>44704</v>
      </c>
      <c r="BV8" s="9">
        <f>SUM(K8:N8)</f>
        <v>193792</v>
      </c>
      <c r="BW8" s="9">
        <f>SUM(O8:R8)</f>
        <v>135250</v>
      </c>
      <c r="BX8" s="9">
        <f>SUM(S8:V8)</f>
        <v>154394</v>
      </c>
      <c r="BY8" s="9">
        <f>SUM(W8:Z8)</f>
        <v>162058</v>
      </c>
      <c r="BZ8" s="9">
        <f>SUM(AA8:AD8)</f>
        <v>183667</v>
      </c>
      <c r="CA8" s="9">
        <f>SUM(AE8:AH8)</f>
        <v>354581</v>
      </c>
      <c r="CB8" s="12">
        <f>SUM(AI8:AL8)</f>
        <v>173714</v>
      </c>
      <c r="CC8" s="12">
        <f>SUM(AM8:AP8)</f>
        <v>391794</v>
      </c>
      <c r="CD8" s="12">
        <f>SUM(AQ8:AT8)</f>
        <v>482721</v>
      </c>
      <c r="CE8" s="12">
        <f>SUM(AU8:AX8)</f>
        <v>258482</v>
      </c>
      <c r="CF8" s="12">
        <f>SUM(AY8:BB8)</f>
        <v>443897</v>
      </c>
      <c r="CG8" s="12">
        <f t="shared" si="0"/>
        <v>1033452</v>
      </c>
      <c r="CH8" s="12">
        <f>SUM(BG8:BJ8)</f>
        <v>1452929</v>
      </c>
      <c r="CI8" s="12">
        <f t="shared" si="1"/>
        <v>605657</v>
      </c>
      <c r="CJ8" s="12">
        <f>SUM(BO8:BR8)</f>
        <v>471204</v>
      </c>
    </row>
    <row r="9" spans="2:88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>
        <f t="shared" si="17"/>
        <v>0.20396572285318584</v>
      </c>
      <c r="BN9" s="85">
        <f>BN8/BN7</f>
        <v>0.196117124966772</v>
      </c>
      <c r="BO9" s="85">
        <f>BO8/BO7</f>
        <v>0.19122689596831335</v>
      </c>
      <c r="BP9" s="85">
        <f>BP8/BP7</f>
        <v>0.22846136310957096</v>
      </c>
      <c r="BQ9" s="85">
        <f>BQ8/BQ7</f>
        <v>0.22394988983191211</v>
      </c>
      <c r="BR9" s="85">
        <f>BR8/BR7</f>
        <v>0.19861720428337434</v>
      </c>
      <c r="BS9" s="4"/>
      <c r="BT9" s="4">
        <f t="shared" ref="BT9" si="18">BT8/BT7</f>
        <v>0.51691633083555388</v>
      </c>
      <c r="BU9" s="4">
        <f t="shared" ref="BU9" si="19">BU8/BU7</f>
        <v>9.9176267268326554E-2</v>
      </c>
      <c r="BV9" s="4">
        <f t="shared" ref="BV9" si="20">BV8/BV7</f>
        <v>0.28792763773701524</v>
      </c>
      <c r="BW9" s="4">
        <f t="shared" ref="BW9" si="21">BW8/BW7</f>
        <v>0.21056023813156396</v>
      </c>
      <c r="BX9" s="4">
        <f t="shared" ref="BX9" si="22">BX8/BX7</f>
        <v>0.21825496676571454</v>
      </c>
      <c r="BY9" s="4">
        <f t="shared" ref="BY9" si="23">BY8/BY7</f>
        <v>0.20263024962114204</v>
      </c>
      <c r="BZ9" s="4">
        <f t="shared" ref="BZ9:CB9" si="24">BZ8/BZ7</f>
        <v>0.22175389708625567</v>
      </c>
      <c r="CA9" s="4">
        <f t="shared" si="24"/>
        <v>0.37873279001954646</v>
      </c>
      <c r="CB9" s="4">
        <f t="shared" si="24"/>
        <v>0.15847590758232877</v>
      </c>
      <c r="CC9" s="4">
        <f t="shared" ref="CC9:CE9" si="25">CC8/CC7</f>
        <v>0.3533744256901189</v>
      </c>
      <c r="CD9" s="4">
        <f t="shared" si="25"/>
        <v>0.34953035937717225</v>
      </c>
      <c r="CE9" s="4">
        <f t="shared" si="25"/>
        <v>0.20201008166933687</v>
      </c>
      <c r="CF9" s="4">
        <f>CF8/CF7</f>
        <v>0.27366942064180505</v>
      </c>
      <c r="CG9" s="4">
        <f>CG8/CG7</f>
        <v>0.43250133815893604</v>
      </c>
      <c r="CH9" s="4">
        <f>CH8/CH7</f>
        <v>0.46286129156398054</v>
      </c>
      <c r="CI9" s="4">
        <f>CI8/CI7</f>
        <v>0.24871598494539318</v>
      </c>
      <c r="CJ9" s="4">
        <f>CJ8/CJ7</f>
        <v>0.21066891282887679</v>
      </c>
    </row>
    <row r="10" spans="2:88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ajustado'!AI24</f>
        <v>54903</v>
      </c>
      <c r="AJ10" s="9">
        <f>'Ebitda ajustado'!AJ24</f>
        <v>-13901</v>
      </c>
      <c r="AK10" s="9">
        <f>'Ebitda ajustado'!AK24</f>
        <v>-13693</v>
      </c>
      <c r="AL10" s="9">
        <f>'Ebitda ajustado'!AL24</f>
        <v>42688</v>
      </c>
      <c r="AM10" s="9">
        <f>'Ebitda ajustado'!AM24</f>
        <v>101724</v>
      </c>
      <c r="AN10" s="9">
        <f>'Ebitda ajustado'!AN24</f>
        <v>79530</v>
      </c>
      <c r="AO10" s="9">
        <f>'Ebitda ajustado'!AO24</f>
        <v>61935</v>
      </c>
      <c r="AP10" s="9">
        <f>'Ebitda ajustado'!AP24</f>
        <v>78092</v>
      </c>
      <c r="AQ10" s="9">
        <v>94401</v>
      </c>
      <c r="AR10" s="9">
        <v>126562</v>
      </c>
      <c r="AS10" s="9">
        <f>'Ebitda ajustado'!AS24</f>
        <v>152956</v>
      </c>
      <c r="AT10" s="9">
        <f>'Ebitda ajustado'!AT24</f>
        <v>54449</v>
      </c>
      <c r="AU10" s="9">
        <f>'Ebitda ajustado'!AU24</f>
        <v>89121</v>
      </c>
      <c r="AV10" s="9">
        <f>'Ebitda ajustado'!AV24</f>
        <v>74429</v>
      </c>
      <c r="AW10" s="9">
        <f>'Ebitda ajustado'!AW24</f>
        <v>43582</v>
      </c>
      <c r="AX10" s="9">
        <f>'Ebitda ajustado'!AX24</f>
        <v>34678</v>
      </c>
      <c r="AY10" s="9">
        <f>'Ebitda ajustado'!AY24</f>
        <v>67929</v>
      </c>
      <c r="AZ10" s="9">
        <f>'Ebitda ajustado'!AZ24</f>
        <v>132319</v>
      </c>
      <c r="BA10" s="9">
        <f>'Ebitda ajustado'!BA24</f>
        <v>107107</v>
      </c>
      <c r="BB10" s="9">
        <f>'Ebitda ajustado'!BB24</f>
        <v>99503</v>
      </c>
      <c r="BC10" s="9">
        <f>'Ebitda ajustado'!BC24</f>
        <v>151276</v>
      </c>
      <c r="BD10" s="9">
        <f>'Ebitda ajustado'!BD24</f>
        <v>203373</v>
      </c>
      <c r="BE10" s="9">
        <f>'Ebitda ajustado'!BE24</f>
        <v>267048</v>
      </c>
      <c r="BF10" s="9">
        <f>'Ebitda ajustado'!BF24</f>
        <v>314106</v>
      </c>
      <c r="BG10" s="9">
        <f>'Ebitda ajustado'!BG24</f>
        <v>325534</v>
      </c>
      <c r="BH10" s="9">
        <f>'Ebitda ajustado'!BH24</f>
        <v>447295</v>
      </c>
      <c r="BI10" s="57">
        <f>'Ebitda ajustado'!BI24</f>
        <v>322916</v>
      </c>
      <c r="BJ10" s="57">
        <f>'Ebitda ajustado'!BJ24</f>
        <v>189176</v>
      </c>
      <c r="BK10" s="9">
        <f>'Ebitda ajustado'!BK24</f>
        <v>187381</v>
      </c>
      <c r="BL10" s="9">
        <f>'Ebitda ajustado'!BL24</f>
        <v>144277</v>
      </c>
      <c r="BM10" s="57">
        <f>'Ebitda ajustado'!BM24</f>
        <v>75853</v>
      </c>
      <c r="BN10" s="57">
        <f>'Ebitda ajustado'!BN24</f>
        <v>46753</v>
      </c>
      <c r="BO10" s="57">
        <f>'Ebitda ajustado'!BO24</f>
        <v>78481</v>
      </c>
      <c r="BP10" s="57">
        <f>'Ebitda ajustado'!BP24</f>
        <v>99506</v>
      </c>
      <c r="BQ10" s="57">
        <f>'Ebitda ajustado'!BQ24</f>
        <v>126930</v>
      </c>
      <c r="BR10" s="57">
        <f>'Ebitda ajustado'!BR24</f>
        <v>47067</v>
      </c>
      <c r="BS10" s="4"/>
      <c r="BT10" s="9">
        <f>SUM(C10:F10)</f>
        <v>394623</v>
      </c>
      <c r="BU10" s="9">
        <f>SUM(G10:J10)</f>
        <v>17565</v>
      </c>
      <c r="BV10" s="9">
        <f>SUM(K10:N10)</f>
        <v>144563</v>
      </c>
      <c r="BW10" s="9">
        <f>SUM(O10:R10)</f>
        <v>96154</v>
      </c>
      <c r="BX10" s="9">
        <f>SUM(S10:V10)</f>
        <v>112232</v>
      </c>
      <c r="BY10" s="9">
        <f>SUM(W10:Z10)</f>
        <v>113481</v>
      </c>
      <c r="BZ10" s="9">
        <f>SUM(AA10:AD10)</f>
        <v>136254</v>
      </c>
      <c r="CA10" s="9">
        <f>SUM(AE10:AH10)</f>
        <v>250366</v>
      </c>
      <c r="CB10" s="12">
        <f>SUM(AI10:AL10)</f>
        <v>69997</v>
      </c>
      <c r="CC10" s="12">
        <f>SUM(AM10:AP10)</f>
        <v>321281</v>
      </c>
      <c r="CD10" s="12">
        <f>SUM(AQ10:AT10)</f>
        <v>428368</v>
      </c>
      <c r="CE10" s="12">
        <f>SUM(AU10:AX10)</f>
        <v>241810</v>
      </c>
      <c r="CF10" s="12">
        <f>SUM(AY10:BB10)</f>
        <v>406858</v>
      </c>
      <c r="CG10" s="12">
        <f>SUM(BC10:BF10)</f>
        <v>935803</v>
      </c>
      <c r="CH10" s="12">
        <f>SUM(BG10:BJ10)</f>
        <v>1284921</v>
      </c>
      <c r="CI10" s="12">
        <f>SUM(BK10:BN10)</f>
        <v>454264</v>
      </c>
      <c r="CJ10" s="12">
        <f>SUM(BO10:BR10)</f>
        <v>351984</v>
      </c>
    </row>
    <row r="11" spans="2:88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0.15403865441648396</v>
      </c>
      <c r="BP11" s="85">
        <f t="shared" ref="BP11:BR11" si="42">BP10/BP7</f>
        <v>0.1906146616937438</v>
      </c>
      <c r="BQ11" s="85">
        <f t="shared" si="42"/>
        <v>0.21235589060484539</v>
      </c>
      <c r="BR11" s="85">
        <f t="shared" si="42"/>
        <v>7.7481007136213614E-2</v>
      </c>
      <c r="BS11" s="4"/>
      <c r="BT11" s="4">
        <f t="shared" ref="BT11" si="43">BT10/BT7</f>
        <v>0.4489893209119436</v>
      </c>
      <c r="BU11" s="4">
        <f t="shared" ref="BU11" si="44">BU10/BU7</f>
        <v>3.8968126668042141E-2</v>
      </c>
      <c r="BV11" s="4">
        <f t="shared" ref="BV11" si="45">BV10/BV7</f>
        <v>0.21478535282249078</v>
      </c>
      <c r="BW11" s="4">
        <f t="shared" ref="BW11" si="46">BW10/BW7</f>
        <v>0.14969470711499003</v>
      </c>
      <c r="BX11" s="4">
        <f t="shared" ref="BX11" si="47">BX10/BX7</f>
        <v>0.15865377819118409</v>
      </c>
      <c r="BY11" s="4">
        <f t="shared" ref="BY11" si="48">BY10/BY7</f>
        <v>0.14189168913140246</v>
      </c>
      <c r="BZ11" s="4">
        <f t="shared" ref="BZ11:CB11" si="49">BZ10/BZ7</f>
        <v>0.16450889650068157</v>
      </c>
      <c r="CA11" s="4">
        <f t="shared" si="49"/>
        <v>0.26741933072001539</v>
      </c>
      <c r="CB11" s="4">
        <f t="shared" si="49"/>
        <v>6.3856903318329356E-2</v>
      </c>
      <c r="CC11" s="4">
        <f t="shared" ref="CC11" si="50">CC10/CC7</f>
        <v>0.28977597630424939</v>
      </c>
      <c r="CD11" s="4">
        <f t="shared" ref="CD11:CI11" si="51">CD10/CD7</f>
        <v>0.31017424347745493</v>
      </c>
      <c r="CE11" s="4">
        <f t="shared" si="51"/>
        <v>0.18898050095736782</v>
      </c>
      <c r="CF11" s="4">
        <f t="shared" si="51"/>
        <v>0.25083429972151988</v>
      </c>
      <c r="CG11" s="4">
        <f t="shared" si="51"/>
        <v>0.39163507328172648</v>
      </c>
      <c r="CH11" s="4">
        <f t="shared" si="51"/>
        <v>0.40933878642224186</v>
      </c>
      <c r="CI11" s="4">
        <f t="shared" si="51"/>
        <v>0.18654571512462348</v>
      </c>
      <c r="CJ11" s="4">
        <f t="shared" ref="CJ11" si="52">CJ10/CJ7</f>
        <v>0.15736726898150136</v>
      </c>
    </row>
    <row r="12" spans="2:88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57">
        <f>DRE!BP21</f>
        <v>56731</v>
      </c>
      <c r="BQ12" s="57">
        <f>DRE!BQ21</f>
        <v>103551</v>
      </c>
      <c r="BR12" s="57">
        <f>DRE!BR21</f>
        <v>126267</v>
      </c>
      <c r="BS12" s="16"/>
      <c r="BT12" s="9">
        <f>SUM(C12:F12)</f>
        <v>337860</v>
      </c>
      <c r="BU12" s="9">
        <f>SUM(G12:J12)</f>
        <v>28632</v>
      </c>
      <c r="BV12" s="9">
        <f>SUM(K12:N12)</f>
        <v>133970</v>
      </c>
      <c r="BW12" s="9">
        <f>SUM(O12:R12)</f>
        <v>90880</v>
      </c>
      <c r="BX12" s="9">
        <f>SUM(S12:V12)</f>
        <v>85544</v>
      </c>
      <c r="BY12" s="9">
        <f>SUM(W12:Z12)</f>
        <v>73727</v>
      </c>
      <c r="BZ12" s="9">
        <f>SUM(AA12:AD12)</f>
        <v>91695</v>
      </c>
      <c r="CA12" s="9">
        <f>SUM(AE12:AH12)</f>
        <v>173700</v>
      </c>
      <c r="CB12" s="12">
        <f>SUM(AI12:AL12)</f>
        <v>70182</v>
      </c>
      <c r="CC12" s="12">
        <f>SUM(AM12:AP12)</f>
        <v>270262</v>
      </c>
      <c r="CD12" s="12">
        <f>SUM(AQ12:AT12)</f>
        <v>309188</v>
      </c>
      <c r="CE12" s="12">
        <f>SUM(AU12:AX12)</f>
        <v>221533</v>
      </c>
      <c r="CF12" s="12">
        <f>SUM(AY12:BB12)</f>
        <v>70014</v>
      </c>
      <c r="CG12" s="12">
        <f>SUM(BC12:BF12)</f>
        <v>642907</v>
      </c>
      <c r="CH12" s="12">
        <f>SUM(BG12:BJ12)</f>
        <v>1062474</v>
      </c>
      <c r="CI12" s="12">
        <f>SUM(BK12:BN12)</f>
        <v>382885</v>
      </c>
      <c r="CJ12" s="12">
        <f>SUM(BO12:BR12)</f>
        <v>327754</v>
      </c>
    </row>
    <row r="13" spans="2:88" ht="15.75" thickBot="1">
      <c r="B13" t="s">
        <v>52</v>
      </c>
      <c r="C13" s="4">
        <f t="shared" ref="C13:AC13" si="53">C12/C7</f>
        <v>0.23985504267078592</v>
      </c>
      <c r="D13" s="4">
        <f t="shared" si="53"/>
        <v>0.41695229750277041</v>
      </c>
      <c r="E13" s="4">
        <f t="shared" si="53"/>
        <v>0.47577220963998834</v>
      </c>
      <c r="F13" s="4">
        <f t="shared" si="53"/>
        <v>0.34635719374554724</v>
      </c>
      <c r="G13" s="4">
        <f t="shared" si="53"/>
        <v>0.25624883199401982</v>
      </c>
      <c r="H13" s="4">
        <f t="shared" si="53"/>
        <v>5.8948058918241994E-2</v>
      </c>
      <c r="I13" s="4">
        <f t="shared" si="53"/>
        <v>-2.3588310785519491E-2</v>
      </c>
      <c r="J13" s="4">
        <f t="shared" si="53"/>
        <v>3.7340643084018625E-2</v>
      </c>
      <c r="K13" s="4">
        <f t="shared" si="53"/>
        <v>0.12917248003589682</v>
      </c>
      <c r="L13" s="4">
        <f t="shared" si="53"/>
        <v>0.2544056018248369</v>
      </c>
      <c r="M13" s="4">
        <f t="shared" si="53"/>
        <v>0.21706238161456276</v>
      </c>
      <c r="N13" s="4">
        <f t="shared" si="53"/>
        <v>0.17740623317580906</v>
      </c>
      <c r="O13" s="4">
        <f t="shared" si="53"/>
        <v>0.18459848233220061</v>
      </c>
      <c r="P13" s="4">
        <f t="shared" si="53"/>
        <v>0.14881650005745145</v>
      </c>
      <c r="Q13" s="4">
        <f t="shared" si="53"/>
        <v>7.6495517175288033E-2</v>
      </c>
      <c r="R13" s="4">
        <f t="shared" si="53"/>
        <v>0.13724299207337443</v>
      </c>
      <c r="S13" s="4">
        <f t="shared" si="53"/>
        <v>0.11222867792150844</v>
      </c>
      <c r="T13" s="4">
        <f t="shared" si="53"/>
        <v>0.11121562610025382</v>
      </c>
      <c r="U13" s="4">
        <f t="shared" si="53"/>
        <v>0.18046254290583519</v>
      </c>
      <c r="V13" s="4">
        <f t="shared" si="53"/>
        <v>8.2323042952964207E-2</v>
      </c>
      <c r="W13" s="4">
        <f t="shared" si="53"/>
        <v>4.6614573516503048E-2</v>
      </c>
      <c r="X13" s="4">
        <f t="shared" si="53"/>
        <v>0.10527124888134887</v>
      </c>
      <c r="Y13" s="4">
        <f t="shared" si="53"/>
        <v>9.9146304514427269E-2</v>
      </c>
      <c r="Z13" s="4">
        <f t="shared" si="53"/>
        <v>0.11394961060991596</v>
      </c>
      <c r="AA13" s="4">
        <f t="shared" si="53"/>
        <v>0.12277500445324957</v>
      </c>
      <c r="AB13" s="4">
        <f t="shared" si="53"/>
        <v>0.13021959344618941</v>
      </c>
      <c r="AC13" s="4">
        <f t="shared" si="53"/>
        <v>0.1024603237897759</v>
      </c>
      <c r="AD13" s="4">
        <f t="shared" ref="AD13:AF13" si="54">AD12/AD7</f>
        <v>8.0019681142863605E-2</v>
      </c>
      <c r="AE13" s="4">
        <f t="shared" si="54"/>
        <v>0.15978442350411698</v>
      </c>
      <c r="AF13" s="4">
        <f t="shared" si="54"/>
        <v>0.31649072992147653</v>
      </c>
      <c r="AG13" s="4">
        <f t="shared" ref="AG13:AI13" si="55">AG12/AG7</f>
        <v>0.18553482891255529</v>
      </c>
      <c r="AH13" s="4">
        <f t="shared" si="55"/>
        <v>7.5985061809757753E-2</v>
      </c>
      <c r="AI13" s="4">
        <f t="shared" si="55"/>
        <v>4.125282222520784E-2</v>
      </c>
      <c r="AJ13" s="4">
        <f t="shared" ref="AJ13:AK13" si="56">AJ12/AJ7</f>
        <v>-7.9803339628863504E-2</v>
      </c>
      <c r="AK13" s="4">
        <f t="shared" si="56"/>
        <v>2.7174904249498449E-2</v>
      </c>
      <c r="AL13" s="4">
        <f t="shared" ref="AL13:AO13" si="57">AL12/AL7</f>
        <v>0.25570296840698675</v>
      </c>
      <c r="AM13" s="4">
        <f t="shared" si="57"/>
        <v>0.2645306129186682</v>
      </c>
      <c r="AN13" s="4">
        <f t="shared" si="57"/>
        <v>0.23567163737936539</v>
      </c>
      <c r="AO13" s="4">
        <f t="shared" si="57"/>
        <v>0.23294708395587857</v>
      </c>
      <c r="AP13" s="4">
        <f t="shared" ref="AP13:AR13" si="58">AP12/AP7</f>
        <v>0.2394572493004993</v>
      </c>
      <c r="AQ13" s="4">
        <f t="shared" si="58"/>
        <v>0.18218651362984217</v>
      </c>
      <c r="AR13" s="4">
        <f t="shared" si="58"/>
        <v>0.21931357442302893</v>
      </c>
      <c r="AS13" s="4">
        <f t="shared" ref="AS13:AT13" si="59">AS12/AS7</f>
        <v>0.37973917069919144</v>
      </c>
      <c r="AT13" s="4">
        <f t="shared" si="59"/>
        <v>6.8752341057247229E-2</v>
      </c>
      <c r="AU13" s="4">
        <f t="shared" ref="AU13:AV13" si="60">AU12/AU7</f>
        <v>0.13205707879729686</v>
      </c>
      <c r="AV13" s="4">
        <f t="shared" si="60"/>
        <v>9.7304825601861059E-2</v>
      </c>
      <c r="AW13" s="85">
        <f t="shared" ref="AW13:AX13" si="61">AW12/AW7</f>
        <v>0.45586470026685655</v>
      </c>
      <c r="AX13" s="85">
        <f t="shared" si="61"/>
        <v>-3.5092003139443619E-3</v>
      </c>
      <c r="AY13" s="85">
        <f t="shared" ref="AY13:AZ13" si="62">AY12/AY7</f>
        <v>-1.6349781328896362E-3</v>
      </c>
      <c r="AZ13" s="85">
        <f t="shared" si="62"/>
        <v>5.046792932193022E-2</v>
      </c>
      <c r="BA13" s="85">
        <f t="shared" ref="BA13:BB13" si="63">BA12/BA7</f>
        <v>2.9987567902868727E-2</v>
      </c>
      <c r="BB13" s="85">
        <f t="shared" si="63"/>
        <v>8.0825304983864255E-2</v>
      </c>
      <c r="BC13" s="85">
        <f t="shared" ref="BC13:BE13" si="64">BC12/BC7</f>
        <v>0.11411610518746472</v>
      </c>
      <c r="BD13" s="85">
        <f t="shared" ref="BD13" si="65">BD12/BD7</f>
        <v>0.22367251700094351</v>
      </c>
      <c r="BE13" s="85">
        <f t="shared" si="64"/>
        <v>0.34312192450063167</v>
      </c>
      <c r="BF13" s="85">
        <f t="shared" ref="BF13:BG13" si="66">BF12/BF7</f>
        <v>0.34681099655349845</v>
      </c>
      <c r="BG13" s="85">
        <f t="shared" si="66"/>
        <v>0.34194388793853647</v>
      </c>
      <c r="BH13" s="85">
        <f t="shared" ref="BH13:BI13" si="67">BH12/BH7</f>
        <v>0.4151041065018341</v>
      </c>
      <c r="BI13" s="85">
        <f t="shared" si="67"/>
        <v>0.36037733642278935</v>
      </c>
      <c r="BJ13" s="85">
        <f t="shared" ref="BJ13:BM13" si="68">BJ12/BJ7</f>
        <v>0.21282595941251342</v>
      </c>
      <c r="BK13" s="85">
        <f t="shared" si="68"/>
        <v>0.18364708936951926</v>
      </c>
      <c r="BL13" s="85">
        <f t="shared" si="68"/>
        <v>0.19448898627756625</v>
      </c>
      <c r="BM13" s="85">
        <f t="shared" si="68"/>
        <v>0.13527710869616516</v>
      </c>
      <c r="BN13" s="85">
        <f t="shared" ref="BN13:BO13" si="69">BN12/BN7</f>
        <v>0.10157242224650737</v>
      </c>
      <c r="BO13" s="85">
        <f t="shared" si="69"/>
        <v>8.0875151377164181E-2</v>
      </c>
      <c r="BP13" s="85">
        <f t="shared" ref="BP13:BR13" si="70">BP12/BP7</f>
        <v>0.10867445553582478</v>
      </c>
      <c r="BQ13" s="85">
        <f t="shared" si="70"/>
        <v>0.17324245511716965</v>
      </c>
      <c r="BR13" s="85">
        <f t="shared" si="70"/>
        <v>0.20785888898948909</v>
      </c>
      <c r="BS13" s="84"/>
      <c r="BT13" s="4">
        <f t="shared" ref="BT13:BZ13" si="71">BT12/BT7</f>
        <v>0.38440621039146039</v>
      </c>
      <c r="BU13" s="4">
        <f t="shared" si="71"/>
        <v>6.3520375904320109E-2</v>
      </c>
      <c r="BV13" s="4">
        <f t="shared" si="71"/>
        <v>0.19904673891403118</v>
      </c>
      <c r="BW13" s="4">
        <f t="shared" si="71"/>
        <v>0.14148402544470634</v>
      </c>
      <c r="BX13" s="4">
        <f t="shared" si="71"/>
        <v>0.12092699766186694</v>
      </c>
      <c r="BY13" s="4">
        <f t="shared" si="71"/>
        <v>9.2185022731478466E-2</v>
      </c>
      <c r="BZ13" s="4">
        <f t="shared" si="71"/>
        <v>0.11070972789518102</v>
      </c>
      <c r="CA13" s="4">
        <f t="shared" ref="CA13:CB13" si="72">CA12/CA7</f>
        <v>0.18553133311258985</v>
      </c>
      <c r="CB13" s="4">
        <f t="shared" si="72"/>
        <v>6.402567522446663E-2</v>
      </c>
      <c r="CC13" s="4">
        <f t="shared" ref="CC13" si="73">CC12/CC7</f>
        <v>0.24375993260709178</v>
      </c>
      <c r="CD13" s="4">
        <f t="shared" ref="CD13:CI13" si="74">CD12/CD7</f>
        <v>0.22387796005375596</v>
      </c>
      <c r="CE13" s="4">
        <f t="shared" si="74"/>
        <v>0.17313352350435701</v>
      </c>
      <c r="CF13" s="4">
        <f t="shared" si="74"/>
        <v>4.3164722484755114E-2</v>
      </c>
      <c r="CG13" s="4">
        <f t="shared" si="74"/>
        <v>0.26905762223281499</v>
      </c>
      <c r="CH13" s="4">
        <f t="shared" si="74"/>
        <v>0.33847358535286215</v>
      </c>
      <c r="CI13" s="4">
        <f t="shared" si="74"/>
        <v>0.15723358253238526</v>
      </c>
      <c r="CJ13" s="4">
        <f t="shared" ref="CJ13" si="75">CJ12/CJ7</f>
        <v>0.1465343648511381</v>
      </c>
    </row>
    <row r="14" spans="2:88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9">
        <f>113960-BO14</f>
        <v>71922</v>
      </c>
      <c r="BQ14" s="9">
        <f>221450-BP14-BO14</f>
        <v>107490</v>
      </c>
      <c r="BR14" s="9">
        <f>288672-BO14-BP14-BQ14</f>
        <v>67222</v>
      </c>
      <c r="BS14" s="16"/>
      <c r="BT14" s="9">
        <f>SUM(C14:F14)</f>
        <v>93273</v>
      </c>
      <c r="BU14" s="9">
        <f>SUM(G14:J14)</f>
        <v>60598</v>
      </c>
      <c r="BV14" s="9">
        <f>SUM(K14:N14)</f>
        <v>66839</v>
      </c>
      <c r="BW14" s="9">
        <f>SUM(O14:R14)</f>
        <v>127313</v>
      </c>
      <c r="BX14" s="9">
        <f>SUM(S14:V14)</f>
        <v>124286</v>
      </c>
      <c r="BY14" s="9">
        <f>SUM(W14:Z14)</f>
        <v>100635</v>
      </c>
      <c r="BZ14" s="9">
        <f>SUM(AA14:AD14)</f>
        <v>105148</v>
      </c>
      <c r="CA14" s="9">
        <f>SUM(AE14:AH14)</f>
        <v>111092</v>
      </c>
      <c r="CB14" s="12">
        <f>SUM(AI14:AL14)</f>
        <v>101867</v>
      </c>
      <c r="CC14" s="12">
        <f>SUM(AM14:AP14)</f>
        <v>99385</v>
      </c>
      <c r="CD14" s="12">
        <f>SUM(AQ14:AT14)</f>
        <v>91278</v>
      </c>
      <c r="CE14" s="12">
        <f>SUM(AU14:AX14)</f>
        <v>116257</v>
      </c>
      <c r="CF14" s="12">
        <f>SUM(AY14:BB14)</f>
        <v>52970</v>
      </c>
      <c r="CG14" s="12">
        <f>SUM(BC14:BF14)</f>
        <v>127123</v>
      </c>
      <c r="CH14" s="12">
        <f>SUM(BG14:BJ14)</f>
        <v>260250</v>
      </c>
      <c r="CI14" s="12">
        <f>SUM(BK14:BN14)</f>
        <v>328839</v>
      </c>
      <c r="CJ14" s="12">
        <f>SUM(BO14:BR14)</f>
        <v>288672</v>
      </c>
    </row>
    <row r="15" spans="2:88">
      <c r="B15" t="s">
        <v>53</v>
      </c>
      <c r="C15" s="4">
        <f t="shared" ref="C15:AC15" si="76">C14/C7</f>
        <v>8.2040679678368589E-2</v>
      </c>
      <c r="D15" s="4">
        <f t="shared" si="76"/>
        <v>9.8832564492436145E-2</v>
      </c>
      <c r="E15" s="4">
        <f t="shared" si="76"/>
        <v>8.3701813039987541E-2</v>
      </c>
      <c r="F15" s="4">
        <f t="shared" si="76"/>
        <v>0.16876201903761992</v>
      </c>
      <c r="G15" s="4">
        <f t="shared" si="76"/>
        <v>0.17371752943375071</v>
      </c>
      <c r="H15" s="4">
        <f t="shared" si="76"/>
        <v>0.15385532828433418</v>
      </c>
      <c r="I15" s="4">
        <f t="shared" si="76"/>
        <v>0.10138495267632747</v>
      </c>
      <c r="J15" s="4">
        <f t="shared" si="76"/>
        <v>0.13120132271679066</v>
      </c>
      <c r="K15" s="4">
        <f t="shared" si="76"/>
        <v>0.10407274715875231</v>
      </c>
      <c r="L15" s="4">
        <f t="shared" si="76"/>
        <v>6.7168850458861604E-2</v>
      </c>
      <c r="M15" s="4">
        <f t="shared" si="76"/>
        <v>0.10918642380126697</v>
      </c>
      <c r="N15" s="4">
        <f t="shared" si="76"/>
        <v>0.12115212059580069</v>
      </c>
      <c r="O15" s="4">
        <f t="shared" si="76"/>
        <v>0.12295664171286952</v>
      </c>
      <c r="P15" s="4">
        <f t="shared" si="76"/>
        <v>0.16315638285648626</v>
      </c>
      <c r="Q15" s="4">
        <f t="shared" si="76"/>
        <v>0.26406428576499069</v>
      </c>
      <c r="R15" s="4">
        <f t="shared" si="76"/>
        <v>0.28588240653566982</v>
      </c>
      <c r="S15" s="4">
        <f t="shared" si="76"/>
        <v>0.18305196228897172</v>
      </c>
      <c r="T15" s="4">
        <f t="shared" si="76"/>
        <v>0.15745912967624293</v>
      </c>
      <c r="U15" s="4">
        <f t="shared" si="76"/>
        <v>0.2137370682412808</v>
      </c>
      <c r="V15" s="4">
        <f t="shared" si="76"/>
        <v>0.15062402913921474</v>
      </c>
      <c r="W15" s="4">
        <f t="shared" si="76"/>
        <v>0.17686180954586334</v>
      </c>
      <c r="X15" s="4">
        <f t="shared" si="76"/>
        <v>0.13355184776461934</v>
      </c>
      <c r="Y15" s="4">
        <f t="shared" si="76"/>
        <v>8.8715714056568459E-2</v>
      </c>
      <c r="Z15" s="4">
        <f t="shared" si="76"/>
        <v>0.1135255223995682</v>
      </c>
      <c r="AA15" s="4">
        <f t="shared" si="76"/>
        <v>0.10510103445729008</v>
      </c>
      <c r="AB15" s="4">
        <f t="shared" si="76"/>
        <v>9.3326081537380742E-2</v>
      </c>
      <c r="AC15" s="4">
        <f t="shared" si="76"/>
        <v>0.11412891777653721</v>
      </c>
      <c r="AD15" s="4">
        <f t="shared" ref="AD15:AF15" si="77">AD14/AD7</f>
        <v>0.21190596033231723</v>
      </c>
      <c r="AE15" s="4">
        <f t="shared" si="77"/>
        <v>8.4285082315782467E-2</v>
      </c>
      <c r="AF15" s="4">
        <f t="shared" si="77"/>
        <v>5.9540663521473323E-2</v>
      </c>
      <c r="AG15" s="4">
        <f t="shared" ref="AG15:AI15" si="78">AG14/AG7</f>
        <v>0.10744602796985125</v>
      </c>
      <c r="AH15" s="4">
        <f t="shared" si="78"/>
        <v>0.21680346693827013</v>
      </c>
      <c r="AI15" s="4">
        <f t="shared" si="78"/>
        <v>8.7149003660290922E-2</v>
      </c>
      <c r="AJ15" s="4">
        <f t="shared" ref="AJ15:AK15" si="79">AJ14/AJ7</f>
        <v>0.10717765386575531</v>
      </c>
      <c r="AK15" s="4">
        <f t="shared" si="79"/>
        <v>0.11330476016779135</v>
      </c>
      <c r="AL15" s="4">
        <f t="shared" ref="AL15:AO15" si="80">AL14/AL7</f>
        <v>6.83543140353296E-2</v>
      </c>
      <c r="AM15" s="4">
        <f t="shared" si="80"/>
        <v>5.5689265256937223E-2</v>
      </c>
      <c r="AN15" s="4">
        <f t="shared" si="80"/>
        <v>7.8687761405790466E-2</v>
      </c>
      <c r="AO15" s="4">
        <f t="shared" si="80"/>
        <v>7.7009901634836966E-2</v>
      </c>
      <c r="AP15" s="4">
        <f t="shared" ref="AP15" si="8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2">AU14/AU7</f>
        <v>5.4965723476909582E-2</v>
      </c>
      <c r="AV15" s="4">
        <f t="shared" si="82"/>
        <v>0.10131774284883455</v>
      </c>
      <c r="AW15" s="85">
        <f t="shared" ref="AW15:AX15" si="83">AW14/AW7</f>
        <v>9.7111207029637769E-2</v>
      </c>
      <c r="AX15" s="85">
        <f t="shared" si="83"/>
        <v>0.11568152088602075</v>
      </c>
      <c r="AY15" s="85">
        <f t="shared" ref="AY15:AZ15" si="84">AY14/AY7</f>
        <v>3.5131809279511934E-2</v>
      </c>
      <c r="AZ15" s="85">
        <f t="shared" si="84"/>
        <v>2.4546074573379241E-2</v>
      </c>
      <c r="BA15" s="85">
        <f t="shared" ref="BA15:BB15" si="85">BA14/BA7</f>
        <v>3.9266220772243461E-2</v>
      </c>
      <c r="BB15" s="85">
        <f t="shared" si="85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6">BE14/BE7</f>
        <v>5.3226200677898218E-2</v>
      </c>
      <c r="BF15" s="85">
        <f t="shared" si="86"/>
        <v>7.9115608063435566E-2</v>
      </c>
      <c r="BG15" s="85">
        <f t="shared" ref="BG15" si="87">BG14/BG7</f>
        <v>4.5117643391014157E-2</v>
      </c>
      <c r="BH15" s="85">
        <f t="shared" ref="BH15" si="88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9">BK14/BK7</f>
        <v>7.9634380923930798E-2</v>
      </c>
      <c r="BL15" s="85">
        <f t="shared" si="89"/>
        <v>0.10946004650806225</v>
      </c>
      <c r="BM15" s="4">
        <f t="shared" ref="BM15:BR15" si="90">BM14/BM7</f>
        <v>0.1663541596708058</v>
      </c>
      <c r="BN15" s="4">
        <f t="shared" si="90"/>
        <v>0.20602644947868978</v>
      </c>
      <c r="BO15" s="4">
        <f t="shared" si="90"/>
        <v>8.2510122887834672E-2</v>
      </c>
      <c r="BP15" s="4">
        <f t="shared" si="90"/>
        <v>0.1377744829290439</v>
      </c>
      <c r="BQ15" s="4">
        <f t="shared" si="90"/>
        <v>0.17983246420164525</v>
      </c>
      <c r="BR15" s="4">
        <f t="shared" si="90"/>
        <v>0.11065987340834452</v>
      </c>
      <c r="BT15" s="4">
        <f t="shared" ref="BT15:BZ15" si="91">BT14/BT7</f>
        <v>0.10612301089753946</v>
      </c>
      <c r="BU15" s="4">
        <f t="shared" si="91"/>
        <v>0.13443726386735086</v>
      </c>
      <c r="BV15" s="4">
        <f t="shared" si="91"/>
        <v>9.9306449072739639E-2</v>
      </c>
      <c r="BW15" s="4">
        <f t="shared" si="91"/>
        <v>0.19820373824209836</v>
      </c>
      <c r="BX15" s="4">
        <f t="shared" si="91"/>
        <v>0.17569359430705597</v>
      </c>
      <c r="BY15" s="4">
        <f t="shared" si="91"/>
        <v>0.12582961143926019</v>
      </c>
      <c r="BZ15" s="4">
        <f t="shared" si="91"/>
        <v>0.12695246707805763</v>
      </c>
      <c r="CA15" s="4">
        <f t="shared" ref="CA15:CB15" si="92">CA14/CA7</f>
        <v>0.11865887655811072</v>
      </c>
      <c r="CB15" s="4">
        <f t="shared" si="92"/>
        <v>9.293128520262664E-2</v>
      </c>
      <c r="CC15" s="4">
        <f t="shared" ref="CC15:CF15" si="93">CC14/CC7</f>
        <v>8.9639242298790861E-2</v>
      </c>
      <c r="CD15" s="4">
        <f t="shared" si="93"/>
        <v>6.6092902822188243E-2</v>
      </c>
      <c r="CE15" s="4">
        <f t="shared" si="93"/>
        <v>9.0857723418389283E-2</v>
      </c>
      <c r="CF15" s="4">
        <f t="shared" si="93"/>
        <v>3.2656830776951438E-2</v>
      </c>
      <c r="CG15" s="4">
        <f>CG14/CG7</f>
        <v>5.3201181681179606E-2</v>
      </c>
      <c r="CH15" s="4">
        <f>CH14/CH7</f>
        <v>8.2908147011674996E-2</v>
      </c>
      <c r="CI15" s="4">
        <f>CI14/CI7</f>
        <v>0.13503933046833133</v>
      </c>
      <c r="CJ15" s="4">
        <f>CJ14/CJ7</f>
        <v>0.12906133310442508</v>
      </c>
    </row>
    <row r="17" spans="39:70">
      <c r="BC17" s="18"/>
    </row>
    <row r="18" spans="39:70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70">
      <c r="AM19" s="16"/>
      <c r="AQ19" s="15"/>
      <c r="AR19" s="16"/>
    </row>
    <row r="20" spans="39:70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</row>
    <row r="21" spans="39:70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36" spans="59:96">
      <c r="CR36" s="54"/>
    </row>
    <row r="43" spans="59:96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0" max="1048575" man="1"/>
  </colBreaks>
  <ignoredErrors>
    <ignoredError sqref="BT8:CC8 BT14:CC14 BT7:CC7 BT6:CC6" formulaRange="1"/>
    <ignoredError sqref="BT9:CC9 BT11:CC11 BT10:CC10 BT13:CC13 BT12:CC12 CD9" formula="1" formulaRange="1"/>
    <ignoredError sqref="CE11:CF11 CD11:CD15 CE9 CE10 CE13:CF13 CE12 CE15:CF15 CE14 CI9:CJ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L34"/>
  <sheetViews>
    <sheetView showGridLines="0" showRowColHeaders="0" zoomScale="80" zoomScaleNormal="80" zoomScaleSheetLayoutView="100" workbookViewId="0">
      <pane xSplit="2" ySplit="5" topLeftCell="BN6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70" width="12.28515625" customWidth="1"/>
    <col min="71" max="71" width="11.28515625" customWidth="1"/>
    <col min="72" max="72" width="11.28515625" hidden="1" customWidth="1"/>
    <col min="73" max="76" width="12.28515625" hidden="1" customWidth="1"/>
    <col min="77" max="77" width="11.7109375" hidden="1" customWidth="1"/>
    <col min="78" max="85" width="9.140625" hidden="1" customWidth="1"/>
    <col min="86" max="86" width="10.5703125" hidden="1" customWidth="1"/>
    <col min="87" max="88" width="10.5703125" bestFit="1" customWidth="1"/>
    <col min="89" max="89" width="10.28515625" bestFit="1" customWidth="1"/>
    <col min="90" max="90" width="9.5703125" bestFit="1" customWidth="1"/>
  </cols>
  <sheetData>
    <row r="2" spans="2:90" ht="21">
      <c r="B2" s="31" t="s">
        <v>168</v>
      </c>
    </row>
    <row r="3" spans="2:90" ht="15.75">
      <c r="B3" s="63" t="s">
        <v>169</v>
      </c>
      <c r="BS3" s="63" t="s">
        <v>167</v>
      </c>
    </row>
    <row r="4" spans="2:90" ht="6" customHeight="1" thickBot="1"/>
    <row r="5" spans="2:90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90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DRE!BO21</f>
        <v>41205</v>
      </c>
      <c r="BP6" s="80">
        <f>DRE!BP21</f>
        <v>56731</v>
      </c>
      <c r="BQ6" s="80">
        <f>DRE!BQ21</f>
        <v>103551</v>
      </c>
      <c r="BR6" s="80">
        <f>DRE!BR21</f>
        <v>126267</v>
      </c>
      <c r="BS6" s="21"/>
      <c r="BT6" s="21">
        <f t="shared" ref="BT6:BT23" si="0">SUM(C6:F6)</f>
        <v>337860</v>
      </c>
      <c r="BU6" s="21">
        <f t="shared" ref="BU6:BU23" si="1">SUM(G6:J6)</f>
        <v>28632</v>
      </c>
      <c r="BV6" s="21">
        <f t="shared" ref="BV6:BV23" si="2">SUM(K6:N6)</f>
        <v>133970</v>
      </c>
      <c r="BW6" s="21">
        <f t="shared" ref="BW6:BW23" si="3">SUM(O6:R6)</f>
        <v>90880</v>
      </c>
      <c r="BX6" s="21">
        <f t="shared" ref="BX6:BX23" si="4">SUM(S6:V6)</f>
        <v>85544</v>
      </c>
      <c r="BY6" s="21">
        <f t="shared" ref="BY6:BY23" si="5">SUM(W6:Z6)</f>
        <v>73727</v>
      </c>
      <c r="BZ6" s="21">
        <f t="shared" ref="BZ6:BZ24" si="6">SUM(AA6:AD6)</f>
        <v>91695</v>
      </c>
      <c r="CA6" s="21">
        <f t="shared" ref="CA6:CA24" si="7">SUM(AE6:AH6)</f>
        <v>173700</v>
      </c>
      <c r="CB6" s="21">
        <f t="shared" ref="CB6:CB24" si="8">SUM(AI6:AL6)</f>
        <v>70182</v>
      </c>
      <c r="CC6" s="21">
        <f t="shared" ref="CC6:CC24" si="9">SUM(AM6:AP6)</f>
        <v>270262</v>
      </c>
      <c r="CD6" s="21">
        <f t="shared" ref="CD6:CD24" si="10">SUM(AQ6:AT6)</f>
        <v>309188</v>
      </c>
      <c r="CE6" s="21">
        <f>SUM(AU6:AX6)</f>
        <v>221533</v>
      </c>
      <c r="CF6" s="21">
        <f>SUM(AY6:BB6)</f>
        <v>70012</v>
      </c>
      <c r="CG6" s="21">
        <f>SUM(BC6:BF6)</f>
        <v>642907</v>
      </c>
      <c r="CH6" s="21">
        <f>SUM(BG6:BJ6)</f>
        <v>1062474</v>
      </c>
      <c r="CI6" s="21">
        <f t="shared" ref="CI6:CI24" si="11">SUM(BK6:BN6)</f>
        <v>382885</v>
      </c>
      <c r="CJ6" s="21">
        <f>SUM(BO6:BR6)</f>
        <v>327754</v>
      </c>
    </row>
    <row r="7" spans="2:90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>
        <f>-DRE!BP20</f>
        <v>13318</v>
      </c>
      <c r="BQ7" s="21">
        <f>-DRE!BQ20</f>
        <v>-13759</v>
      </c>
      <c r="BR7" s="21">
        <f>-DRE!BR20</f>
        <v>-28173</v>
      </c>
      <c r="BS7" s="21"/>
      <c r="BT7" s="21">
        <f t="shared" si="0"/>
        <v>61051</v>
      </c>
      <c r="BU7" s="21">
        <f t="shared" si="1"/>
        <v>10435</v>
      </c>
      <c r="BV7" s="21">
        <f t="shared" si="2"/>
        <v>27824</v>
      </c>
      <c r="BW7" s="21">
        <f t="shared" si="3"/>
        <v>18157</v>
      </c>
      <c r="BX7" s="21">
        <f t="shared" si="4"/>
        <v>12206</v>
      </c>
      <c r="BY7" s="21">
        <f t="shared" si="5"/>
        <v>19410</v>
      </c>
      <c r="BZ7" s="21">
        <f t="shared" si="6"/>
        <v>11658</v>
      </c>
      <c r="CA7" s="21">
        <f t="shared" si="7"/>
        <v>17687</v>
      </c>
      <c r="CB7" s="21">
        <f t="shared" si="8"/>
        <v>-28281</v>
      </c>
      <c r="CC7" s="21">
        <f t="shared" si="9"/>
        <v>38626</v>
      </c>
      <c r="CD7" s="21">
        <f t="shared" si="10"/>
        <v>40712</v>
      </c>
      <c r="CE7" s="21">
        <f t="shared" ref="CE7:CE24" si="12">SUM(AU7:AX7)</f>
        <v>33847</v>
      </c>
      <c r="CF7" s="21">
        <f>SUM(AY7:BB7)</f>
        <v>1851</v>
      </c>
      <c r="CG7" s="21">
        <f t="shared" ref="CG7:CG23" si="13">SUM(BC7:BF7)</f>
        <v>58754</v>
      </c>
      <c r="CH7" s="21">
        <f t="shared" ref="CH7:CH24" si="14">SUM(BG7:BJ7)</f>
        <v>181888</v>
      </c>
      <c r="CI7" s="21">
        <f t="shared" si="11"/>
        <v>36752</v>
      </c>
      <c r="CJ7" s="21">
        <f t="shared" ref="CJ7:CJ9" si="15">SUM(BO7:BR7)</f>
        <v>-7919</v>
      </c>
    </row>
    <row r="8" spans="2:90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70">
        <f>-DRE!BP16</f>
        <v>-21474</v>
      </c>
      <c r="BQ8" s="70">
        <f>-DRE!BQ16</f>
        <v>-25252</v>
      </c>
      <c r="BR8" s="70">
        <f>-DRE!BR16</f>
        <v>-73474</v>
      </c>
      <c r="BS8" s="21"/>
      <c r="BT8" s="70">
        <f t="shared" si="0"/>
        <v>-36656</v>
      </c>
      <c r="BU8" s="70">
        <f t="shared" si="1"/>
        <v>-39762</v>
      </c>
      <c r="BV8" s="70">
        <f t="shared" si="2"/>
        <v>-35838</v>
      </c>
      <c r="BW8" s="70">
        <f t="shared" si="3"/>
        <v>-46710</v>
      </c>
      <c r="BX8" s="70">
        <f t="shared" si="4"/>
        <v>-27782</v>
      </c>
      <c r="BY8" s="70">
        <f t="shared" si="5"/>
        <v>-16671</v>
      </c>
      <c r="BZ8" s="70">
        <f t="shared" si="6"/>
        <v>-29067</v>
      </c>
      <c r="CA8" s="70">
        <f t="shared" si="7"/>
        <v>24300</v>
      </c>
      <c r="CB8" s="70">
        <f t="shared" si="8"/>
        <v>-37087</v>
      </c>
      <c r="CC8" s="70">
        <f t="shared" si="9"/>
        <v>-62874</v>
      </c>
      <c r="CD8" s="21">
        <f t="shared" si="10"/>
        <v>25874</v>
      </c>
      <c r="CE8" s="21">
        <f t="shared" si="12"/>
        <v>-76138</v>
      </c>
      <c r="CF8" s="21">
        <f>SUM(AY8:BB8)</f>
        <v>207034</v>
      </c>
      <c r="CG8" s="21">
        <f t="shared" si="13"/>
        <v>99181</v>
      </c>
      <c r="CH8" s="21">
        <f t="shared" si="14"/>
        <v>-83393</v>
      </c>
      <c r="CI8" s="21">
        <f t="shared" si="11"/>
        <v>-115906</v>
      </c>
      <c r="CJ8" s="21">
        <f t="shared" si="15"/>
        <v>-147906</v>
      </c>
    </row>
    <row r="9" spans="2:90" ht="15.75" thickBot="1">
      <c r="B9" t="s">
        <v>205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58">
        <v>49133</v>
      </c>
      <c r="BQ9" s="58">
        <f>171091-BP9-BO9</f>
        <v>77763</v>
      </c>
      <c r="BR9" s="58">
        <v>57742</v>
      </c>
      <c r="BS9" s="21"/>
      <c r="BT9" s="2">
        <f t="shared" si="0"/>
        <v>27475</v>
      </c>
      <c r="BU9" s="2">
        <f t="shared" si="1"/>
        <v>29775</v>
      </c>
      <c r="BV9" s="2">
        <f t="shared" si="2"/>
        <v>30117</v>
      </c>
      <c r="BW9" s="2">
        <f t="shared" si="3"/>
        <v>38563</v>
      </c>
      <c r="BX9" s="2">
        <f t="shared" si="4"/>
        <v>42083</v>
      </c>
      <c r="BY9" s="2">
        <f t="shared" si="5"/>
        <v>45566</v>
      </c>
      <c r="BZ9" s="2">
        <f t="shared" si="6"/>
        <v>46147</v>
      </c>
      <c r="CA9" s="2">
        <f t="shared" si="7"/>
        <v>39998</v>
      </c>
      <c r="CB9" s="2">
        <f t="shared" si="8"/>
        <v>60907</v>
      </c>
      <c r="CC9" s="69">
        <f t="shared" si="9"/>
        <v>86200</v>
      </c>
      <c r="CD9" s="21">
        <f t="shared" si="10"/>
        <v>114570</v>
      </c>
      <c r="CE9" s="21">
        <f t="shared" si="12"/>
        <v>147950</v>
      </c>
      <c r="CF9" s="21">
        <f t="shared" ref="CF9:CF23" si="16">SUM(AY9:BB9)</f>
        <v>150242</v>
      </c>
      <c r="CG9" s="21">
        <f>SUM(BC9:BF9)</f>
        <v>133966</v>
      </c>
      <c r="CH9" s="21">
        <f t="shared" si="14"/>
        <v>142611</v>
      </c>
      <c r="CI9" s="21">
        <f t="shared" si="11"/>
        <v>187946</v>
      </c>
      <c r="CJ9" s="21">
        <f t="shared" si="15"/>
        <v>228833</v>
      </c>
      <c r="CK9" s="16"/>
      <c r="CL9" s="16"/>
    </row>
    <row r="10" spans="2:90" ht="15.75" thickBot="1">
      <c r="B10" s="9" t="s">
        <v>49</v>
      </c>
      <c r="C10" s="12">
        <f t="shared" ref="C10:AT10" si="17">SUM(C6:C9)</f>
        <v>52209</v>
      </c>
      <c r="D10" s="12">
        <f t="shared" si="17"/>
        <v>135590</v>
      </c>
      <c r="E10" s="12">
        <f t="shared" si="17"/>
        <v>127872</v>
      </c>
      <c r="F10" s="12">
        <f t="shared" si="17"/>
        <v>74059</v>
      </c>
      <c r="G10" s="12">
        <f t="shared" si="17"/>
        <v>25684</v>
      </c>
      <c r="H10" s="12">
        <f t="shared" si="17"/>
        <v>7032</v>
      </c>
      <c r="I10" s="12">
        <f t="shared" si="17"/>
        <v>-3027</v>
      </c>
      <c r="J10" s="12">
        <f t="shared" si="17"/>
        <v>-609</v>
      </c>
      <c r="K10" s="12">
        <f t="shared" si="17"/>
        <v>21709</v>
      </c>
      <c r="L10" s="12">
        <f t="shared" si="17"/>
        <v>63210</v>
      </c>
      <c r="M10" s="12">
        <f t="shared" si="17"/>
        <v>41837</v>
      </c>
      <c r="N10" s="12">
        <f t="shared" si="17"/>
        <v>29317</v>
      </c>
      <c r="O10" s="12">
        <f t="shared" si="17"/>
        <v>42134</v>
      </c>
      <c r="P10" s="12">
        <f t="shared" si="17"/>
        <v>32311</v>
      </c>
      <c r="Q10" s="12">
        <f t="shared" si="17"/>
        <v>14485</v>
      </c>
      <c r="R10" s="12">
        <f t="shared" si="17"/>
        <v>11960</v>
      </c>
      <c r="S10" s="12">
        <f t="shared" si="17"/>
        <v>25308</v>
      </c>
      <c r="T10" s="12">
        <f t="shared" si="17"/>
        <v>33529</v>
      </c>
      <c r="U10" s="12">
        <f t="shared" si="17"/>
        <v>40159</v>
      </c>
      <c r="V10" s="12">
        <f t="shared" si="17"/>
        <v>13055</v>
      </c>
      <c r="W10" s="12">
        <f t="shared" si="17"/>
        <v>21145</v>
      </c>
      <c r="X10" s="12">
        <f t="shared" si="17"/>
        <v>29451</v>
      </c>
      <c r="Y10" s="12">
        <f t="shared" si="17"/>
        <v>37316</v>
      </c>
      <c r="Z10" s="12">
        <f t="shared" si="17"/>
        <v>34120</v>
      </c>
      <c r="AA10" s="12">
        <f t="shared" si="17"/>
        <v>39242</v>
      </c>
      <c r="AB10" s="12">
        <f t="shared" si="17"/>
        <v>40110</v>
      </c>
      <c r="AC10" s="12">
        <f t="shared" si="17"/>
        <v>24280</v>
      </c>
      <c r="AD10" s="12">
        <f t="shared" si="17"/>
        <v>16801</v>
      </c>
      <c r="AE10" s="12">
        <f t="shared" si="17"/>
        <v>60714</v>
      </c>
      <c r="AF10" s="12">
        <f t="shared" si="17"/>
        <v>86870</v>
      </c>
      <c r="AG10" s="12">
        <f t="shared" si="17"/>
        <v>73270</v>
      </c>
      <c r="AH10" s="12">
        <f t="shared" si="17"/>
        <v>34831</v>
      </c>
      <c r="AI10" s="12">
        <f t="shared" si="17"/>
        <v>51666</v>
      </c>
      <c r="AJ10" s="12">
        <f t="shared" si="17"/>
        <v>-17219</v>
      </c>
      <c r="AK10" s="12">
        <f t="shared" si="17"/>
        <v>-16884</v>
      </c>
      <c r="AL10" s="12">
        <f t="shared" si="17"/>
        <v>48158</v>
      </c>
      <c r="AM10" s="12">
        <f t="shared" si="17"/>
        <v>101065</v>
      </c>
      <c r="AN10" s="12">
        <f t="shared" si="17"/>
        <v>78041</v>
      </c>
      <c r="AO10" s="12">
        <f t="shared" si="17"/>
        <v>60768</v>
      </c>
      <c r="AP10" s="12">
        <f t="shared" si="17"/>
        <v>92340</v>
      </c>
      <c r="AQ10" s="12">
        <f t="shared" si="17"/>
        <v>93775</v>
      </c>
      <c r="AR10" s="12">
        <f t="shared" si="17"/>
        <v>127962</v>
      </c>
      <c r="AS10" s="12">
        <f t="shared" si="17"/>
        <v>221952</v>
      </c>
      <c r="AT10" s="12">
        <f t="shared" si="17"/>
        <v>46655</v>
      </c>
      <c r="AU10" s="12">
        <f t="shared" ref="AU10" si="18">SUM(AU6:AU9)</f>
        <v>88740</v>
      </c>
      <c r="AV10" s="12">
        <f t="shared" ref="AV10:BA10" si="19">SUM(AV6:AV9)</f>
        <v>74176</v>
      </c>
      <c r="AW10" s="12">
        <f t="shared" si="19"/>
        <v>129196</v>
      </c>
      <c r="AX10" s="12">
        <f t="shared" si="19"/>
        <v>35080</v>
      </c>
      <c r="AY10" s="12">
        <f t="shared" si="19"/>
        <v>67386</v>
      </c>
      <c r="AZ10" s="12">
        <f t="shared" si="19"/>
        <v>130607</v>
      </c>
      <c r="BA10" s="12">
        <f t="shared" si="19"/>
        <v>116326</v>
      </c>
      <c r="BB10" s="12">
        <f t="shared" ref="BB10:BC10" si="20">SUM(BB6:BB9)</f>
        <v>114820</v>
      </c>
      <c r="BC10" s="12">
        <f t="shared" si="20"/>
        <v>151690</v>
      </c>
      <c r="BD10" s="12">
        <f t="shared" ref="BD10:BE10" si="21">SUM(BD6:BD9)</f>
        <v>203787</v>
      </c>
      <c r="BE10" s="12">
        <f t="shared" si="21"/>
        <v>259491</v>
      </c>
      <c r="BF10" s="12">
        <f t="shared" ref="BF10:BG10" si="22">SUM(BF6:BF9)</f>
        <v>319840</v>
      </c>
      <c r="BG10" s="12">
        <f t="shared" si="22"/>
        <v>347546</v>
      </c>
      <c r="BH10" s="12">
        <f t="shared" ref="BH10:BI10" si="23">SUM(BH6:BH9)</f>
        <v>445290</v>
      </c>
      <c r="BI10" s="12">
        <f t="shared" si="23"/>
        <v>326071</v>
      </c>
      <c r="BJ10" s="12">
        <f t="shared" ref="BJ10:BM10" si="24">SUM(BJ6:BJ9)</f>
        <v>184673</v>
      </c>
      <c r="BK10" s="12">
        <f t="shared" si="24"/>
        <v>187795</v>
      </c>
      <c r="BL10" s="12">
        <f t="shared" si="24"/>
        <v>144691</v>
      </c>
      <c r="BM10" s="12">
        <f t="shared" si="24"/>
        <v>95353</v>
      </c>
      <c r="BN10" s="12">
        <f t="shared" ref="BN10:BO10" si="25">SUM(BN6:BN9)</f>
        <v>63838</v>
      </c>
      <c r="BO10" s="12">
        <f t="shared" si="25"/>
        <v>78389</v>
      </c>
      <c r="BP10" s="12">
        <f t="shared" ref="BP10:BR10" si="26">SUM(BP6:BP9)</f>
        <v>97708</v>
      </c>
      <c r="BQ10" s="12">
        <f t="shared" si="26"/>
        <v>142303</v>
      </c>
      <c r="BR10" s="12">
        <f t="shared" si="26"/>
        <v>82362</v>
      </c>
      <c r="BS10" s="2"/>
      <c r="BT10" s="12">
        <f t="shared" si="0"/>
        <v>389730</v>
      </c>
      <c r="BU10" s="12">
        <f t="shared" si="1"/>
        <v>29080</v>
      </c>
      <c r="BV10" s="12">
        <f t="shared" si="2"/>
        <v>156073</v>
      </c>
      <c r="BW10" s="12">
        <f t="shared" si="3"/>
        <v>100890</v>
      </c>
      <c r="BX10" s="12">
        <f t="shared" si="4"/>
        <v>112051</v>
      </c>
      <c r="BY10" s="12">
        <f t="shared" si="5"/>
        <v>122032</v>
      </c>
      <c r="BZ10" s="12">
        <f t="shared" si="6"/>
        <v>120433</v>
      </c>
      <c r="CA10" s="12">
        <f t="shared" si="7"/>
        <v>255685</v>
      </c>
      <c r="CB10" s="57">
        <f t="shared" si="8"/>
        <v>65721</v>
      </c>
      <c r="CC10" s="57">
        <f t="shared" si="9"/>
        <v>332214</v>
      </c>
      <c r="CD10" s="57">
        <f t="shared" si="10"/>
        <v>490344</v>
      </c>
      <c r="CE10" s="57">
        <f t="shared" si="12"/>
        <v>327192</v>
      </c>
      <c r="CF10" s="57">
        <f>SUM(AY10:BB10)</f>
        <v>429139</v>
      </c>
      <c r="CG10" s="57">
        <f>SUM(BC10:BF10)</f>
        <v>934808</v>
      </c>
      <c r="CH10" s="57">
        <f t="shared" si="14"/>
        <v>1303580</v>
      </c>
      <c r="CI10" s="57">
        <f t="shared" si="11"/>
        <v>491677</v>
      </c>
      <c r="CJ10" s="57">
        <f>SUM(BO10:BR10)</f>
        <v>400762</v>
      </c>
      <c r="CK10" s="81"/>
    </row>
    <row r="11" spans="2:90">
      <c r="B11" t="s">
        <v>206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>
        <v>0</v>
      </c>
      <c r="BQ11" s="21">
        <v>-9129</v>
      </c>
      <c r="BR11" s="21">
        <v>-29377</v>
      </c>
      <c r="BS11" s="21"/>
      <c r="BT11" s="2">
        <f t="shared" si="0"/>
        <v>0</v>
      </c>
      <c r="BU11" s="2">
        <f t="shared" si="1"/>
        <v>-8580</v>
      </c>
      <c r="BV11" s="2">
        <f t="shared" si="2"/>
        <v>-19753</v>
      </c>
      <c r="BW11" s="2">
        <f t="shared" si="3"/>
        <v>-5493</v>
      </c>
      <c r="BX11" s="2">
        <f t="shared" si="4"/>
        <v>-3232</v>
      </c>
      <c r="BY11" s="2">
        <f t="shared" si="5"/>
        <v>-11885</v>
      </c>
      <c r="BZ11" s="2">
        <f t="shared" si="6"/>
        <v>7120</v>
      </c>
      <c r="CA11" s="2">
        <f t="shared" si="7"/>
        <v>-4196</v>
      </c>
      <c r="CB11" s="2">
        <f t="shared" si="8"/>
        <v>-6285</v>
      </c>
      <c r="CC11" s="69">
        <f t="shared" si="9"/>
        <v>-14383</v>
      </c>
      <c r="CD11" s="21">
        <f t="shared" si="10"/>
        <v>7888</v>
      </c>
      <c r="CE11" s="21">
        <f t="shared" si="12"/>
        <v>576</v>
      </c>
      <c r="CF11" s="21">
        <f t="shared" si="16"/>
        <v>-14242</v>
      </c>
      <c r="CG11" s="21">
        <f t="shared" si="13"/>
        <v>-214</v>
      </c>
      <c r="CH11" s="21">
        <f t="shared" si="14"/>
        <v>-3012</v>
      </c>
      <c r="CI11" s="21">
        <f t="shared" si="11"/>
        <v>-39236</v>
      </c>
      <c r="CJ11" s="21">
        <f>SUM(BO11:BR11)</f>
        <v>-38506</v>
      </c>
      <c r="CK11" s="81"/>
      <c r="CL11" s="92"/>
    </row>
    <row r="12" spans="2:90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/>
      <c r="BT12" s="2">
        <f t="shared" si="0"/>
        <v>866</v>
      </c>
      <c r="BU12" s="2">
        <f t="shared" si="1"/>
        <v>-272</v>
      </c>
      <c r="BV12" s="2">
        <f t="shared" si="2"/>
        <v>-347</v>
      </c>
      <c r="BW12" s="2">
        <f t="shared" si="3"/>
        <v>-146</v>
      </c>
      <c r="BX12" s="2">
        <f t="shared" si="4"/>
        <v>-114</v>
      </c>
      <c r="BY12" s="2">
        <f t="shared" si="5"/>
        <v>-584</v>
      </c>
      <c r="BZ12" s="2">
        <f t="shared" si="6"/>
        <v>-255</v>
      </c>
      <c r="CA12" s="2">
        <f t="shared" si="7"/>
        <v>-353</v>
      </c>
      <c r="CB12" s="2">
        <f t="shared" si="8"/>
        <v>-87</v>
      </c>
      <c r="CC12" s="69">
        <f t="shared" si="9"/>
        <v>2693</v>
      </c>
      <c r="CD12" s="21">
        <f t="shared" si="10"/>
        <v>719</v>
      </c>
      <c r="CE12" s="21">
        <f t="shared" si="12"/>
        <v>0</v>
      </c>
      <c r="CF12" s="21">
        <f t="shared" si="16"/>
        <v>0</v>
      </c>
      <c r="CG12" s="21">
        <f t="shared" si="13"/>
        <v>0</v>
      </c>
      <c r="CH12" s="21">
        <f t="shared" si="14"/>
        <v>0</v>
      </c>
      <c r="CI12" s="21">
        <f t="shared" si="11"/>
        <v>0</v>
      </c>
      <c r="CJ12" s="21">
        <f t="shared" ref="CJ12:CJ23" si="27">SUM(BO12:BR12)</f>
        <v>0</v>
      </c>
      <c r="CK12" s="81"/>
    </row>
    <row r="13" spans="2:90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58">
        <v>-2230</v>
      </c>
      <c r="BQ13" s="58">
        <v>-1476</v>
      </c>
      <c r="BR13" s="58">
        <v>613</v>
      </c>
      <c r="BS13" s="21"/>
      <c r="BT13" s="2">
        <f t="shared" si="0"/>
        <v>4027</v>
      </c>
      <c r="BU13" s="2">
        <f t="shared" si="1"/>
        <v>-2663</v>
      </c>
      <c r="BV13" s="2">
        <f t="shared" si="2"/>
        <v>8590</v>
      </c>
      <c r="BW13" s="2">
        <f t="shared" si="3"/>
        <v>903</v>
      </c>
      <c r="BX13" s="2">
        <f t="shared" si="4"/>
        <v>3527</v>
      </c>
      <c r="BY13" s="2">
        <f t="shared" si="5"/>
        <v>-2950</v>
      </c>
      <c r="BZ13" s="2">
        <f t="shared" si="6"/>
        <v>1726</v>
      </c>
      <c r="CA13" s="2">
        <f t="shared" si="7"/>
        <v>7008</v>
      </c>
      <c r="CB13" s="2">
        <f t="shared" si="8"/>
        <v>10648</v>
      </c>
      <c r="CC13" s="69">
        <f t="shared" si="9"/>
        <v>757</v>
      </c>
      <c r="CD13" s="21">
        <f t="shared" si="10"/>
        <v>2103</v>
      </c>
      <c r="CE13" s="21">
        <f t="shared" si="12"/>
        <v>8095</v>
      </c>
      <c r="CF13" s="21">
        <f t="shared" si="16"/>
        <v>-5585</v>
      </c>
      <c r="CG13" s="21">
        <f t="shared" si="13"/>
        <v>1209</v>
      </c>
      <c r="CH13" s="21">
        <f t="shared" si="14"/>
        <v>10558</v>
      </c>
      <c r="CI13" s="21">
        <f t="shared" si="11"/>
        <v>10871</v>
      </c>
      <c r="CJ13" s="21">
        <f t="shared" si="27"/>
        <v>-4915</v>
      </c>
      <c r="CK13" s="81"/>
      <c r="CL13" s="92"/>
    </row>
    <row r="14" spans="2:90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21"/>
      <c r="BT14" s="2">
        <f t="shared" si="0"/>
        <v>0</v>
      </c>
      <c r="BU14" s="2">
        <f t="shared" si="1"/>
        <v>0</v>
      </c>
      <c r="BV14" s="2">
        <f t="shared" si="2"/>
        <v>0</v>
      </c>
      <c r="BW14" s="2">
        <f t="shared" si="3"/>
        <v>0</v>
      </c>
      <c r="BX14" s="2">
        <f t="shared" si="4"/>
        <v>0</v>
      </c>
      <c r="BY14" s="2">
        <f t="shared" si="5"/>
        <v>0</v>
      </c>
      <c r="BZ14" s="2">
        <f t="shared" si="6"/>
        <v>-6346</v>
      </c>
      <c r="CA14" s="2">
        <f t="shared" si="7"/>
        <v>0</v>
      </c>
      <c r="CB14" s="2">
        <f t="shared" si="8"/>
        <v>0</v>
      </c>
      <c r="CC14" s="69">
        <f t="shared" si="9"/>
        <v>0</v>
      </c>
      <c r="CD14" s="21">
        <f t="shared" si="10"/>
        <v>0</v>
      </c>
      <c r="CE14" s="21">
        <f t="shared" si="12"/>
        <v>0</v>
      </c>
      <c r="CF14" s="21">
        <f t="shared" si="16"/>
        <v>0</v>
      </c>
      <c r="CG14" s="21">
        <f t="shared" si="13"/>
        <v>0</v>
      </c>
      <c r="CH14" s="21">
        <f t="shared" si="14"/>
        <v>0</v>
      </c>
      <c r="CI14" s="21">
        <f t="shared" si="11"/>
        <v>0</v>
      </c>
      <c r="CJ14" s="21">
        <f t="shared" si="27"/>
        <v>0</v>
      </c>
      <c r="CK14" s="81"/>
    </row>
    <row r="15" spans="2:90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70">
        <v>0</v>
      </c>
      <c r="BQ15" s="70">
        <v>0</v>
      </c>
      <c r="BR15" s="70">
        <v>0</v>
      </c>
      <c r="BS15" s="21"/>
      <c r="BT15" s="2"/>
      <c r="BU15" s="2"/>
      <c r="BV15" s="2"/>
      <c r="BW15" s="2"/>
      <c r="BX15" s="2"/>
      <c r="BY15" s="2"/>
      <c r="BZ15" s="2"/>
      <c r="CA15" s="2"/>
      <c r="CB15" s="2"/>
      <c r="CC15" s="69"/>
      <c r="CD15" s="21">
        <f t="shared" si="10"/>
        <v>-70676</v>
      </c>
      <c r="CE15" s="21">
        <f t="shared" si="12"/>
        <v>0</v>
      </c>
      <c r="CF15" s="21">
        <f t="shared" si="16"/>
        <v>0</v>
      </c>
      <c r="CG15" s="21">
        <f t="shared" si="13"/>
        <v>0</v>
      </c>
      <c r="CH15" s="21">
        <f t="shared" si="14"/>
        <v>0</v>
      </c>
      <c r="CI15" s="21">
        <f t="shared" si="11"/>
        <v>0</v>
      </c>
      <c r="CJ15" s="21">
        <f t="shared" si="27"/>
        <v>0</v>
      </c>
      <c r="CK15" s="81"/>
    </row>
    <row r="16" spans="2:90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70">
        <v>0</v>
      </c>
      <c r="BR16" s="70">
        <v>0</v>
      </c>
      <c r="BS16" s="21"/>
      <c r="BT16" s="69">
        <f t="shared" si="0"/>
        <v>0</v>
      </c>
      <c r="BU16" s="69">
        <f t="shared" si="1"/>
        <v>0</v>
      </c>
      <c r="BV16" s="69">
        <f t="shared" si="2"/>
        <v>0</v>
      </c>
      <c r="BW16" s="69">
        <f t="shared" si="3"/>
        <v>0</v>
      </c>
      <c r="BX16" s="69">
        <f t="shared" si="4"/>
        <v>0</v>
      </c>
      <c r="BY16" s="69">
        <f t="shared" si="5"/>
        <v>0</v>
      </c>
      <c r="BZ16" s="69">
        <f t="shared" si="6"/>
        <v>0</v>
      </c>
      <c r="CA16" s="69">
        <f t="shared" si="7"/>
        <v>-11006</v>
      </c>
      <c r="CB16" s="2">
        <f t="shared" si="8"/>
        <v>0</v>
      </c>
      <c r="CC16" s="69">
        <f t="shared" si="9"/>
        <v>0</v>
      </c>
      <c r="CD16" s="21">
        <f t="shared" si="10"/>
        <v>0</v>
      </c>
      <c r="CE16" s="21">
        <f t="shared" si="12"/>
        <v>0</v>
      </c>
      <c r="CF16" s="21">
        <f t="shared" si="16"/>
        <v>0</v>
      </c>
      <c r="CG16" s="21">
        <f t="shared" si="13"/>
        <v>0</v>
      </c>
      <c r="CH16" s="21">
        <f t="shared" si="14"/>
        <v>0</v>
      </c>
      <c r="CI16" s="21">
        <f t="shared" si="11"/>
        <v>0</v>
      </c>
      <c r="CJ16" s="21">
        <f t="shared" si="27"/>
        <v>0</v>
      </c>
      <c r="CK16" s="81"/>
    </row>
    <row r="17" spans="2:90">
      <c r="B17" t="s">
        <v>237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-1304</v>
      </c>
      <c r="BQ17" s="70">
        <v>-11469</v>
      </c>
      <c r="BR17" s="70">
        <v>-4394</v>
      </c>
      <c r="BS17" s="21"/>
      <c r="BT17" s="69"/>
      <c r="BU17" s="69"/>
      <c r="BV17" s="69"/>
      <c r="BW17" s="69"/>
      <c r="BX17" s="69"/>
      <c r="BY17" s="69"/>
      <c r="BZ17" s="69"/>
      <c r="CA17" s="69"/>
      <c r="CB17" s="2"/>
      <c r="CC17" s="69"/>
      <c r="CD17" s="21"/>
      <c r="CE17" s="21">
        <f t="shared" si="12"/>
        <v>-94053</v>
      </c>
      <c r="CF17" s="21">
        <f t="shared" si="16"/>
        <v>0</v>
      </c>
      <c r="CG17" s="21">
        <f t="shared" si="13"/>
        <v>0</v>
      </c>
      <c r="CH17" s="21">
        <f t="shared" si="14"/>
        <v>0</v>
      </c>
      <c r="CI17" s="21">
        <f t="shared" si="11"/>
        <v>0</v>
      </c>
      <c r="CJ17" s="21">
        <f t="shared" si="27"/>
        <v>-17167</v>
      </c>
      <c r="CK17" s="81"/>
      <c r="CL17" s="92"/>
    </row>
    <row r="18" spans="2:90">
      <c r="B18" t="s">
        <v>207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70">
        <v>0</v>
      </c>
      <c r="BQ18" s="70">
        <v>0</v>
      </c>
      <c r="BR18" s="70">
        <v>0</v>
      </c>
      <c r="BS18" s="21"/>
      <c r="BT18" s="69"/>
      <c r="BU18" s="69"/>
      <c r="BV18" s="69"/>
      <c r="BW18" s="69"/>
      <c r="BX18" s="69"/>
      <c r="BY18" s="69"/>
      <c r="BZ18" s="69"/>
      <c r="CA18" s="69"/>
      <c r="CB18" s="2"/>
      <c r="CC18" s="69"/>
      <c r="CD18" s="21"/>
      <c r="CE18" s="21"/>
      <c r="CF18" s="21">
        <f t="shared" si="16"/>
        <v>-2454</v>
      </c>
      <c r="CG18" s="21">
        <f t="shared" si="13"/>
        <v>0</v>
      </c>
      <c r="CH18" s="21">
        <f t="shared" si="14"/>
        <v>-4149</v>
      </c>
      <c r="CI18" s="21">
        <f t="shared" si="11"/>
        <v>0</v>
      </c>
      <c r="CJ18" s="21">
        <f t="shared" si="27"/>
        <v>0</v>
      </c>
      <c r="CK18" s="81"/>
    </row>
    <row r="19" spans="2:90">
      <c r="B19" t="s">
        <v>215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>
        <v>1914</v>
      </c>
      <c r="BQ19" s="21">
        <v>1918</v>
      </c>
      <c r="BR19" s="21">
        <v>-2256</v>
      </c>
      <c r="BS19" s="21"/>
      <c r="BT19" s="69"/>
      <c r="BU19" s="69"/>
      <c r="BV19" s="69"/>
      <c r="BW19" s="69"/>
      <c r="BX19" s="69"/>
      <c r="BY19" s="69"/>
      <c r="BZ19" s="69"/>
      <c r="CA19" s="69"/>
      <c r="CB19" s="2"/>
      <c r="CC19" s="69"/>
      <c r="CD19" s="21"/>
      <c r="CE19" s="21"/>
      <c r="CF19" s="21"/>
      <c r="CG19" s="21"/>
      <c r="CH19" s="21">
        <f t="shared" si="14"/>
        <v>-22056</v>
      </c>
      <c r="CI19" s="21">
        <f t="shared" si="11"/>
        <v>1579</v>
      </c>
      <c r="CJ19" s="21">
        <f t="shared" si="27"/>
        <v>3490</v>
      </c>
      <c r="CK19" s="81"/>
      <c r="CL19" s="92"/>
    </row>
    <row r="20" spans="2:90">
      <c r="B20" t="s">
        <v>227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">
        <v>0</v>
      </c>
      <c r="BQ20" s="2">
        <v>0</v>
      </c>
      <c r="BR20" s="21">
        <v>0</v>
      </c>
      <c r="BS20" s="21"/>
      <c r="BT20" s="69"/>
      <c r="BU20" s="69"/>
      <c r="BV20" s="69"/>
      <c r="BW20" s="69"/>
      <c r="BX20" s="69"/>
      <c r="BY20" s="69"/>
      <c r="BZ20" s="69"/>
      <c r="CA20" s="69"/>
      <c r="CB20" s="2"/>
      <c r="CC20" s="69"/>
      <c r="CD20" s="21"/>
      <c r="CE20" s="21"/>
      <c r="CF20" s="21"/>
      <c r="CG20" s="21"/>
      <c r="CH20" s="21">
        <f t="shared" ref="CH20" si="28">SUM(BG20:BJ20)</f>
        <v>0</v>
      </c>
      <c r="CI20" s="21">
        <f t="shared" si="11"/>
        <v>-10627</v>
      </c>
      <c r="CJ20" s="21">
        <f t="shared" si="27"/>
        <v>0</v>
      </c>
      <c r="CK20" s="81"/>
    </row>
    <row r="21" spans="2:90">
      <c r="B21" t="s">
        <v>231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>
        <v>0</v>
      </c>
      <c r="BQ21" s="2">
        <v>0</v>
      </c>
      <c r="BR21" s="21">
        <v>0</v>
      </c>
      <c r="BS21" s="21"/>
      <c r="BT21" s="69"/>
      <c r="BU21" s="69"/>
      <c r="BV21" s="69"/>
      <c r="BW21" s="69"/>
      <c r="BX21" s="69"/>
      <c r="BY21" s="69"/>
      <c r="BZ21" s="69"/>
      <c r="CA21" s="69"/>
      <c r="CB21" s="2"/>
      <c r="CC21" s="69"/>
      <c r="CD21" s="21"/>
      <c r="CE21" s="21"/>
      <c r="CF21" s="21"/>
      <c r="CG21" s="21"/>
      <c r="CH21" s="21"/>
      <c r="CI21" s="21">
        <f t="shared" si="11"/>
        <v>0</v>
      </c>
      <c r="CJ21" s="21">
        <f t="shared" si="27"/>
        <v>0</v>
      </c>
      <c r="CK21" s="81"/>
      <c r="CL21" s="92"/>
    </row>
    <row r="22" spans="2:90">
      <c r="B22" t="s">
        <v>235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3418</v>
      </c>
      <c r="BQ22" s="2">
        <v>4783</v>
      </c>
      <c r="BR22" s="21">
        <f>8320-8201</f>
        <v>119</v>
      </c>
      <c r="BS22" s="21"/>
      <c r="BT22" s="69"/>
      <c r="BU22" s="69"/>
      <c r="BV22" s="69"/>
      <c r="BW22" s="69"/>
      <c r="BX22" s="69"/>
      <c r="BY22" s="69"/>
      <c r="BZ22" s="69"/>
      <c r="CA22" s="69"/>
      <c r="CB22" s="2"/>
      <c r="CC22" s="69"/>
      <c r="CD22" s="21"/>
      <c r="CE22" s="21"/>
      <c r="CF22" s="21"/>
      <c r="CG22" s="21"/>
      <c r="CH22" s="21"/>
      <c r="CI22" s="21">
        <f t="shared" si="11"/>
        <v>0</v>
      </c>
      <c r="CJ22" s="21">
        <f t="shared" si="27"/>
        <v>8320</v>
      </c>
      <c r="CK22" s="81"/>
      <c r="CL22" s="92"/>
    </row>
    <row r="23" spans="2:90" ht="15.75" thickBot="1">
      <c r="B23" t="s">
        <v>104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3172</v>
      </c>
      <c r="Y23" s="2">
        <v>3696</v>
      </c>
      <c r="Z23" s="2">
        <v>0</v>
      </c>
      <c r="AA23" s="2">
        <v>2314</v>
      </c>
      <c r="AB23" s="2">
        <v>8607</v>
      </c>
      <c r="AC23" s="2">
        <v>0</v>
      </c>
      <c r="AD23" s="2">
        <f>13576-10921</f>
        <v>2655</v>
      </c>
      <c r="AE23" s="2">
        <v>0</v>
      </c>
      <c r="AF23" s="2">
        <v>0</v>
      </c>
      <c r="AG23" s="2">
        <v>0</v>
      </c>
      <c r="AH23" s="2">
        <v>3228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21"/>
      <c r="BT23" s="2">
        <f t="shared" si="0"/>
        <v>0</v>
      </c>
      <c r="BU23" s="2">
        <f t="shared" si="1"/>
        <v>0</v>
      </c>
      <c r="BV23" s="2">
        <f t="shared" si="2"/>
        <v>0</v>
      </c>
      <c r="BW23" s="2">
        <f t="shared" si="3"/>
        <v>0</v>
      </c>
      <c r="BX23" s="2">
        <f t="shared" si="4"/>
        <v>0</v>
      </c>
      <c r="BY23" s="2">
        <f t="shared" si="5"/>
        <v>6868</v>
      </c>
      <c r="BZ23" s="2">
        <f t="shared" si="6"/>
        <v>13576</v>
      </c>
      <c r="CA23" s="2">
        <f t="shared" si="7"/>
        <v>3228</v>
      </c>
      <c r="CB23" s="2">
        <f t="shared" si="8"/>
        <v>0</v>
      </c>
      <c r="CC23" s="69">
        <f t="shared" si="9"/>
        <v>0</v>
      </c>
      <c r="CD23" s="21">
        <f t="shared" si="10"/>
        <v>0</v>
      </c>
      <c r="CE23" s="21">
        <f t="shared" si="12"/>
        <v>0</v>
      </c>
      <c r="CF23" s="21">
        <f t="shared" si="16"/>
        <v>0</v>
      </c>
      <c r="CG23" s="21">
        <f t="shared" si="13"/>
        <v>0</v>
      </c>
      <c r="CH23" s="21">
        <f t="shared" si="14"/>
        <v>0</v>
      </c>
      <c r="CI23" s="21">
        <f t="shared" si="11"/>
        <v>0</v>
      </c>
      <c r="CJ23" s="21">
        <f t="shared" si="27"/>
        <v>0</v>
      </c>
      <c r="CK23" s="81"/>
    </row>
    <row r="24" spans="2:90" ht="15.75" thickBot="1">
      <c r="B24" s="9" t="s">
        <v>107</v>
      </c>
      <c r="C24" s="12">
        <f t="shared" ref="C24:AO24" si="29">SUM(C10:C23)</f>
        <v>53946</v>
      </c>
      <c r="D24" s="12">
        <f t="shared" si="29"/>
        <v>136514</v>
      </c>
      <c r="E24" s="12">
        <f t="shared" si="29"/>
        <v>129354</v>
      </c>
      <c r="F24" s="12">
        <f t="shared" si="29"/>
        <v>74809</v>
      </c>
      <c r="G24" s="12">
        <f t="shared" si="29"/>
        <v>25127</v>
      </c>
      <c r="H24" s="12">
        <f t="shared" si="29"/>
        <v>6173</v>
      </c>
      <c r="I24" s="12">
        <f t="shared" si="29"/>
        <v>-2526</v>
      </c>
      <c r="J24" s="12">
        <f t="shared" si="29"/>
        <v>-11209</v>
      </c>
      <c r="K24" s="12">
        <f t="shared" si="29"/>
        <v>21736</v>
      </c>
      <c r="L24" s="12">
        <f t="shared" si="29"/>
        <v>62880</v>
      </c>
      <c r="M24" s="12">
        <f t="shared" si="29"/>
        <v>41983</v>
      </c>
      <c r="N24" s="12">
        <f t="shared" si="29"/>
        <v>17964</v>
      </c>
      <c r="O24" s="12">
        <f t="shared" si="29"/>
        <v>42061</v>
      </c>
      <c r="P24" s="12">
        <f t="shared" si="29"/>
        <v>29971</v>
      </c>
      <c r="Q24" s="12">
        <f t="shared" si="29"/>
        <v>7376</v>
      </c>
      <c r="R24" s="12">
        <f t="shared" si="29"/>
        <v>16746</v>
      </c>
      <c r="S24" s="12">
        <f t="shared" si="29"/>
        <v>23925</v>
      </c>
      <c r="T24" s="12">
        <f t="shared" si="29"/>
        <v>32267</v>
      </c>
      <c r="U24" s="12">
        <f t="shared" si="29"/>
        <v>34483</v>
      </c>
      <c r="V24" s="12">
        <f t="shared" si="29"/>
        <v>21557</v>
      </c>
      <c r="W24" s="12">
        <f t="shared" si="29"/>
        <v>10768</v>
      </c>
      <c r="X24" s="12">
        <f t="shared" si="29"/>
        <v>35984</v>
      </c>
      <c r="Y24" s="12">
        <f t="shared" si="29"/>
        <v>36161</v>
      </c>
      <c r="Z24" s="12">
        <f t="shared" si="29"/>
        <v>30568</v>
      </c>
      <c r="AA24" s="12">
        <f t="shared" si="29"/>
        <v>43859</v>
      </c>
      <c r="AB24" s="12">
        <f t="shared" si="29"/>
        <v>50874</v>
      </c>
      <c r="AC24" s="12">
        <f t="shared" si="29"/>
        <v>28049</v>
      </c>
      <c r="AD24" s="12">
        <f t="shared" si="29"/>
        <v>13472</v>
      </c>
      <c r="AE24" s="12">
        <f t="shared" si="29"/>
        <v>60714</v>
      </c>
      <c r="AF24" s="12">
        <f t="shared" si="29"/>
        <v>86870</v>
      </c>
      <c r="AG24" s="12">
        <f t="shared" si="29"/>
        <v>62094</v>
      </c>
      <c r="AH24" s="12">
        <f t="shared" si="29"/>
        <v>40688</v>
      </c>
      <c r="AI24" s="12">
        <f t="shared" si="29"/>
        <v>54903</v>
      </c>
      <c r="AJ24" s="12">
        <f t="shared" si="29"/>
        <v>-13901</v>
      </c>
      <c r="AK24" s="12">
        <f t="shared" si="29"/>
        <v>-13693</v>
      </c>
      <c r="AL24" s="12">
        <f t="shared" si="29"/>
        <v>42688</v>
      </c>
      <c r="AM24" s="12">
        <f t="shared" si="29"/>
        <v>101724</v>
      </c>
      <c r="AN24" s="12">
        <f t="shared" si="29"/>
        <v>79530</v>
      </c>
      <c r="AO24" s="12">
        <f t="shared" si="29"/>
        <v>61935</v>
      </c>
      <c r="AP24" s="12">
        <f t="shared" ref="AP24:AR24" si="30">SUM(AP10:AP23)</f>
        <v>78092</v>
      </c>
      <c r="AQ24" s="12">
        <f t="shared" si="30"/>
        <v>94401</v>
      </c>
      <c r="AR24" s="12">
        <f t="shared" si="30"/>
        <v>128572</v>
      </c>
      <c r="AS24" s="12">
        <f t="shared" ref="AS24:AT24" si="31">SUM(AS10:AS23)</f>
        <v>152956</v>
      </c>
      <c r="AT24" s="12">
        <f t="shared" si="31"/>
        <v>54449</v>
      </c>
      <c r="AU24" s="12">
        <f t="shared" ref="AU24:AV24" si="32">SUM(AU10:AU23)</f>
        <v>89121</v>
      </c>
      <c r="AV24" s="12">
        <f t="shared" si="32"/>
        <v>74429</v>
      </c>
      <c r="AW24" s="12">
        <f t="shared" ref="AW24:AX24" si="33">SUM(AW10:AW23)</f>
        <v>43582</v>
      </c>
      <c r="AX24" s="12">
        <f t="shared" si="33"/>
        <v>34678</v>
      </c>
      <c r="AY24" s="12">
        <f t="shared" ref="AY24:AZ24" si="34">SUM(AY10:AY23)</f>
        <v>67929</v>
      </c>
      <c r="AZ24" s="12">
        <f t="shared" si="34"/>
        <v>132319</v>
      </c>
      <c r="BA24" s="12">
        <f t="shared" ref="BA24:BF24" si="35">SUM(BA10:BA23)</f>
        <v>107107</v>
      </c>
      <c r="BB24" s="12">
        <f t="shared" si="35"/>
        <v>99503</v>
      </c>
      <c r="BC24" s="12">
        <f t="shared" si="35"/>
        <v>151276</v>
      </c>
      <c r="BD24" s="12">
        <f t="shared" si="35"/>
        <v>203373</v>
      </c>
      <c r="BE24" s="12">
        <f t="shared" si="35"/>
        <v>267048</v>
      </c>
      <c r="BF24" s="12">
        <f t="shared" si="35"/>
        <v>314106</v>
      </c>
      <c r="BG24" s="12">
        <f t="shared" ref="BG24:BI24" si="36">SUM(BG10:BG23)</f>
        <v>325534</v>
      </c>
      <c r="BH24" s="12">
        <f t="shared" ref="BH24" si="37">SUM(BH10:BH23)</f>
        <v>447295</v>
      </c>
      <c r="BI24" s="12">
        <f t="shared" si="36"/>
        <v>322916</v>
      </c>
      <c r="BJ24" s="12">
        <f t="shared" ref="BJ24:BM24" si="38">SUM(BJ10:BJ23)</f>
        <v>189176</v>
      </c>
      <c r="BK24" s="12">
        <f t="shared" si="38"/>
        <v>187381</v>
      </c>
      <c r="BL24" s="12">
        <f t="shared" si="38"/>
        <v>144277</v>
      </c>
      <c r="BM24" s="12">
        <f t="shared" si="38"/>
        <v>75853</v>
      </c>
      <c r="BN24" s="12">
        <f t="shared" ref="BN24:BO24" si="39">SUM(BN10:BN23)</f>
        <v>46753</v>
      </c>
      <c r="BO24" s="12">
        <f t="shared" si="39"/>
        <v>78481</v>
      </c>
      <c r="BP24" s="12">
        <f t="shared" ref="BP24:BR24" si="40">SUM(BP10:BP23)</f>
        <v>99506</v>
      </c>
      <c r="BQ24" s="12">
        <f t="shared" si="40"/>
        <v>126930</v>
      </c>
      <c r="BR24" s="12">
        <f t="shared" si="40"/>
        <v>47067</v>
      </c>
      <c r="BS24" s="2"/>
      <c r="BT24" s="12">
        <f t="shared" ref="BT24:BY24" si="41">SUM(BT10:BT23)</f>
        <v>394623</v>
      </c>
      <c r="BU24" s="12">
        <f t="shared" si="41"/>
        <v>17565</v>
      </c>
      <c r="BV24" s="12">
        <f t="shared" si="41"/>
        <v>144563</v>
      </c>
      <c r="BW24" s="12">
        <f t="shared" si="41"/>
        <v>96154</v>
      </c>
      <c r="BX24" s="12">
        <f t="shared" si="41"/>
        <v>112232</v>
      </c>
      <c r="BY24" s="12">
        <f t="shared" si="41"/>
        <v>113481</v>
      </c>
      <c r="BZ24" s="12">
        <f t="shared" si="6"/>
        <v>136254</v>
      </c>
      <c r="CA24" s="12">
        <f t="shared" si="7"/>
        <v>250366</v>
      </c>
      <c r="CB24" s="57">
        <f t="shared" si="8"/>
        <v>69997</v>
      </c>
      <c r="CC24" s="57">
        <f t="shared" si="9"/>
        <v>321281</v>
      </c>
      <c r="CD24" s="57">
        <f t="shared" si="10"/>
        <v>430378</v>
      </c>
      <c r="CE24" s="57">
        <f t="shared" si="12"/>
        <v>241810</v>
      </c>
      <c r="CF24" s="57">
        <f>SUM(AY24:BB24)</f>
        <v>406858</v>
      </c>
      <c r="CG24" s="57">
        <f>SUM(BC24:BF24)</f>
        <v>935803</v>
      </c>
      <c r="CH24" s="57">
        <f t="shared" si="14"/>
        <v>1284921</v>
      </c>
      <c r="CI24" s="57">
        <f t="shared" si="11"/>
        <v>454264</v>
      </c>
      <c r="CJ24" s="57">
        <f>SUM(BO24:BR24)</f>
        <v>351984</v>
      </c>
      <c r="CK24" s="81"/>
    </row>
    <row r="25" spans="2:90"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</row>
    <row r="26" spans="2:90"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90">
      <c r="R27" s="29"/>
      <c r="S27" s="23"/>
      <c r="T27" s="29"/>
      <c r="U27" s="23"/>
      <c r="V27" s="29"/>
      <c r="W27" s="23"/>
      <c r="X27" s="29"/>
      <c r="Y27" s="23"/>
      <c r="Z27" s="29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90">
      <c r="R28" s="24"/>
      <c r="S28" s="15"/>
      <c r="T28" s="15"/>
      <c r="U28" s="24"/>
      <c r="V28" s="24"/>
      <c r="W28" s="24"/>
      <c r="X28" s="24"/>
      <c r="Y28" s="24"/>
      <c r="Z28" s="25"/>
      <c r="AA28" s="23"/>
      <c r="AF28" s="23"/>
      <c r="AG28" s="23"/>
      <c r="AH28" s="23"/>
      <c r="AI28" s="23"/>
      <c r="AJ28" s="23"/>
      <c r="AK28" s="23"/>
      <c r="AL28" s="23"/>
      <c r="AN28" s="16"/>
      <c r="AO28" s="16"/>
      <c r="AP28" s="16"/>
      <c r="AQ28" s="16"/>
    </row>
    <row r="29" spans="2:90">
      <c r="AQ29" s="16"/>
      <c r="AR29" s="16"/>
      <c r="AX29" s="15"/>
      <c r="BS29" s="92"/>
    </row>
    <row r="30" spans="2:90">
      <c r="W30" s="15"/>
      <c r="Y30" s="15"/>
      <c r="AR30" s="22"/>
      <c r="AX30" s="15"/>
    </row>
    <row r="31" spans="2:90">
      <c r="C31" s="27"/>
      <c r="D31" s="28"/>
      <c r="E31" s="28"/>
      <c r="H31" s="26"/>
      <c r="I31" s="26"/>
      <c r="J31" s="26"/>
      <c r="K31" s="26"/>
      <c r="AR31" s="15"/>
      <c r="AS31" s="15"/>
      <c r="AX31" s="15"/>
      <c r="BM31" s="16"/>
      <c r="BN31" s="16"/>
      <c r="BO31" s="16"/>
      <c r="BP31" s="16"/>
      <c r="BQ31" s="16"/>
      <c r="BR31" s="16"/>
      <c r="BS31" s="15"/>
    </row>
    <row r="32" spans="2:90">
      <c r="C32" s="27"/>
      <c r="D32" s="28"/>
      <c r="E32" s="28"/>
      <c r="H32" s="26"/>
      <c r="I32" s="26"/>
      <c r="J32" s="26"/>
      <c r="K32" s="26"/>
      <c r="BN32" s="16"/>
      <c r="BO32" s="16"/>
      <c r="BP32" s="16"/>
      <c r="BQ32" s="16"/>
      <c r="BR32" s="16"/>
    </row>
    <row r="33" spans="8:50">
      <c r="H33" s="16"/>
      <c r="I33" s="16"/>
      <c r="J33" s="16"/>
      <c r="K33" s="16"/>
      <c r="AX33" s="15"/>
    </row>
    <row r="34" spans="8:50">
      <c r="H34" s="16"/>
      <c r="I34" s="16"/>
      <c r="J34" s="16"/>
      <c r="K34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0" max="1048575" man="1"/>
  </colBreaks>
  <ignoredErrors>
    <ignoredError sqref="BT23:CC23 BT7:CC14 BT16:CC16 CD11:CE11 CD7:CE7 CD8:CE8 CD9:CE9 CD10:CE10 CD23:CE23 CD12:CE12 CD13:CE13 CD14:CE14 CD15:CE15 CD16:CE16 CD17:CE17 CI11:CJ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CB65"/>
  <sheetViews>
    <sheetView showGridLines="0" showRowColHeaders="0" zoomScale="80" zoomScaleNormal="80" zoomScaleSheetLayoutView="85" workbookViewId="0">
      <pane xSplit="2" ySplit="6" topLeftCell="BF7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6" width="12.42578125" bestFit="1" customWidth="1"/>
    <col min="67" max="69" width="12.42578125" hidden="1" customWidth="1"/>
    <col min="70" max="70" width="12.42578125" customWidth="1"/>
    <col min="74" max="74" width="11.140625" bestFit="1" customWidth="1"/>
    <col min="76" max="76" width="11.140625" bestFit="1" customWidth="1"/>
    <col min="78" max="78" width="11.140625" bestFit="1" customWidth="1"/>
  </cols>
  <sheetData>
    <row r="3" spans="2:80" ht="25.5" customHeight="1">
      <c r="B3" s="6" t="s">
        <v>225</v>
      </c>
    </row>
    <row r="4" spans="2:80">
      <c r="B4" s="6" t="s">
        <v>167</v>
      </c>
    </row>
    <row r="5" spans="2:80" s="19" customFormat="1" ht="7.5" customHeight="1" thickBot="1"/>
    <row r="6" spans="2:80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194</v>
      </c>
      <c r="AZ6" s="8" t="s">
        <v>199</v>
      </c>
      <c r="BA6" s="8" t="s">
        <v>201</v>
      </c>
      <c r="BB6" s="8">
        <v>2020</v>
      </c>
      <c r="BC6" s="8" t="s">
        <v>208</v>
      </c>
      <c r="BD6" s="8" t="s">
        <v>209</v>
      </c>
      <c r="BE6" s="8" t="s">
        <v>211</v>
      </c>
      <c r="BF6" s="8">
        <v>2021</v>
      </c>
      <c r="BG6" s="8" t="s">
        <v>214</v>
      </c>
      <c r="BH6" s="8" t="s">
        <v>216</v>
      </c>
      <c r="BI6" s="8" t="s">
        <v>218</v>
      </c>
      <c r="BJ6" s="8">
        <v>2022</v>
      </c>
      <c r="BK6" s="8" t="s">
        <v>220</v>
      </c>
      <c r="BL6" s="8" t="s">
        <v>221</v>
      </c>
      <c r="BM6" s="8" t="s">
        <v>222</v>
      </c>
      <c r="BN6" s="8">
        <v>2023</v>
      </c>
      <c r="BO6" s="8" t="s">
        <v>228</v>
      </c>
      <c r="BP6" s="8" t="s">
        <v>230</v>
      </c>
      <c r="BQ6" s="8" t="s">
        <v>232</v>
      </c>
      <c r="BR6" s="8">
        <v>2024</v>
      </c>
    </row>
    <row r="7" spans="2:80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:BM7" si="6">SUM(BL8:BL14)</f>
        <v>1768903</v>
      </c>
      <c r="BM7" s="98">
        <f t="shared" si="6"/>
        <v>1686372</v>
      </c>
      <c r="BN7" s="98">
        <f t="shared" ref="BN7:BO7" si="7">SUM(BN8:BN14)</f>
        <v>1584250</v>
      </c>
      <c r="BO7" s="98">
        <f t="shared" si="7"/>
        <v>1516468</v>
      </c>
      <c r="BP7" s="98">
        <f t="shared" ref="BP7:BR7" si="8">SUM(BP8:BP14)</f>
        <v>1617572</v>
      </c>
      <c r="BQ7" s="98">
        <f t="shared" si="8"/>
        <v>1808627</v>
      </c>
      <c r="BR7" s="98">
        <f t="shared" si="8"/>
        <v>1745724</v>
      </c>
    </row>
    <row r="8" spans="2:80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  <c r="BM8" s="101">
        <v>475611</v>
      </c>
      <c r="BN8" s="101">
        <v>341787</v>
      </c>
      <c r="BO8" s="101">
        <v>290972</v>
      </c>
      <c r="BP8" s="101">
        <v>388908</v>
      </c>
      <c r="BQ8" s="101">
        <v>468338</v>
      </c>
      <c r="BR8" s="101">
        <v>464086</v>
      </c>
    </row>
    <row r="9" spans="2:80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  <c r="BM9" s="101">
        <v>489214</v>
      </c>
      <c r="BN9" s="101">
        <v>463299</v>
      </c>
      <c r="BO9" s="101">
        <v>408252</v>
      </c>
      <c r="BP9" s="101">
        <v>366703</v>
      </c>
      <c r="BQ9" s="101">
        <v>362294</v>
      </c>
      <c r="BR9" s="101">
        <v>382660</v>
      </c>
    </row>
    <row r="10" spans="2:80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  <c r="BM10" s="101">
        <v>172193</v>
      </c>
      <c r="BN10" s="101">
        <v>197566</v>
      </c>
      <c r="BO10" s="101">
        <v>184444</v>
      </c>
      <c r="BP10" s="101">
        <v>175475</v>
      </c>
      <c r="BQ10" s="101">
        <v>235250</v>
      </c>
      <c r="BR10" s="101">
        <v>200707</v>
      </c>
    </row>
    <row r="11" spans="2:80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  <c r="BM11" s="101">
        <v>509805</v>
      </c>
      <c r="BN11" s="101">
        <v>519147</v>
      </c>
      <c r="BO11" s="101">
        <v>558588</v>
      </c>
      <c r="BP11" s="101">
        <v>603802</v>
      </c>
      <c r="BQ11" s="101">
        <v>653358</v>
      </c>
      <c r="BR11" s="101">
        <v>556125</v>
      </c>
    </row>
    <row r="12" spans="2:80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  <c r="BM12" s="101">
        <v>24328</v>
      </c>
      <c r="BN12" s="101">
        <v>44615</v>
      </c>
      <c r="BO12" s="101">
        <v>55334</v>
      </c>
      <c r="BP12" s="101">
        <v>60264</v>
      </c>
      <c r="BQ12" s="101">
        <v>57063</v>
      </c>
      <c r="BR12" s="101">
        <v>120949</v>
      </c>
    </row>
    <row r="13" spans="2:80">
      <c r="B13" s="3" t="s">
        <v>210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</row>
    <row r="14" spans="2:80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  <c r="BM14" s="101">
        <f>11296+667+3258</f>
        <v>15221</v>
      </c>
      <c r="BN14" s="101">
        <f>11631+167+6038</f>
        <v>17836</v>
      </c>
      <c r="BO14" s="101">
        <f>5089+13789</f>
        <v>18878</v>
      </c>
      <c r="BP14" s="101">
        <f>17258+5162</f>
        <v>22420</v>
      </c>
      <c r="BQ14" s="101">
        <f>5085+27239</f>
        <v>32324</v>
      </c>
      <c r="BR14" s="101">
        <f>2901+18296</f>
        <v>21197</v>
      </c>
    </row>
    <row r="15" spans="2:80" ht="15.75" thickBot="1">
      <c r="B15" s="9" t="s">
        <v>74</v>
      </c>
      <c r="C15" s="98">
        <f t="shared" ref="C15:AY15" si="9">SUM(C16:C26)</f>
        <v>268728</v>
      </c>
      <c r="D15" s="98">
        <f t="shared" si="9"/>
        <v>290034</v>
      </c>
      <c r="E15" s="98">
        <f t="shared" si="9"/>
        <v>303672</v>
      </c>
      <c r="F15" s="98">
        <f t="shared" si="9"/>
        <v>323645</v>
      </c>
      <c r="G15" s="98">
        <f t="shared" si="9"/>
        <v>326934</v>
      </c>
      <c r="H15" s="98">
        <f t="shared" si="9"/>
        <v>339064</v>
      </c>
      <c r="I15" s="98">
        <f t="shared" si="9"/>
        <v>341017</v>
      </c>
      <c r="J15" s="98">
        <f t="shared" si="9"/>
        <v>449781</v>
      </c>
      <c r="K15" s="98">
        <f t="shared" si="9"/>
        <v>459649</v>
      </c>
      <c r="L15" s="98">
        <f t="shared" si="9"/>
        <v>459274</v>
      </c>
      <c r="M15" s="98">
        <f t="shared" si="9"/>
        <v>459424</v>
      </c>
      <c r="N15" s="98">
        <f t="shared" si="9"/>
        <v>491387</v>
      </c>
      <c r="O15" s="98">
        <f t="shared" si="9"/>
        <v>508240</v>
      </c>
      <c r="P15" s="98">
        <f t="shared" si="9"/>
        <v>531228</v>
      </c>
      <c r="Q15" s="98">
        <f t="shared" si="9"/>
        <v>567956</v>
      </c>
      <c r="R15" s="98">
        <f t="shared" si="9"/>
        <v>591446</v>
      </c>
      <c r="S15" s="98">
        <f t="shared" si="9"/>
        <v>619020</v>
      </c>
      <c r="T15" s="98">
        <f t="shared" si="9"/>
        <v>648479</v>
      </c>
      <c r="U15" s="98">
        <f t="shared" si="9"/>
        <v>673149</v>
      </c>
      <c r="V15" s="98">
        <f t="shared" si="9"/>
        <v>677964</v>
      </c>
      <c r="W15" s="98">
        <f t="shared" si="9"/>
        <v>706041</v>
      </c>
      <c r="X15" s="98">
        <f t="shared" si="9"/>
        <v>721724</v>
      </c>
      <c r="Y15" s="98">
        <f t="shared" si="9"/>
        <v>735336</v>
      </c>
      <c r="Z15" s="98">
        <f t="shared" si="9"/>
        <v>750776</v>
      </c>
      <c r="AA15" s="98">
        <f t="shared" si="9"/>
        <v>756868</v>
      </c>
      <c r="AB15" s="98">
        <f t="shared" si="9"/>
        <v>761764</v>
      </c>
      <c r="AC15" s="98">
        <f t="shared" si="9"/>
        <v>775958</v>
      </c>
      <c r="AD15" s="98">
        <f t="shared" si="9"/>
        <v>780705</v>
      </c>
      <c r="AE15" s="98">
        <f t="shared" si="9"/>
        <v>802352</v>
      </c>
      <c r="AF15" s="98">
        <f t="shared" si="9"/>
        <v>809341</v>
      </c>
      <c r="AG15" s="98">
        <f t="shared" si="9"/>
        <v>848158</v>
      </c>
      <c r="AH15" s="98">
        <f t="shared" si="9"/>
        <v>967688</v>
      </c>
      <c r="AI15" s="98">
        <f t="shared" si="9"/>
        <v>951271</v>
      </c>
      <c r="AJ15" s="98">
        <f t="shared" si="9"/>
        <v>939877</v>
      </c>
      <c r="AK15" s="98">
        <f t="shared" si="9"/>
        <v>947461</v>
      </c>
      <c r="AL15" s="98">
        <f t="shared" si="9"/>
        <v>999315</v>
      </c>
      <c r="AM15" s="98">
        <f t="shared" si="9"/>
        <v>968251</v>
      </c>
      <c r="AN15" s="98">
        <f t="shared" si="9"/>
        <v>970036</v>
      </c>
      <c r="AO15" s="98">
        <f t="shared" si="9"/>
        <v>974748</v>
      </c>
      <c r="AP15" s="98">
        <f t="shared" si="9"/>
        <v>968082</v>
      </c>
      <c r="AQ15" s="98">
        <f t="shared" si="9"/>
        <v>967379</v>
      </c>
      <c r="AR15" s="98">
        <f t="shared" si="9"/>
        <v>1800534</v>
      </c>
      <c r="AS15" s="98">
        <f t="shared" si="9"/>
        <v>1863462</v>
      </c>
      <c r="AT15" s="98">
        <f t="shared" si="9"/>
        <v>1849502</v>
      </c>
      <c r="AU15" s="98">
        <f t="shared" si="9"/>
        <v>1858490</v>
      </c>
      <c r="AV15" s="98">
        <f t="shared" si="9"/>
        <v>1849386</v>
      </c>
      <c r="AW15" s="98">
        <f t="shared" si="9"/>
        <v>1946006</v>
      </c>
      <c r="AX15" s="98">
        <f t="shared" si="9"/>
        <v>2052691</v>
      </c>
      <c r="AY15" s="98">
        <f t="shared" si="9"/>
        <v>2072402</v>
      </c>
      <c r="AZ15" s="98">
        <f t="shared" ref="AZ15:BA15" si="10">SUM(AZ16:AZ26)</f>
        <v>2044278</v>
      </c>
      <c r="BA15" s="98">
        <f t="shared" si="10"/>
        <v>2028472</v>
      </c>
      <c r="BB15" s="98">
        <f t="shared" ref="BB15:BC15" si="11">SUM(BB16:BB26)</f>
        <v>2042444</v>
      </c>
      <c r="BC15" s="98">
        <f t="shared" si="11"/>
        <v>1964864</v>
      </c>
      <c r="BD15" s="98">
        <f t="shared" ref="BD15:BE15" si="12">SUM(BD16:BD26)</f>
        <v>1878118</v>
      </c>
      <c r="BE15" s="98">
        <f t="shared" si="12"/>
        <v>1881264</v>
      </c>
      <c r="BF15" s="98">
        <f t="shared" ref="BF15:BG15" si="13">SUM(BF16:BF26)</f>
        <v>1994728</v>
      </c>
      <c r="BG15" s="98">
        <f t="shared" si="13"/>
        <v>2031882</v>
      </c>
      <c r="BH15" s="98">
        <f t="shared" ref="BH15:BM15" si="14">SUM(BH16:BH26)</f>
        <v>2133918</v>
      </c>
      <c r="BI15" s="98">
        <f t="shared" si="14"/>
        <v>2262591</v>
      </c>
      <c r="BJ15" s="98">
        <f t="shared" si="14"/>
        <v>2372438</v>
      </c>
      <c r="BK15" s="98">
        <f t="shared" si="14"/>
        <v>2304564</v>
      </c>
      <c r="BL15" s="98">
        <f t="shared" si="14"/>
        <v>2362629</v>
      </c>
      <c r="BM15" s="98">
        <f t="shared" si="14"/>
        <v>2450437</v>
      </c>
      <c r="BN15" s="98">
        <f t="shared" ref="BN15:BO15" si="15">SUM(BN16:BN26)</f>
        <v>2526447</v>
      </c>
      <c r="BO15" s="98">
        <f t="shared" si="15"/>
        <v>2574375</v>
      </c>
      <c r="BP15" s="98">
        <f t="shared" ref="BP15:BR15" si="16">SUM(BP16:BP26)</f>
        <v>2558394</v>
      </c>
      <c r="BQ15" s="98">
        <f t="shared" si="16"/>
        <v>2531334</v>
      </c>
      <c r="BR15" s="98">
        <f t="shared" si="16"/>
        <v>2642156</v>
      </c>
    </row>
    <row r="16" spans="2:80" s="102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U16"/>
      <c r="BV16"/>
      <c r="BW16"/>
      <c r="BX16"/>
      <c r="BY16"/>
      <c r="BZ16"/>
      <c r="CA16"/>
      <c r="CB16"/>
    </row>
    <row r="17" spans="2:80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  <c r="BP17" s="21">
        <v>291374</v>
      </c>
      <c r="BQ17" s="21">
        <v>236327</v>
      </c>
      <c r="BR17" s="21">
        <v>286910</v>
      </c>
    </row>
    <row r="18" spans="2:80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  <c r="BP18" s="21">
        <v>8051</v>
      </c>
      <c r="BQ18" s="21">
        <v>3396</v>
      </c>
      <c r="BR18" s="21">
        <v>3396</v>
      </c>
    </row>
    <row r="19" spans="2:80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  <c r="BP19" s="21">
        <v>6039</v>
      </c>
      <c r="BQ19" s="21">
        <v>6018</v>
      </c>
      <c r="BR19" s="21">
        <v>7209</v>
      </c>
    </row>
    <row r="20" spans="2:80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U20"/>
      <c r="BV20"/>
      <c r="BW20"/>
      <c r="BX20"/>
      <c r="BY20"/>
      <c r="BZ20"/>
      <c r="CA20"/>
      <c r="CB20"/>
    </row>
    <row r="21" spans="2:80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  <c r="BP21" s="21">
        <v>9323</v>
      </c>
      <c r="BQ21" s="21">
        <v>9484</v>
      </c>
      <c r="BR21" s="21">
        <v>9673</v>
      </c>
    </row>
    <row r="22" spans="2:80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  <c r="BP22" s="21">
        <v>897</v>
      </c>
      <c r="BQ22" s="21">
        <v>897</v>
      </c>
      <c r="BR22" s="21">
        <v>724</v>
      </c>
    </row>
    <row r="23" spans="2:80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  <c r="BP23" s="21">
        <v>39251</v>
      </c>
      <c r="BQ23" s="21">
        <v>39932</v>
      </c>
      <c r="BR23" s="21">
        <v>66886</v>
      </c>
    </row>
    <row r="24" spans="2:80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  <c r="BP24" s="21">
        <v>1698086</v>
      </c>
      <c r="BQ24" s="21">
        <v>1752240</v>
      </c>
      <c r="BR24" s="21">
        <v>1751792</v>
      </c>
    </row>
    <row r="25" spans="2:80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  <c r="BP25" s="21">
        <v>139009</v>
      </c>
      <c r="BQ25" s="21">
        <v>102496</v>
      </c>
      <c r="BR25" s="21">
        <v>89973</v>
      </c>
    </row>
    <row r="26" spans="2:80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  <c r="BP26" s="21">
        <v>366364</v>
      </c>
      <c r="BQ26" s="21">
        <v>380544</v>
      </c>
      <c r="BR26" s="21">
        <v>425593</v>
      </c>
    </row>
    <row r="27" spans="2:80" ht="15.75" thickBot="1">
      <c r="B27" s="9" t="s">
        <v>73</v>
      </c>
      <c r="C27" s="9">
        <f t="shared" ref="C27:AH27" si="17">C7+C15</f>
        <v>701272</v>
      </c>
      <c r="D27" s="9">
        <f t="shared" si="17"/>
        <v>835449</v>
      </c>
      <c r="E27" s="9">
        <f t="shared" si="17"/>
        <v>928290</v>
      </c>
      <c r="F27" s="9">
        <f t="shared" si="17"/>
        <v>988741</v>
      </c>
      <c r="G27" s="9">
        <f t="shared" si="17"/>
        <v>992372</v>
      </c>
      <c r="H27" s="9">
        <f t="shared" si="17"/>
        <v>943330</v>
      </c>
      <c r="I27" s="9">
        <f t="shared" si="17"/>
        <v>969721</v>
      </c>
      <c r="J27" s="9">
        <f t="shared" si="17"/>
        <v>1073124</v>
      </c>
      <c r="K27" s="9">
        <f t="shared" si="17"/>
        <v>1109609</v>
      </c>
      <c r="L27" s="9">
        <f t="shared" si="17"/>
        <v>1145386</v>
      </c>
      <c r="M27" s="9">
        <f t="shared" si="17"/>
        <v>1153781</v>
      </c>
      <c r="N27" s="9">
        <f t="shared" si="17"/>
        <v>1188843</v>
      </c>
      <c r="O27" s="9">
        <f t="shared" si="17"/>
        <v>1195140</v>
      </c>
      <c r="P27" s="9">
        <f t="shared" si="17"/>
        <v>1212254</v>
      </c>
      <c r="Q27" s="9">
        <f t="shared" si="17"/>
        <v>1278056</v>
      </c>
      <c r="R27" s="9">
        <f t="shared" si="17"/>
        <v>1254333</v>
      </c>
      <c r="S27" s="9">
        <f t="shared" si="17"/>
        <v>1255242</v>
      </c>
      <c r="T27" s="9">
        <f t="shared" si="17"/>
        <v>1299358</v>
      </c>
      <c r="U27" s="9">
        <f t="shared" si="17"/>
        <v>1307091</v>
      </c>
      <c r="V27" s="9">
        <f t="shared" si="17"/>
        <v>1307001</v>
      </c>
      <c r="W27" s="9">
        <f t="shared" si="17"/>
        <v>1313983</v>
      </c>
      <c r="X27" s="9">
        <f t="shared" si="17"/>
        <v>1329679</v>
      </c>
      <c r="Y27" s="9">
        <f t="shared" si="17"/>
        <v>1359871</v>
      </c>
      <c r="Z27" s="9">
        <f t="shared" si="17"/>
        <v>1381796</v>
      </c>
      <c r="AA27" s="9">
        <f t="shared" si="17"/>
        <v>1401217</v>
      </c>
      <c r="AB27" s="9">
        <f t="shared" si="17"/>
        <v>1422974</v>
      </c>
      <c r="AC27" s="9">
        <f t="shared" si="17"/>
        <v>1430528</v>
      </c>
      <c r="AD27" s="9">
        <f t="shared" si="17"/>
        <v>1461529</v>
      </c>
      <c r="AE27" s="9">
        <f t="shared" si="17"/>
        <v>1493702</v>
      </c>
      <c r="AF27" s="9">
        <f t="shared" si="17"/>
        <v>1566969</v>
      </c>
      <c r="AG27" s="9">
        <f t="shared" si="17"/>
        <v>1647586</v>
      </c>
      <c r="AH27" s="9">
        <f t="shared" si="17"/>
        <v>1645142</v>
      </c>
      <c r="AI27" s="9">
        <f t="shared" ref="AI27:AY27" si="18">AI7+AI15</f>
        <v>1602362</v>
      </c>
      <c r="AJ27" s="9">
        <f t="shared" si="18"/>
        <v>1570294</v>
      </c>
      <c r="AK27" s="9">
        <f t="shared" si="18"/>
        <v>1568629</v>
      </c>
      <c r="AL27" s="9">
        <f t="shared" si="18"/>
        <v>1657620</v>
      </c>
      <c r="AM27" s="9">
        <f t="shared" si="18"/>
        <v>1690878</v>
      </c>
      <c r="AN27" s="9">
        <f t="shared" si="18"/>
        <v>1763806</v>
      </c>
      <c r="AO27" s="9">
        <f t="shared" si="18"/>
        <v>1804878</v>
      </c>
      <c r="AP27" s="9">
        <f t="shared" si="18"/>
        <v>1856461</v>
      </c>
      <c r="AQ27" s="9">
        <f t="shared" si="18"/>
        <v>1919165</v>
      </c>
      <c r="AR27" s="9">
        <f t="shared" si="18"/>
        <v>2504137</v>
      </c>
      <c r="AS27" s="9">
        <f t="shared" si="18"/>
        <v>2655783</v>
      </c>
      <c r="AT27" s="9">
        <f t="shared" si="18"/>
        <v>2659910</v>
      </c>
      <c r="AU27" s="9">
        <f t="shared" si="18"/>
        <v>2713928</v>
      </c>
      <c r="AV27" s="9">
        <f t="shared" si="18"/>
        <v>2644938</v>
      </c>
      <c r="AW27" s="12">
        <f t="shared" si="18"/>
        <v>2805564</v>
      </c>
      <c r="AX27" s="12">
        <f t="shared" si="18"/>
        <v>2746444</v>
      </c>
      <c r="AY27" s="12">
        <f t="shared" si="18"/>
        <v>2838601</v>
      </c>
      <c r="AZ27" s="12">
        <f t="shared" ref="AZ27:BA27" si="19">AZ7+AZ15</f>
        <v>2934102</v>
      </c>
      <c r="BA27" s="12">
        <f t="shared" si="19"/>
        <v>2891267</v>
      </c>
      <c r="BB27" s="12">
        <f t="shared" ref="BB27:BC27" si="20">BB7+BB15</f>
        <v>2817187</v>
      </c>
      <c r="BC27" s="12">
        <f t="shared" si="20"/>
        <v>2831794</v>
      </c>
      <c r="BD27" s="12">
        <f t="shared" ref="BD27:BE27" si="21">BD7+BD15</f>
        <v>2904638</v>
      </c>
      <c r="BE27" s="12">
        <f t="shared" si="21"/>
        <v>3126686</v>
      </c>
      <c r="BF27" s="12">
        <f t="shared" ref="BF27:BG27" si="22">BF7+BF15</f>
        <v>3396582</v>
      </c>
      <c r="BG27" s="12">
        <f t="shared" si="22"/>
        <v>3583193</v>
      </c>
      <c r="BH27" s="12">
        <f t="shared" ref="BH27:BI27" si="23">BH7+BH15</f>
        <v>3808082</v>
      </c>
      <c r="BI27" s="12">
        <f t="shared" si="23"/>
        <v>3972032</v>
      </c>
      <c r="BJ27" s="12">
        <f t="shared" ref="BJ27:BK27" si="24">BJ7+BJ15</f>
        <v>4067385</v>
      </c>
      <c r="BK27" s="12">
        <f t="shared" si="24"/>
        <v>4127741</v>
      </c>
      <c r="BL27" s="12">
        <f t="shared" ref="BL27:BM27" si="25">BL7+BL15</f>
        <v>4131532</v>
      </c>
      <c r="BM27" s="12">
        <f t="shared" si="25"/>
        <v>4136809</v>
      </c>
      <c r="BN27" s="12">
        <f t="shared" ref="BN27:BO27" si="26">BN7+BN15</f>
        <v>4110697</v>
      </c>
      <c r="BO27" s="12">
        <f t="shared" si="26"/>
        <v>4090843</v>
      </c>
      <c r="BP27" s="12">
        <f t="shared" ref="BP27:BR27" si="27">BP7+BP15</f>
        <v>4175966</v>
      </c>
      <c r="BQ27" s="12">
        <f t="shared" si="27"/>
        <v>4339961</v>
      </c>
      <c r="BR27" s="12">
        <f t="shared" si="27"/>
        <v>4387880</v>
      </c>
    </row>
    <row r="29" spans="2:80" ht="15.75" thickBot="1"/>
    <row r="30" spans="2:80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8">AT6</f>
        <v>2018</v>
      </c>
      <c r="AU30" s="8" t="str">
        <f t="shared" si="28"/>
        <v>1T19</v>
      </c>
      <c r="AV30" s="8" t="str">
        <f t="shared" si="28"/>
        <v>2T19</v>
      </c>
      <c r="AW30" s="8" t="str">
        <f t="shared" si="28"/>
        <v>3T19</v>
      </c>
      <c r="AX30" s="8">
        <f t="shared" si="28"/>
        <v>2019</v>
      </c>
      <c r="AY30" s="8" t="str">
        <f t="shared" si="28"/>
        <v>1T20</v>
      </c>
      <c r="AZ30" s="8" t="str">
        <f t="shared" ref="AZ30:BA30" si="29">AZ6</f>
        <v>2T20</v>
      </c>
      <c r="BA30" s="8" t="str">
        <f t="shared" si="29"/>
        <v>3T20</v>
      </c>
      <c r="BB30" s="8">
        <f t="shared" ref="BB30:BC30" si="30">BB6</f>
        <v>2020</v>
      </c>
      <c r="BC30" s="8" t="str">
        <f t="shared" si="30"/>
        <v>1T21</v>
      </c>
      <c r="BD30" s="8" t="str">
        <f t="shared" ref="BD30:BE30" si="31">BD6</f>
        <v>2T21</v>
      </c>
      <c r="BE30" s="8" t="str">
        <f t="shared" si="31"/>
        <v>3T21</v>
      </c>
      <c r="BF30" s="8">
        <f t="shared" ref="BF30:BG30" si="32">BF6</f>
        <v>2021</v>
      </c>
      <c r="BG30" s="8" t="str">
        <f t="shared" si="32"/>
        <v>1T22</v>
      </c>
      <c r="BH30" s="8" t="str">
        <f t="shared" ref="BH30:BI30" si="33">BH6</f>
        <v>2T22</v>
      </c>
      <c r="BI30" s="8" t="str">
        <f t="shared" si="33"/>
        <v>3T22</v>
      </c>
      <c r="BJ30" s="8">
        <f t="shared" ref="BJ30:BK30" si="34">BJ6</f>
        <v>2022</v>
      </c>
      <c r="BK30" s="8" t="str">
        <f t="shared" si="34"/>
        <v>1T23</v>
      </c>
      <c r="BL30" s="8" t="str">
        <f t="shared" ref="BL30:BM30" si="35">BL6</f>
        <v>2T23</v>
      </c>
      <c r="BM30" s="8" t="str">
        <f t="shared" si="35"/>
        <v>3T23</v>
      </c>
      <c r="BN30" s="8">
        <f t="shared" ref="BN30:BO30" si="36">BN6</f>
        <v>2023</v>
      </c>
      <c r="BO30" s="8" t="str">
        <f t="shared" si="36"/>
        <v>1T24</v>
      </c>
      <c r="BP30" s="8" t="str">
        <f t="shared" ref="BP30:BQ30" si="37">BP6</f>
        <v>2T24</v>
      </c>
      <c r="BQ30" s="8" t="str">
        <f t="shared" si="37"/>
        <v>3T24</v>
      </c>
      <c r="BR30" s="8">
        <f>BR6</f>
        <v>2024</v>
      </c>
    </row>
    <row r="31" spans="2:80" ht="15.75" thickBot="1">
      <c r="B31" s="9" t="s">
        <v>2</v>
      </c>
      <c r="C31" s="9">
        <f t="shared" ref="C31:AY31" si="38">SUM(C32:C42)</f>
        <v>61782</v>
      </c>
      <c r="D31" s="9">
        <f t="shared" si="38"/>
        <v>75814</v>
      </c>
      <c r="E31" s="9">
        <f t="shared" si="38"/>
        <v>84732</v>
      </c>
      <c r="F31" s="9">
        <f t="shared" si="38"/>
        <v>123643</v>
      </c>
      <c r="G31" s="9">
        <f t="shared" si="38"/>
        <v>110164</v>
      </c>
      <c r="H31" s="9">
        <f t="shared" si="38"/>
        <v>51244</v>
      </c>
      <c r="I31" s="9">
        <f t="shared" si="38"/>
        <v>79523</v>
      </c>
      <c r="J31" s="9">
        <f t="shared" si="38"/>
        <v>98593</v>
      </c>
      <c r="K31" s="9">
        <f t="shared" si="38"/>
        <v>114362</v>
      </c>
      <c r="L31" s="9">
        <f t="shared" si="38"/>
        <v>102666</v>
      </c>
      <c r="M31" s="9">
        <f t="shared" si="38"/>
        <v>79326</v>
      </c>
      <c r="N31" s="9">
        <f t="shared" si="38"/>
        <v>110734</v>
      </c>
      <c r="O31" s="9">
        <f t="shared" si="38"/>
        <v>76361</v>
      </c>
      <c r="P31" s="9">
        <f t="shared" si="38"/>
        <v>70424</v>
      </c>
      <c r="Q31" s="9">
        <f t="shared" si="38"/>
        <v>124449</v>
      </c>
      <c r="R31" s="9">
        <f t="shared" si="38"/>
        <v>106313</v>
      </c>
      <c r="S31" s="9">
        <f t="shared" si="38"/>
        <v>82941</v>
      </c>
      <c r="T31" s="9">
        <f t="shared" si="38"/>
        <v>97135</v>
      </c>
      <c r="U31" s="9">
        <f t="shared" si="38"/>
        <v>76365</v>
      </c>
      <c r="V31" s="9">
        <f t="shared" si="38"/>
        <v>91164</v>
      </c>
      <c r="W31" s="9">
        <f t="shared" si="38"/>
        <v>84483</v>
      </c>
      <c r="X31" s="9">
        <f t="shared" si="38"/>
        <v>76999</v>
      </c>
      <c r="Y31" s="9">
        <f t="shared" si="38"/>
        <v>84843</v>
      </c>
      <c r="Z31" s="9">
        <f t="shared" si="38"/>
        <v>98928</v>
      </c>
      <c r="AA31" s="9">
        <f t="shared" si="38"/>
        <v>91618</v>
      </c>
      <c r="AB31" s="9">
        <f t="shared" si="38"/>
        <v>86101</v>
      </c>
      <c r="AC31" s="9">
        <f t="shared" si="38"/>
        <v>92193</v>
      </c>
      <c r="AD31" s="9">
        <f t="shared" si="38"/>
        <v>114270</v>
      </c>
      <c r="AE31" s="9">
        <f t="shared" si="38"/>
        <v>133939</v>
      </c>
      <c r="AF31" s="9">
        <f t="shared" si="38"/>
        <v>118304</v>
      </c>
      <c r="AG31" s="9">
        <f t="shared" si="38"/>
        <v>252695</v>
      </c>
      <c r="AH31" s="9">
        <f t="shared" si="38"/>
        <v>225931</v>
      </c>
      <c r="AI31" s="9">
        <f t="shared" si="38"/>
        <v>136935</v>
      </c>
      <c r="AJ31" s="9">
        <f t="shared" si="38"/>
        <v>102351</v>
      </c>
      <c r="AK31" s="9">
        <f t="shared" si="38"/>
        <v>97599</v>
      </c>
      <c r="AL31" s="9">
        <f t="shared" si="38"/>
        <v>173712</v>
      </c>
      <c r="AM31" s="9">
        <f t="shared" si="38"/>
        <v>121172</v>
      </c>
      <c r="AN31" s="9">
        <f t="shared" si="38"/>
        <v>126060</v>
      </c>
      <c r="AO31" s="9">
        <f t="shared" si="38"/>
        <v>139863</v>
      </c>
      <c r="AP31" s="9">
        <f t="shared" si="38"/>
        <v>169103</v>
      </c>
      <c r="AQ31" s="9">
        <f t="shared" si="38"/>
        <v>165885</v>
      </c>
      <c r="AR31" s="9">
        <f t="shared" si="38"/>
        <v>258617</v>
      </c>
      <c r="AS31" s="9">
        <f t="shared" si="38"/>
        <v>251870</v>
      </c>
      <c r="AT31" s="9">
        <f t="shared" si="38"/>
        <v>260073</v>
      </c>
      <c r="AU31" s="9">
        <f t="shared" si="38"/>
        <v>249738</v>
      </c>
      <c r="AV31" s="9">
        <f t="shared" si="38"/>
        <v>237154</v>
      </c>
      <c r="AW31" s="9">
        <f t="shared" si="38"/>
        <v>285728</v>
      </c>
      <c r="AX31" s="9">
        <f t="shared" si="38"/>
        <v>256051</v>
      </c>
      <c r="AY31" s="9">
        <f t="shared" si="38"/>
        <v>466283</v>
      </c>
      <c r="AZ31" s="9">
        <f t="shared" ref="AZ31:BA31" si="39">SUM(AZ32:AZ42)</f>
        <v>529727</v>
      </c>
      <c r="BA31" s="9">
        <f t="shared" si="39"/>
        <v>499536</v>
      </c>
      <c r="BB31" s="9">
        <f t="shared" ref="BB31:BC31" si="40">SUM(BB32:BB42)</f>
        <v>424239</v>
      </c>
      <c r="BC31" s="9">
        <f t="shared" si="40"/>
        <v>407636</v>
      </c>
      <c r="BD31" s="9">
        <f t="shared" ref="BD31:BE31" si="41">SUM(BD32:BD42)</f>
        <v>324550</v>
      </c>
      <c r="BE31" s="9">
        <f t="shared" si="41"/>
        <v>374123</v>
      </c>
      <c r="BF31" s="9">
        <f t="shared" ref="BF31:BG31" si="42">SUM(BF32:BF42)</f>
        <v>474737</v>
      </c>
      <c r="BG31" s="9">
        <f t="shared" si="42"/>
        <v>416880</v>
      </c>
      <c r="BH31" s="9">
        <f t="shared" ref="BH31:BI31" si="43">SUM(BH32:BH42)</f>
        <v>428484</v>
      </c>
      <c r="BI31" s="9">
        <f t="shared" si="43"/>
        <v>434079</v>
      </c>
      <c r="BJ31" s="9">
        <f t="shared" ref="BJ31:BK31" si="44">SUM(BJ32:BJ42)</f>
        <v>505951</v>
      </c>
      <c r="BK31" s="9">
        <f t="shared" si="44"/>
        <v>437323</v>
      </c>
      <c r="BL31" s="9">
        <f t="shared" ref="BL31:BM31" si="45">SUM(BL32:BL42)</f>
        <v>421105</v>
      </c>
      <c r="BM31" s="9">
        <f t="shared" si="45"/>
        <v>468214</v>
      </c>
      <c r="BN31" s="9">
        <f t="shared" ref="BN31:BO31" si="46">SUM(BN32:BN42)</f>
        <v>499147</v>
      </c>
      <c r="BO31" s="9">
        <f t="shared" si="46"/>
        <v>397416</v>
      </c>
      <c r="BP31" s="9">
        <f t="shared" ref="BP31:BR31" si="47">SUM(BP32:BP42)</f>
        <v>455223</v>
      </c>
      <c r="BQ31" s="9">
        <f t="shared" si="47"/>
        <v>557465</v>
      </c>
      <c r="BR31" s="9">
        <f t="shared" si="47"/>
        <v>652462</v>
      </c>
      <c r="BT31" s="18"/>
    </row>
    <row r="32" spans="2:80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  <c r="BM32" s="101">
        <v>122306</v>
      </c>
      <c r="BN32" s="101">
        <v>147832</v>
      </c>
      <c r="BO32" s="101">
        <v>111982</v>
      </c>
      <c r="BP32" s="101">
        <v>124279</v>
      </c>
      <c r="BQ32" s="101">
        <v>132334</v>
      </c>
      <c r="BR32" s="21">
        <v>127104</v>
      </c>
    </row>
    <row r="33" spans="2:72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  <c r="BM33" s="101">
        <v>68753</v>
      </c>
      <c r="BN33" s="101">
        <f>72676-455</f>
        <v>72221</v>
      </c>
      <c r="BO33" s="101">
        <f>73056-455</f>
        <v>72601</v>
      </c>
      <c r="BP33" s="101">
        <f>132512-455</f>
        <v>132057</v>
      </c>
      <c r="BQ33" s="101">
        <v>138757</v>
      </c>
      <c r="BR33" s="21">
        <f>261243-455</f>
        <v>260788</v>
      </c>
    </row>
    <row r="34" spans="2:72">
      <c r="B34" s="3" t="s">
        <v>210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  <c r="BP34" s="101">
        <v>0</v>
      </c>
      <c r="BQ34" s="101">
        <v>0</v>
      </c>
      <c r="BR34" s="101">
        <v>0</v>
      </c>
    </row>
    <row r="35" spans="2:72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  <c r="BM35" s="101">
        <v>106755</v>
      </c>
      <c r="BN35" s="101">
        <v>104064</v>
      </c>
      <c r="BO35" s="101">
        <v>72998</v>
      </c>
      <c r="BP35" s="101">
        <v>76036</v>
      </c>
      <c r="BQ35" s="101">
        <v>98793</v>
      </c>
      <c r="BR35" s="21">
        <v>101476</v>
      </c>
    </row>
    <row r="36" spans="2:72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  <c r="BM36" s="101">
        <v>24492</v>
      </c>
      <c r="BN36" s="101">
        <v>24138</v>
      </c>
      <c r="BO36" s="101">
        <v>24672</v>
      </c>
      <c r="BP36" s="101">
        <v>18578</v>
      </c>
      <c r="BQ36" s="101">
        <v>33444</v>
      </c>
      <c r="BR36" s="21">
        <v>39021</v>
      </c>
    </row>
    <row r="37" spans="2:72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  <c r="BM37" s="101">
        <v>73738</v>
      </c>
      <c r="BN37" s="101">
        <v>64841</v>
      </c>
      <c r="BO37" s="101">
        <v>47506</v>
      </c>
      <c r="BP37" s="101">
        <v>22466</v>
      </c>
      <c r="BQ37" s="101">
        <v>54096</v>
      </c>
      <c r="BR37" s="21">
        <v>54852</v>
      </c>
    </row>
    <row r="38" spans="2:72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01">
        <v>0</v>
      </c>
      <c r="BO38" s="101">
        <v>0</v>
      </c>
      <c r="BP38" s="101">
        <v>0</v>
      </c>
      <c r="BQ38" s="101">
        <v>0</v>
      </c>
      <c r="BR38" s="101">
        <v>0</v>
      </c>
    </row>
    <row r="39" spans="2:72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  <c r="BM39" s="101">
        <v>0</v>
      </c>
      <c r="BN39" s="101">
        <v>60</v>
      </c>
      <c r="BO39" s="101">
        <v>60</v>
      </c>
      <c r="BP39" s="101">
        <v>60</v>
      </c>
      <c r="BQ39" s="101">
        <v>0</v>
      </c>
      <c r="BR39" s="21">
        <v>62</v>
      </c>
    </row>
    <row r="40" spans="2:72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01">
        <v>0</v>
      </c>
      <c r="BO40" s="101">
        <v>0</v>
      </c>
      <c r="BP40" s="101">
        <v>0</v>
      </c>
      <c r="BQ40" s="101">
        <v>0</v>
      </c>
      <c r="BR40" s="101">
        <v>0</v>
      </c>
    </row>
    <row r="41" spans="2:72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  <c r="BM41" s="101">
        <v>51594</v>
      </c>
      <c r="BN41" s="101">
        <v>44634</v>
      </c>
      <c r="BO41" s="101">
        <v>45130</v>
      </c>
      <c r="BP41" s="101">
        <v>57628</v>
      </c>
      <c r="BQ41" s="101">
        <v>52657</v>
      </c>
      <c r="BR41" s="21">
        <v>43401</v>
      </c>
    </row>
    <row r="42" spans="2:72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1">
        <f>10447+10129</f>
        <v>20576</v>
      </c>
      <c r="BN42" s="101">
        <f>11938+29419</f>
        <v>41357</v>
      </c>
      <c r="BO42" s="101">
        <f>11881+10586</f>
        <v>22467</v>
      </c>
      <c r="BP42" s="101">
        <f>12095+12024</f>
        <v>24119</v>
      </c>
      <c r="BQ42" s="101">
        <f>34113+13271</f>
        <v>47384</v>
      </c>
      <c r="BR42" s="21">
        <f>15296+10462</f>
        <v>25758</v>
      </c>
      <c r="BS42" s="109"/>
    </row>
    <row r="43" spans="2:72" ht="15.75" thickBot="1">
      <c r="B43" s="9" t="s">
        <v>74</v>
      </c>
      <c r="C43" s="9">
        <f t="shared" ref="C43:AH43" si="48">SUM(C44:C54)</f>
        <v>19294</v>
      </c>
      <c r="D43" s="9">
        <f t="shared" si="48"/>
        <v>25982</v>
      </c>
      <c r="E43" s="9">
        <f t="shared" si="48"/>
        <v>26578</v>
      </c>
      <c r="F43" s="9">
        <f t="shared" si="48"/>
        <v>19199</v>
      </c>
      <c r="G43" s="9">
        <f t="shared" si="48"/>
        <v>15139</v>
      </c>
      <c r="H43" s="9">
        <f t="shared" si="48"/>
        <v>15289</v>
      </c>
      <c r="I43" s="9">
        <f t="shared" si="48"/>
        <v>16651</v>
      </c>
      <c r="J43" s="9">
        <f t="shared" si="48"/>
        <v>50291</v>
      </c>
      <c r="K43" s="9">
        <f t="shared" si="48"/>
        <v>52583</v>
      </c>
      <c r="L43" s="9">
        <f t="shared" si="48"/>
        <v>52771</v>
      </c>
      <c r="M43" s="9">
        <f t="shared" si="48"/>
        <v>46575</v>
      </c>
      <c r="N43" s="9">
        <f t="shared" si="48"/>
        <v>47397</v>
      </c>
      <c r="O43" s="9">
        <f t="shared" si="48"/>
        <v>51827</v>
      </c>
      <c r="P43" s="9">
        <f t="shared" si="48"/>
        <v>52177</v>
      </c>
      <c r="Q43" s="9">
        <f t="shared" si="48"/>
        <v>52815</v>
      </c>
      <c r="R43" s="9">
        <f t="shared" si="48"/>
        <v>50914</v>
      </c>
      <c r="S43" s="9">
        <f t="shared" si="48"/>
        <v>54720</v>
      </c>
      <c r="T43" s="9">
        <f t="shared" si="48"/>
        <v>64306</v>
      </c>
      <c r="U43" s="9">
        <f t="shared" si="48"/>
        <v>62735</v>
      </c>
      <c r="V43" s="9">
        <f t="shared" si="48"/>
        <v>52908</v>
      </c>
      <c r="W43" s="9">
        <f t="shared" si="48"/>
        <v>57915</v>
      </c>
      <c r="X43" s="9">
        <f t="shared" si="48"/>
        <v>63835</v>
      </c>
      <c r="Y43" s="9">
        <f t="shared" si="48"/>
        <v>63931</v>
      </c>
      <c r="Z43" s="9">
        <f t="shared" si="48"/>
        <v>64719</v>
      </c>
      <c r="AA43" s="9">
        <f t="shared" si="48"/>
        <v>63191</v>
      </c>
      <c r="AB43" s="9">
        <f t="shared" si="48"/>
        <v>62570</v>
      </c>
      <c r="AC43" s="9">
        <f t="shared" si="48"/>
        <v>61782</v>
      </c>
      <c r="AD43" s="9">
        <f t="shared" si="48"/>
        <v>69377</v>
      </c>
      <c r="AE43" s="9">
        <f t="shared" si="48"/>
        <v>65329</v>
      </c>
      <c r="AF43" s="9">
        <f t="shared" si="48"/>
        <v>72221</v>
      </c>
      <c r="AG43" s="9">
        <f t="shared" si="48"/>
        <v>87236</v>
      </c>
      <c r="AH43" s="9">
        <f t="shared" si="48"/>
        <v>82940</v>
      </c>
      <c r="AI43" s="9">
        <f t="shared" ref="AI43:AY43" si="49">SUM(AI44:AI54)</f>
        <v>90399</v>
      </c>
      <c r="AJ43" s="9">
        <f t="shared" si="49"/>
        <v>96649</v>
      </c>
      <c r="AK43" s="9">
        <f t="shared" si="49"/>
        <v>97456</v>
      </c>
      <c r="AL43" s="9">
        <f t="shared" si="49"/>
        <v>126464</v>
      </c>
      <c r="AM43" s="9">
        <f t="shared" si="49"/>
        <v>136283</v>
      </c>
      <c r="AN43" s="9">
        <f t="shared" si="49"/>
        <v>148171</v>
      </c>
      <c r="AO43" s="9">
        <f t="shared" si="49"/>
        <v>156875</v>
      </c>
      <c r="AP43" s="9">
        <f t="shared" si="49"/>
        <v>164800</v>
      </c>
      <c r="AQ43" s="9">
        <f t="shared" si="49"/>
        <v>166801</v>
      </c>
      <c r="AR43" s="9">
        <f t="shared" si="49"/>
        <v>619702</v>
      </c>
      <c r="AS43" s="9">
        <f t="shared" si="49"/>
        <v>655036</v>
      </c>
      <c r="AT43" s="9">
        <f t="shared" si="49"/>
        <v>650722</v>
      </c>
      <c r="AU43" s="9">
        <f t="shared" si="49"/>
        <v>674588</v>
      </c>
      <c r="AV43" s="9">
        <f t="shared" si="49"/>
        <v>625555</v>
      </c>
      <c r="AW43" s="9">
        <f t="shared" si="49"/>
        <v>654924</v>
      </c>
      <c r="AX43" s="9">
        <f t="shared" si="49"/>
        <v>652220</v>
      </c>
      <c r="AY43" s="9">
        <f t="shared" si="49"/>
        <v>682557</v>
      </c>
      <c r="AZ43" s="9">
        <f t="shared" ref="AZ43:BA43" si="50">SUM(AZ44:AZ54)</f>
        <v>682219</v>
      </c>
      <c r="BA43" s="9">
        <f t="shared" si="50"/>
        <v>664915</v>
      </c>
      <c r="BB43" s="9">
        <f t="shared" ref="BB43:BC43" si="51">SUM(BB44:BB54)</f>
        <v>621123</v>
      </c>
      <c r="BC43" s="9">
        <f t="shared" si="51"/>
        <v>603502</v>
      </c>
      <c r="BD43" s="9">
        <f t="shared" ref="BD43:BE43" si="52">SUM(BD44:BD54)</f>
        <v>612490</v>
      </c>
      <c r="BE43" s="9">
        <f t="shared" si="52"/>
        <v>562993</v>
      </c>
      <c r="BF43" s="9">
        <f t="shared" ref="BF43:BK43" si="53">SUM(BF44:BF54)</f>
        <v>551566</v>
      </c>
      <c r="BG43" s="9">
        <f t="shared" si="53"/>
        <v>537366</v>
      </c>
      <c r="BH43" s="9">
        <f t="shared" si="53"/>
        <v>534976</v>
      </c>
      <c r="BI43" s="9">
        <f t="shared" si="53"/>
        <v>496021</v>
      </c>
      <c r="BJ43" s="9">
        <f t="shared" si="53"/>
        <v>520547</v>
      </c>
      <c r="BK43" s="9">
        <f t="shared" si="53"/>
        <v>517971</v>
      </c>
      <c r="BL43" s="9">
        <f t="shared" ref="BL43:BM43" si="54">SUM(BL44:BL54)</f>
        <v>488722</v>
      </c>
      <c r="BM43" s="9">
        <f t="shared" si="54"/>
        <v>418694</v>
      </c>
      <c r="BN43" s="9">
        <f t="shared" ref="BN43:BO43" si="55">SUM(BN44:BN54)</f>
        <v>420063</v>
      </c>
      <c r="BO43" s="9">
        <f t="shared" si="55"/>
        <v>460659</v>
      </c>
      <c r="BP43" s="9">
        <f t="shared" ref="BP43:BR43" si="56">SUM(BP44:BP54)</f>
        <v>448744</v>
      </c>
      <c r="BQ43" s="9">
        <f t="shared" si="56"/>
        <v>398560</v>
      </c>
      <c r="BR43" s="9">
        <f t="shared" si="56"/>
        <v>394645</v>
      </c>
      <c r="BT43" s="18"/>
    </row>
    <row r="44" spans="2:72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</row>
    <row r="45" spans="2:72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  <c r="BM45" s="101">
        <v>209047</v>
      </c>
      <c r="BN45" s="101">
        <f>202296-3132</f>
        <v>199164</v>
      </c>
      <c r="BO45" s="21">
        <f>195253-3018</f>
        <v>192235</v>
      </c>
      <c r="BP45" s="21">
        <f>176190-2904</f>
        <v>173286</v>
      </c>
      <c r="BQ45" s="91">
        <f>169103-2790</f>
        <v>166313</v>
      </c>
      <c r="BR45" s="21">
        <f>162444-2676</f>
        <v>159768</v>
      </c>
    </row>
    <row r="46" spans="2:72">
      <c r="B46" s="3" t="s">
        <v>210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  <c r="BQ46" s="21">
        <v>0</v>
      </c>
      <c r="BR46" s="21">
        <v>0</v>
      </c>
    </row>
    <row r="47" spans="2:72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  <c r="BP47" s="21">
        <v>4978</v>
      </c>
      <c r="BQ47" s="21">
        <v>4978</v>
      </c>
      <c r="BR47" s="21">
        <v>4978</v>
      </c>
    </row>
    <row r="48" spans="2:72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  <c r="BM48" s="101">
        <v>53659</v>
      </c>
      <c r="BN48" s="101">
        <v>58552</v>
      </c>
      <c r="BO48" s="21">
        <v>60467</v>
      </c>
      <c r="BP48" s="21">
        <v>62382</v>
      </c>
      <c r="BQ48" s="21">
        <v>62052</v>
      </c>
      <c r="BR48" s="21">
        <v>70884</v>
      </c>
    </row>
    <row r="49" spans="2:72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1">
        <v>3587</v>
      </c>
      <c r="BP49" s="101">
        <v>3587</v>
      </c>
      <c r="BQ49" s="101">
        <v>3587</v>
      </c>
      <c r="BR49" s="21">
        <v>3587</v>
      </c>
    </row>
    <row r="50" spans="2:72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  <c r="BP50" s="21">
        <v>27454</v>
      </c>
      <c r="BQ50" s="21">
        <v>16266</v>
      </c>
      <c r="BR50" s="21">
        <v>8498</v>
      </c>
    </row>
    <row r="51" spans="2:72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  <c r="BP51" s="21">
        <v>42653</v>
      </c>
      <c r="BQ51" s="21">
        <v>15407</v>
      </c>
      <c r="BR51" s="21">
        <v>23983</v>
      </c>
    </row>
    <row r="52" spans="2:72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  <c r="BP52" s="21">
        <v>62557</v>
      </c>
      <c r="BQ52" s="21">
        <v>61534</v>
      </c>
      <c r="BR52" s="21">
        <v>62595</v>
      </c>
    </row>
    <row r="53" spans="2:72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  <c r="BP53" s="21">
        <v>46298</v>
      </c>
      <c r="BQ53" s="21">
        <v>46556</v>
      </c>
      <c r="BR53" s="21">
        <v>40809</v>
      </c>
    </row>
    <row r="54" spans="2:72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  <c r="BP54" s="21">
        <v>25549</v>
      </c>
      <c r="BQ54" s="21">
        <v>21867</v>
      </c>
      <c r="BR54" s="21">
        <v>19543</v>
      </c>
    </row>
    <row r="55" spans="2:72" ht="15.75" thickBot="1">
      <c r="B55" s="9" t="s">
        <v>116</v>
      </c>
      <c r="C55" s="9">
        <f t="shared" ref="C55:AU55" si="57">SUM(C56:C62)</f>
        <v>620196</v>
      </c>
      <c r="D55" s="9">
        <f t="shared" si="57"/>
        <v>733653</v>
      </c>
      <c r="E55" s="9">
        <f t="shared" si="57"/>
        <v>816980</v>
      </c>
      <c r="F55" s="9">
        <f t="shared" si="57"/>
        <v>845899</v>
      </c>
      <c r="G55" s="9">
        <f t="shared" si="57"/>
        <v>867069</v>
      </c>
      <c r="H55" s="9">
        <f t="shared" si="57"/>
        <v>876797</v>
      </c>
      <c r="I55" s="9">
        <f t="shared" si="57"/>
        <v>873547</v>
      </c>
      <c r="J55" s="9">
        <f t="shared" si="57"/>
        <v>924240</v>
      </c>
      <c r="K55" s="9">
        <f t="shared" si="57"/>
        <v>942664</v>
      </c>
      <c r="L55" s="9">
        <f t="shared" si="57"/>
        <v>989949</v>
      </c>
      <c r="M55" s="9">
        <f t="shared" si="57"/>
        <v>1027880</v>
      </c>
      <c r="N55" s="9">
        <f t="shared" si="57"/>
        <v>1030712</v>
      </c>
      <c r="O55" s="9">
        <f t="shared" si="57"/>
        <v>1066952</v>
      </c>
      <c r="P55" s="9">
        <f t="shared" si="57"/>
        <v>1089653</v>
      </c>
      <c r="Q55" s="9">
        <f t="shared" si="57"/>
        <v>1100792</v>
      </c>
      <c r="R55" s="9">
        <f t="shared" si="57"/>
        <v>1097106</v>
      </c>
      <c r="S55" s="9">
        <f t="shared" si="57"/>
        <v>1117581</v>
      </c>
      <c r="T55" s="9">
        <f t="shared" si="57"/>
        <v>1137917</v>
      </c>
      <c r="U55" s="9">
        <f t="shared" si="57"/>
        <v>1167991</v>
      </c>
      <c r="V55" s="9">
        <f t="shared" si="57"/>
        <v>1162929</v>
      </c>
      <c r="W55" s="9">
        <f t="shared" si="57"/>
        <v>1171585</v>
      </c>
      <c r="X55" s="9">
        <f t="shared" si="57"/>
        <v>1188845</v>
      </c>
      <c r="Y55" s="9">
        <f t="shared" si="57"/>
        <v>1211097</v>
      </c>
      <c r="Z55" s="9">
        <f t="shared" si="57"/>
        <v>1218149</v>
      </c>
      <c r="AA55" s="9">
        <f t="shared" si="57"/>
        <v>1246408</v>
      </c>
      <c r="AB55" s="9">
        <f t="shared" si="57"/>
        <v>1274303</v>
      </c>
      <c r="AC55" s="9">
        <f t="shared" si="57"/>
        <v>1276553</v>
      </c>
      <c r="AD55" s="9">
        <f t="shared" si="57"/>
        <v>1277882</v>
      </c>
      <c r="AE55" s="9">
        <f t="shared" si="57"/>
        <v>1294434</v>
      </c>
      <c r="AF55" s="9">
        <f t="shared" si="57"/>
        <v>1376444</v>
      </c>
      <c r="AG55" s="9">
        <f t="shared" si="57"/>
        <v>1307655</v>
      </c>
      <c r="AH55" s="9">
        <f t="shared" si="57"/>
        <v>1336271</v>
      </c>
      <c r="AI55" s="9">
        <f t="shared" si="57"/>
        <v>1375028</v>
      </c>
      <c r="AJ55" s="9">
        <f t="shared" si="57"/>
        <v>1371294</v>
      </c>
      <c r="AK55" s="9">
        <f t="shared" si="57"/>
        <v>1373574</v>
      </c>
      <c r="AL55" s="9">
        <f t="shared" si="57"/>
        <v>1357444</v>
      </c>
      <c r="AM55" s="9">
        <f t="shared" si="57"/>
        <v>1433423</v>
      </c>
      <c r="AN55" s="9">
        <f t="shared" si="57"/>
        <v>1489575</v>
      </c>
      <c r="AO55" s="9">
        <f t="shared" si="57"/>
        <v>1508140</v>
      </c>
      <c r="AP55" s="9">
        <f t="shared" si="57"/>
        <v>1522558</v>
      </c>
      <c r="AQ55" s="9">
        <f t="shared" si="57"/>
        <v>1586479</v>
      </c>
      <c r="AR55" s="9">
        <f t="shared" si="57"/>
        <v>1625818</v>
      </c>
      <c r="AS55" s="9">
        <f t="shared" si="57"/>
        <v>1748877</v>
      </c>
      <c r="AT55" s="9">
        <f t="shared" si="57"/>
        <v>1749115</v>
      </c>
      <c r="AU55" s="9">
        <f t="shared" si="57"/>
        <v>1789602</v>
      </c>
      <c r="AV55" s="9">
        <f t="shared" ref="AV55:AY55" si="58">SUM(AV56:AV62)</f>
        <v>1782229</v>
      </c>
      <c r="AW55" s="9">
        <f t="shared" si="58"/>
        <v>1864912</v>
      </c>
      <c r="AX55" s="9">
        <f t="shared" si="58"/>
        <v>1838173</v>
      </c>
      <c r="AY55" s="9">
        <f t="shared" si="58"/>
        <v>1689761</v>
      </c>
      <c r="AZ55" s="9">
        <f t="shared" ref="AZ55:BA55" si="59">SUM(AZ56:AZ62)</f>
        <v>1722156</v>
      </c>
      <c r="BA55" s="9">
        <f t="shared" si="59"/>
        <v>1726816</v>
      </c>
      <c r="BB55" s="9">
        <f t="shared" ref="BB55:BC55" si="60">SUM(BB56:BB62)</f>
        <v>1771825</v>
      </c>
      <c r="BC55" s="9">
        <f t="shared" si="60"/>
        <v>1820656</v>
      </c>
      <c r="BD55" s="9">
        <f t="shared" ref="BD55:BE55" si="61">SUM(BD56:BD62)</f>
        <v>1967598</v>
      </c>
      <c r="BE55" s="9">
        <f t="shared" si="61"/>
        <v>2189570</v>
      </c>
      <c r="BF55" s="9">
        <f t="shared" ref="BF55:BK55" si="62">SUM(BF56:BF62)</f>
        <v>2370279</v>
      </c>
      <c r="BG55" s="9">
        <f t="shared" si="62"/>
        <v>2628947</v>
      </c>
      <c r="BH55" s="9">
        <f t="shared" si="62"/>
        <v>2844622</v>
      </c>
      <c r="BI55" s="9">
        <f t="shared" si="62"/>
        <v>3041932</v>
      </c>
      <c r="BJ55" s="9">
        <f t="shared" si="62"/>
        <v>3040887</v>
      </c>
      <c r="BK55" s="9">
        <f t="shared" si="62"/>
        <v>3172447</v>
      </c>
      <c r="BL55" s="9">
        <f t="shared" ref="BL55:BM55" si="63">SUM(BL56:BL62)</f>
        <v>3221705</v>
      </c>
      <c r="BM55" s="9">
        <f t="shared" si="63"/>
        <v>3249901</v>
      </c>
      <c r="BN55" s="9">
        <f t="shared" ref="BN55:BO55" si="64">SUM(BN56:BN62)</f>
        <v>3191487</v>
      </c>
      <c r="BO55" s="9">
        <f t="shared" si="64"/>
        <v>3232768</v>
      </c>
      <c r="BP55" s="9">
        <f t="shared" ref="BP55:BR55" si="65">SUM(BP56:BP62)</f>
        <v>3271999</v>
      </c>
      <c r="BQ55" s="9">
        <f t="shared" si="65"/>
        <v>3383936</v>
      </c>
      <c r="BR55" s="9">
        <f t="shared" si="65"/>
        <v>3340773</v>
      </c>
      <c r="BT55" s="18"/>
    </row>
    <row r="56" spans="2:72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4">
        <v>1470396</v>
      </c>
      <c r="BP56" s="114">
        <v>1470396</v>
      </c>
      <c r="BQ56" s="114">
        <v>1470396</v>
      </c>
      <c r="BR56" s="21">
        <v>1470396</v>
      </c>
    </row>
    <row r="57" spans="2:72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  <c r="BM57" s="101">
        <v>1547639</v>
      </c>
      <c r="BN57" s="101">
        <v>1705095</v>
      </c>
      <c r="BO57" s="114">
        <v>1705095</v>
      </c>
      <c r="BP57" s="114">
        <v>1705095</v>
      </c>
      <c r="BQ57" s="114">
        <v>1705095</v>
      </c>
      <c r="BR57" s="21">
        <v>1859894</v>
      </c>
    </row>
    <row r="58" spans="2:72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  <c r="BM58" s="101">
        <v>43094</v>
      </c>
      <c r="BN58" s="101">
        <v>40362</v>
      </c>
      <c r="BO58" s="114">
        <v>40438</v>
      </c>
      <c r="BP58" s="114">
        <v>40438</v>
      </c>
      <c r="BQ58" s="114">
        <v>41927</v>
      </c>
      <c r="BR58" s="21">
        <v>34573</v>
      </c>
    </row>
    <row r="59" spans="2:72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  <c r="BM59" s="101">
        <v>-25754</v>
      </c>
      <c r="BN59" s="101">
        <v>-25754</v>
      </c>
      <c r="BO59" s="114">
        <v>-25754</v>
      </c>
      <c r="BP59" s="114">
        <v>-25754</v>
      </c>
      <c r="BQ59" s="114">
        <v>-25754</v>
      </c>
      <c r="BR59" s="21">
        <v>-25606</v>
      </c>
    </row>
    <row r="60" spans="2:72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4">
        <v>0</v>
      </c>
      <c r="BP60" s="114">
        <v>0</v>
      </c>
      <c r="BQ60" s="114">
        <v>0</v>
      </c>
      <c r="BR60" s="117">
        <v>0</v>
      </c>
    </row>
    <row r="61" spans="2:72">
      <c r="B61" s="3" t="s">
        <v>198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5">
        <v>41146</v>
      </c>
      <c r="BP61" s="115">
        <v>80315</v>
      </c>
      <c r="BQ61" s="115">
        <v>165800</v>
      </c>
      <c r="BR61" s="118">
        <v>0</v>
      </c>
    </row>
    <row r="62" spans="2:72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  <c r="BP62" s="21">
        <v>1509</v>
      </c>
      <c r="BQ62" s="21">
        <v>26472</v>
      </c>
      <c r="BR62" s="21">
        <v>1516</v>
      </c>
      <c r="BS62" s="16"/>
    </row>
    <row r="63" spans="2:72" ht="15.75" thickBot="1">
      <c r="B63" s="9" t="s">
        <v>89</v>
      </c>
      <c r="C63" s="9">
        <f t="shared" ref="C63:AH63" si="66">C31+C43+C55</f>
        <v>701272</v>
      </c>
      <c r="D63" s="9">
        <f t="shared" si="66"/>
        <v>835449</v>
      </c>
      <c r="E63" s="9">
        <f t="shared" si="66"/>
        <v>928290</v>
      </c>
      <c r="F63" s="9">
        <f t="shared" si="66"/>
        <v>988741</v>
      </c>
      <c r="G63" s="9">
        <f t="shared" si="66"/>
        <v>992372</v>
      </c>
      <c r="H63" s="9">
        <f t="shared" si="66"/>
        <v>943330</v>
      </c>
      <c r="I63" s="9">
        <f t="shared" si="66"/>
        <v>969721</v>
      </c>
      <c r="J63" s="9">
        <f t="shared" si="66"/>
        <v>1073124</v>
      </c>
      <c r="K63" s="9">
        <f t="shared" si="66"/>
        <v>1109609</v>
      </c>
      <c r="L63" s="9">
        <f t="shared" si="66"/>
        <v>1145386</v>
      </c>
      <c r="M63" s="9">
        <f t="shared" si="66"/>
        <v>1153781</v>
      </c>
      <c r="N63" s="9">
        <f t="shared" si="66"/>
        <v>1188843</v>
      </c>
      <c r="O63" s="9">
        <f t="shared" si="66"/>
        <v>1195140</v>
      </c>
      <c r="P63" s="9">
        <f t="shared" si="66"/>
        <v>1212254</v>
      </c>
      <c r="Q63" s="9">
        <f t="shared" si="66"/>
        <v>1278056</v>
      </c>
      <c r="R63" s="9">
        <f t="shared" si="66"/>
        <v>1254333</v>
      </c>
      <c r="S63" s="9">
        <f t="shared" si="66"/>
        <v>1255242</v>
      </c>
      <c r="T63" s="9">
        <f t="shared" si="66"/>
        <v>1299358</v>
      </c>
      <c r="U63" s="9">
        <f t="shared" si="66"/>
        <v>1307091</v>
      </c>
      <c r="V63" s="9">
        <f t="shared" si="66"/>
        <v>1307001</v>
      </c>
      <c r="W63" s="9">
        <f t="shared" si="66"/>
        <v>1313983</v>
      </c>
      <c r="X63" s="9">
        <f t="shared" si="66"/>
        <v>1329679</v>
      </c>
      <c r="Y63" s="9">
        <f t="shared" si="66"/>
        <v>1359871</v>
      </c>
      <c r="Z63" s="9">
        <f t="shared" si="66"/>
        <v>1381796</v>
      </c>
      <c r="AA63" s="9">
        <f t="shared" si="66"/>
        <v>1401217</v>
      </c>
      <c r="AB63" s="9">
        <f t="shared" si="66"/>
        <v>1422974</v>
      </c>
      <c r="AC63" s="9">
        <f t="shared" si="66"/>
        <v>1430528</v>
      </c>
      <c r="AD63" s="9">
        <f t="shared" si="66"/>
        <v>1461529</v>
      </c>
      <c r="AE63" s="9">
        <f t="shared" si="66"/>
        <v>1493702</v>
      </c>
      <c r="AF63" s="9">
        <f t="shared" si="66"/>
        <v>1566969</v>
      </c>
      <c r="AG63" s="9">
        <f t="shared" si="66"/>
        <v>1647586</v>
      </c>
      <c r="AH63" s="9">
        <f t="shared" si="66"/>
        <v>1645142</v>
      </c>
      <c r="AI63" s="9">
        <f t="shared" ref="AI63:AY63" si="67">AI31+AI43+AI55</f>
        <v>1602362</v>
      </c>
      <c r="AJ63" s="9">
        <f t="shared" si="67"/>
        <v>1570294</v>
      </c>
      <c r="AK63" s="9">
        <f t="shared" si="67"/>
        <v>1568629</v>
      </c>
      <c r="AL63" s="9">
        <f t="shared" si="67"/>
        <v>1657620</v>
      </c>
      <c r="AM63" s="9">
        <f t="shared" si="67"/>
        <v>1690878</v>
      </c>
      <c r="AN63" s="9">
        <f t="shared" si="67"/>
        <v>1763806</v>
      </c>
      <c r="AO63" s="9">
        <f t="shared" si="67"/>
        <v>1804878</v>
      </c>
      <c r="AP63" s="9">
        <f t="shared" si="67"/>
        <v>1856461</v>
      </c>
      <c r="AQ63" s="9">
        <f t="shared" si="67"/>
        <v>1919165</v>
      </c>
      <c r="AR63" s="9">
        <f t="shared" si="67"/>
        <v>2504137</v>
      </c>
      <c r="AS63" s="9">
        <f t="shared" si="67"/>
        <v>2655783</v>
      </c>
      <c r="AT63" s="9">
        <f t="shared" si="67"/>
        <v>2659910</v>
      </c>
      <c r="AU63" s="9">
        <f t="shared" si="67"/>
        <v>2713928</v>
      </c>
      <c r="AV63" s="9">
        <f t="shared" si="67"/>
        <v>2644938</v>
      </c>
      <c r="AW63" s="9">
        <f t="shared" si="67"/>
        <v>2805564</v>
      </c>
      <c r="AX63" s="9">
        <f t="shared" si="67"/>
        <v>2746444</v>
      </c>
      <c r="AY63" s="9">
        <f t="shared" si="67"/>
        <v>2838601</v>
      </c>
      <c r="AZ63" s="9">
        <f t="shared" ref="AZ63:BA63" si="68">AZ31+AZ43+AZ55</f>
        <v>2934102</v>
      </c>
      <c r="BA63" s="9">
        <f t="shared" si="68"/>
        <v>2891267</v>
      </c>
      <c r="BB63" s="9">
        <f t="shared" ref="BB63:BC63" si="69">BB31+BB43+BB55</f>
        <v>2817187</v>
      </c>
      <c r="BC63" s="9">
        <f t="shared" si="69"/>
        <v>2831794</v>
      </c>
      <c r="BD63" s="9">
        <f t="shared" ref="BD63:BE63" si="70">BD31+BD43+BD55</f>
        <v>2904638</v>
      </c>
      <c r="BE63" s="9">
        <f t="shared" si="70"/>
        <v>3126686</v>
      </c>
      <c r="BF63" s="9">
        <f t="shared" ref="BF63:BG63" si="71">BF31+BF43+BF55</f>
        <v>3396582</v>
      </c>
      <c r="BG63" s="9">
        <f t="shared" si="71"/>
        <v>3583193</v>
      </c>
      <c r="BH63" s="9">
        <f t="shared" ref="BH63:BI63" si="72">BH31+BH43+BH55</f>
        <v>3808082</v>
      </c>
      <c r="BI63" s="9">
        <f t="shared" si="72"/>
        <v>3972032</v>
      </c>
      <c r="BJ63" s="9">
        <f t="shared" ref="BJ63:BK63" si="73">BJ31+BJ43+BJ55</f>
        <v>4067385</v>
      </c>
      <c r="BK63" s="9">
        <f t="shared" si="73"/>
        <v>4127741</v>
      </c>
      <c r="BL63" s="9">
        <f t="shared" ref="BL63:BM63" si="74">BL31+BL43+BL55</f>
        <v>4131532</v>
      </c>
      <c r="BM63" s="9">
        <f t="shared" si="74"/>
        <v>4136809</v>
      </c>
      <c r="BN63" s="9">
        <f t="shared" ref="BN63:BO63" si="75">BN31+BN43+BN55</f>
        <v>4110697</v>
      </c>
      <c r="BO63" s="9">
        <f t="shared" si="75"/>
        <v>4090843</v>
      </c>
      <c r="BP63" s="9">
        <f t="shared" ref="BP63:BR63" si="76">BP31+BP43+BP55</f>
        <v>4175966</v>
      </c>
      <c r="BQ63" s="9">
        <f t="shared" si="76"/>
        <v>4339961</v>
      </c>
      <c r="BR63" s="9">
        <f t="shared" si="76"/>
        <v>4387880</v>
      </c>
    </row>
    <row r="65" spans="3:70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77">AT63-AT27</f>
        <v>0</v>
      </c>
      <c r="AU65" s="1">
        <f t="shared" si="77"/>
        <v>0</v>
      </c>
      <c r="AV65" s="1">
        <f t="shared" si="77"/>
        <v>0</v>
      </c>
      <c r="AW65" s="1">
        <f t="shared" si="77"/>
        <v>0</v>
      </c>
      <c r="AX65" s="1">
        <f t="shared" si="77"/>
        <v>0</v>
      </c>
      <c r="AY65" s="1">
        <f t="shared" si="77"/>
        <v>0</v>
      </c>
      <c r="AZ65" s="1">
        <f t="shared" ref="AZ65:BA65" si="78">AZ63-AZ27</f>
        <v>0</v>
      </c>
      <c r="BA65" s="1">
        <f t="shared" si="78"/>
        <v>0</v>
      </c>
      <c r="BB65" s="1">
        <f t="shared" ref="BB65:BC65" si="79">BB63-BB27</f>
        <v>0</v>
      </c>
      <c r="BC65" s="1">
        <f t="shared" si="79"/>
        <v>0</v>
      </c>
      <c r="BD65" s="1">
        <f t="shared" ref="BD65:BE65" si="80">BD63-BD27</f>
        <v>0</v>
      </c>
      <c r="BE65" s="1">
        <f t="shared" si="80"/>
        <v>0</v>
      </c>
      <c r="BF65" s="1">
        <f t="shared" ref="BF65" si="81">BF63-BF27</f>
        <v>0</v>
      </c>
      <c r="BG65" s="1">
        <f t="shared" ref="BG65:BL65" si="82">BG63-BG27</f>
        <v>0</v>
      </c>
      <c r="BH65" s="1">
        <f t="shared" si="82"/>
        <v>0</v>
      </c>
      <c r="BI65" s="1">
        <f t="shared" si="82"/>
        <v>0</v>
      </c>
      <c r="BJ65" s="1">
        <f t="shared" si="82"/>
        <v>0</v>
      </c>
      <c r="BK65" s="1">
        <f t="shared" si="82"/>
        <v>0</v>
      </c>
      <c r="BL65" s="1">
        <f t="shared" si="82"/>
        <v>0</v>
      </c>
      <c r="BM65" s="1">
        <f t="shared" ref="BM65:BN65" si="83">BM63-BM27</f>
        <v>0</v>
      </c>
      <c r="BN65" s="1">
        <f t="shared" si="83"/>
        <v>0</v>
      </c>
      <c r="BO65" s="1">
        <f t="shared" ref="BO65:BP65" si="84">BO63-BO27</f>
        <v>0</v>
      </c>
      <c r="BP65" s="1">
        <f t="shared" si="84"/>
        <v>0</v>
      </c>
      <c r="BQ65" s="1">
        <f t="shared" ref="BQ65:BR65" si="85">BQ63-BQ27</f>
        <v>0</v>
      </c>
      <c r="BR65" s="1">
        <f t="shared" si="85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L32"/>
  <sheetViews>
    <sheetView showGridLines="0" zoomScale="80" zoomScaleNormal="80" zoomScaleSheetLayoutView="85" workbookViewId="0">
      <pane xSplit="2" ySplit="5" topLeftCell="BI6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70" width="12.28515625" customWidth="1"/>
    <col min="71" max="71" width="11.28515625" customWidth="1"/>
    <col min="72" max="75" width="12.28515625" hidden="1" customWidth="1"/>
    <col min="76" max="76" width="11.28515625" hidden="1" customWidth="1"/>
    <col min="77" max="77" width="11" hidden="1" customWidth="1"/>
    <col min="78" max="78" width="10.85546875" hidden="1" customWidth="1"/>
    <col min="79" max="79" width="12.28515625" hidden="1" customWidth="1"/>
    <col min="80" max="81" width="11.140625" hidden="1" customWidth="1"/>
    <col min="82" max="82" width="10.5703125" hidden="1" customWidth="1"/>
    <col min="83" max="84" width="11.28515625" hidden="1" customWidth="1"/>
    <col min="85" max="85" width="5.140625" hidden="1" customWidth="1"/>
    <col min="86" max="86" width="11.5703125" hidden="1" customWidth="1"/>
    <col min="87" max="88" width="11.5703125" bestFit="1" customWidth="1"/>
    <col min="89" max="89" width="12" bestFit="1" customWidth="1"/>
    <col min="90" max="90" width="10.140625" bestFit="1" customWidth="1"/>
  </cols>
  <sheetData>
    <row r="2" spans="2:90" ht="18.75">
      <c r="B2" s="43" t="s">
        <v>133</v>
      </c>
    </row>
    <row r="3" spans="2:90" ht="15.75">
      <c r="B3" s="63" t="s">
        <v>169</v>
      </c>
      <c r="BS3" s="63" t="s">
        <v>167</v>
      </c>
    </row>
    <row r="4" spans="2:90" s="19" customFormat="1" ht="7.5" customHeight="1" thickBot="1"/>
    <row r="5" spans="2:90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90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P6" s="80">
        <f>'Receita líquida'!BP10</f>
        <v>522027</v>
      </c>
      <c r="BQ6" s="80">
        <f>'Receita líquida'!BQ10</f>
        <v>597723</v>
      </c>
      <c r="BR6" s="80">
        <v>607465</v>
      </c>
      <c r="BT6" s="2">
        <f t="shared" ref="BT6:BT21" si="0">SUM(C6:F6)</f>
        <v>878914</v>
      </c>
      <c r="BU6" s="2">
        <f t="shared" ref="BU6:BU21" si="1">SUM(G6:J6)</f>
        <v>450753</v>
      </c>
      <c r="BV6" s="2">
        <f t="shared" ref="BV6:BV21" si="2">SUM(K6:N6)</f>
        <v>673058</v>
      </c>
      <c r="BW6" s="2">
        <f t="shared" ref="BW6:BW21" si="3">SUM(O6:R6)</f>
        <v>642334</v>
      </c>
      <c r="BX6" s="2">
        <f t="shared" ref="BX6:BX21" si="4">SUM(S6:V6)</f>
        <v>707402</v>
      </c>
      <c r="BY6" s="2">
        <f t="shared" ref="BY6:BY21" si="5">SUM(W6:Z6)</f>
        <v>799772</v>
      </c>
      <c r="BZ6" s="2">
        <f t="shared" ref="BZ6:BZ23" si="6">SUM(AA6:AD6)</f>
        <v>828247</v>
      </c>
      <c r="CA6" s="2">
        <f t="shared" ref="CA6:CA23" si="7">SUM(AE6:AH6)</f>
        <v>936230</v>
      </c>
      <c r="CB6" s="2">
        <f t="shared" ref="CB6:CB23" si="8">SUM(AI6:AL6)</f>
        <v>1096154</v>
      </c>
      <c r="CC6" s="2">
        <f t="shared" ref="CC6:CC23" si="9">SUM(AM6:AP6)</f>
        <v>1108722</v>
      </c>
      <c r="CD6" s="2">
        <f t="shared" ref="CD6:CD23" si="10">SUM(AQ6:AT6)</f>
        <v>1381056</v>
      </c>
      <c r="CE6" s="2">
        <f t="shared" ref="CE6:CE23" si="11">SUM(AU6:AX6)</f>
        <v>1279550</v>
      </c>
      <c r="CF6" s="2">
        <f t="shared" ref="CF6:CF23" si="12">SUM(AY6:BB6)</f>
        <v>1622019</v>
      </c>
      <c r="CG6" s="2">
        <f t="shared" ref="CG6:CG23" si="13">SUM(BC6:BF6)</f>
        <v>2389477</v>
      </c>
      <c r="CH6" s="2">
        <f>SUM(BG6:BJ6)</f>
        <v>3139016</v>
      </c>
      <c r="CI6" s="2">
        <f t="shared" ref="CI6:CI23" si="14">SUM(BK6:BN6)</f>
        <v>2435135</v>
      </c>
      <c r="CJ6" s="21">
        <f t="shared" ref="CJ6:CJ8" si="15">SUM(BO6:BR6)</f>
        <v>2236704</v>
      </c>
      <c r="CK6" s="16"/>
    </row>
    <row r="7" spans="2:90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P7" s="2">
        <v>0</v>
      </c>
      <c r="BQ7" s="2">
        <v>34858</v>
      </c>
      <c r="BR7" s="21">
        <v>39768</v>
      </c>
      <c r="BT7" s="2">
        <f t="shared" si="0"/>
        <v>0</v>
      </c>
      <c r="BU7" s="2">
        <f t="shared" si="1"/>
        <v>-7286</v>
      </c>
      <c r="BV7" s="2">
        <f t="shared" si="2"/>
        <v>18320</v>
      </c>
      <c r="BW7" s="2">
        <f t="shared" si="3"/>
        <v>13640</v>
      </c>
      <c r="BX7" s="2">
        <f t="shared" si="4"/>
        <v>16382</v>
      </c>
      <c r="BY7" s="2">
        <f t="shared" si="5"/>
        <v>25434</v>
      </c>
      <c r="BZ7" s="2">
        <f t="shared" si="6"/>
        <v>6718</v>
      </c>
      <c r="CA7" s="2">
        <f t="shared" si="7"/>
        <v>25478</v>
      </c>
      <c r="CB7" s="2">
        <f t="shared" si="8"/>
        <v>23985</v>
      </c>
      <c r="CC7" s="2">
        <f t="shared" si="9"/>
        <v>41368</v>
      </c>
      <c r="CD7" s="2">
        <f t="shared" si="10"/>
        <v>22266</v>
      </c>
      <c r="CE7" s="2">
        <f t="shared" si="11"/>
        <v>41983</v>
      </c>
      <c r="CF7" s="2">
        <f t="shared" si="12"/>
        <v>46211</v>
      </c>
      <c r="CG7" s="2">
        <f t="shared" si="13"/>
        <v>27802</v>
      </c>
      <c r="CH7" s="2">
        <f t="shared" ref="CH7:CH23" si="16">SUM(BG7:BJ7)</f>
        <v>38003</v>
      </c>
      <c r="CI7" s="2">
        <f t="shared" si="14"/>
        <v>71728</v>
      </c>
      <c r="CJ7" s="21">
        <f t="shared" si="15"/>
        <v>74626</v>
      </c>
      <c r="CK7" s="16"/>
    </row>
    <row r="8" spans="2:90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P8" s="2">
        <v>-402764</v>
      </c>
      <c r="BQ8" s="2">
        <v>-498721</v>
      </c>
      <c r="BR8" s="21">
        <v>-526580</v>
      </c>
      <c r="BT8" s="2">
        <f t="shared" si="0"/>
        <v>-424589</v>
      </c>
      <c r="BU8" s="2">
        <f t="shared" si="1"/>
        <v>-398763</v>
      </c>
      <c r="BV8" s="2">
        <f t="shared" si="2"/>
        <v>-497586</v>
      </c>
      <c r="BW8" s="2">
        <f t="shared" si="3"/>
        <v>-520724</v>
      </c>
      <c r="BX8" s="2">
        <f t="shared" si="4"/>
        <v>-569390</v>
      </c>
      <c r="BY8" s="2">
        <f t="shared" si="5"/>
        <v>-663148</v>
      </c>
      <c r="BZ8" s="2">
        <f t="shared" si="6"/>
        <v>-651298</v>
      </c>
      <c r="CA8" s="2">
        <f t="shared" si="7"/>
        <v>-607127</v>
      </c>
      <c r="CB8" s="2">
        <f t="shared" si="8"/>
        <v>-946425</v>
      </c>
      <c r="CC8" s="2">
        <f t="shared" si="9"/>
        <v>-758296</v>
      </c>
      <c r="CD8" s="2">
        <f t="shared" si="10"/>
        <v>-920601</v>
      </c>
      <c r="CE8" s="2">
        <f t="shared" si="11"/>
        <v>-1063051</v>
      </c>
      <c r="CF8" s="2">
        <f t="shared" si="12"/>
        <v>-1224333</v>
      </c>
      <c r="CG8" s="2">
        <f t="shared" si="13"/>
        <v>-1383827</v>
      </c>
      <c r="CH8" s="2">
        <f t="shared" si="16"/>
        <v>-1724090</v>
      </c>
      <c r="CI8" s="2">
        <f t="shared" si="14"/>
        <v>-1901206</v>
      </c>
      <c r="CJ8" s="21">
        <f t="shared" si="15"/>
        <v>-1840126</v>
      </c>
      <c r="CK8" s="16"/>
    </row>
    <row r="9" spans="2:90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90">
        <f t="shared" si="29"/>
        <v>292380</v>
      </c>
      <c r="BF9" s="90">
        <f t="shared" ref="BF9:BG9" si="30">SUM(BF6:BF8)</f>
        <v>359482</v>
      </c>
      <c r="BG9" s="90">
        <f t="shared" si="30"/>
        <v>360907</v>
      </c>
      <c r="BH9" s="90">
        <f t="shared" ref="BH9:BI9" si="31">SUM(BH6:BH8)</f>
        <v>488113</v>
      </c>
      <c r="BI9" s="90">
        <f t="shared" si="31"/>
        <v>352263</v>
      </c>
      <c r="BJ9" s="90">
        <f t="shared" ref="BJ9:BM9" si="32">SUM(BJ6:BJ8)</f>
        <v>251646</v>
      </c>
      <c r="BK9" s="90">
        <f t="shared" si="32"/>
        <v>220513</v>
      </c>
      <c r="BL9" s="90">
        <f t="shared" si="32"/>
        <v>166536</v>
      </c>
      <c r="BM9" s="90">
        <f t="shared" si="32"/>
        <v>112369</v>
      </c>
      <c r="BN9" s="90">
        <f t="shared" ref="BN9:BO9" si="33">SUM(BN6:BN8)</f>
        <v>106239</v>
      </c>
      <c r="BO9" s="90">
        <f t="shared" si="33"/>
        <v>97428</v>
      </c>
      <c r="BP9" s="90">
        <f t="shared" ref="BP9:BR9" si="34">SUM(BP6:BP8)</f>
        <v>119263</v>
      </c>
      <c r="BQ9" s="90">
        <f t="shared" si="34"/>
        <v>133860</v>
      </c>
      <c r="BR9" s="90">
        <f t="shared" si="34"/>
        <v>120653</v>
      </c>
      <c r="BT9" s="9">
        <f t="shared" si="0"/>
        <v>454325</v>
      </c>
      <c r="BU9" s="9">
        <f t="shared" si="1"/>
        <v>44704</v>
      </c>
      <c r="BV9" s="9">
        <f t="shared" si="2"/>
        <v>193792</v>
      </c>
      <c r="BW9" s="9">
        <f t="shared" si="3"/>
        <v>135250</v>
      </c>
      <c r="BX9" s="9">
        <f t="shared" si="4"/>
        <v>154394</v>
      </c>
      <c r="BY9" s="9">
        <f t="shared" si="5"/>
        <v>162058</v>
      </c>
      <c r="BZ9" s="9">
        <f t="shared" si="6"/>
        <v>183667</v>
      </c>
      <c r="CA9" s="9">
        <f t="shared" si="7"/>
        <v>354581</v>
      </c>
      <c r="CB9" s="12">
        <f t="shared" si="8"/>
        <v>173714</v>
      </c>
      <c r="CC9" s="12">
        <f t="shared" si="9"/>
        <v>391794</v>
      </c>
      <c r="CD9" s="12">
        <f t="shared" si="10"/>
        <v>482721</v>
      </c>
      <c r="CE9" s="12">
        <f t="shared" si="11"/>
        <v>258482</v>
      </c>
      <c r="CF9" s="12">
        <f t="shared" si="12"/>
        <v>443897</v>
      </c>
      <c r="CG9" s="12">
        <f t="shared" si="13"/>
        <v>1033452</v>
      </c>
      <c r="CH9" s="12">
        <f t="shared" si="16"/>
        <v>1452929</v>
      </c>
      <c r="CI9" s="12">
        <f t="shared" si="14"/>
        <v>605657</v>
      </c>
      <c r="CJ9" s="12">
        <f>SUM(BO9:BR9)</f>
        <v>471204</v>
      </c>
      <c r="CK9" s="16"/>
    </row>
    <row r="10" spans="2:90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>
        <v>-4834</v>
      </c>
      <c r="BN10" s="107">
        <v>-4908</v>
      </c>
      <c r="BO10" s="107">
        <v>-4922</v>
      </c>
      <c r="BP10" s="107">
        <v>-5438</v>
      </c>
      <c r="BQ10" s="107">
        <v>-5370</v>
      </c>
      <c r="BR10" s="107">
        <v>-5817</v>
      </c>
      <c r="BS10" s="67"/>
      <c r="BT10" s="2">
        <f t="shared" si="0"/>
        <v>-6857</v>
      </c>
      <c r="BU10" s="2">
        <f t="shared" si="1"/>
        <v>-7486</v>
      </c>
      <c r="BV10" s="2">
        <f t="shared" si="2"/>
        <v>-10021</v>
      </c>
      <c r="BW10" s="2">
        <f t="shared" si="3"/>
        <v>-11813</v>
      </c>
      <c r="BX10" s="2">
        <f t="shared" si="4"/>
        <v>-10097</v>
      </c>
      <c r="BY10" s="2">
        <f t="shared" si="5"/>
        <v>-11538</v>
      </c>
      <c r="BZ10" s="2">
        <f t="shared" si="6"/>
        <v>-11087</v>
      </c>
      <c r="CA10" s="2">
        <f t="shared" si="7"/>
        <v>-11056</v>
      </c>
      <c r="CB10" s="2">
        <f t="shared" si="8"/>
        <v>-21632</v>
      </c>
      <c r="CC10" s="2">
        <f t="shared" si="9"/>
        <v>-22416</v>
      </c>
      <c r="CD10" s="2">
        <f t="shared" si="10"/>
        <v>-10884</v>
      </c>
      <c r="CE10" s="2">
        <f t="shared" si="11"/>
        <v>-13693</v>
      </c>
      <c r="CF10" s="2">
        <f t="shared" si="12"/>
        <v>-20139</v>
      </c>
      <c r="CG10" s="2">
        <f t="shared" si="13"/>
        <v>-18662</v>
      </c>
      <c r="CH10" s="2">
        <f t="shared" si="16"/>
        <v>-17083</v>
      </c>
      <c r="CI10" s="2">
        <f t="shared" si="14"/>
        <v>-19371</v>
      </c>
      <c r="CJ10" s="21">
        <f>SUM(BO10:BR10)</f>
        <v>-21547</v>
      </c>
      <c r="CK10" s="16"/>
    </row>
    <row r="11" spans="2:90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>
        <v>-29676</v>
      </c>
      <c r="BN11" s="91">
        <v>-34363</v>
      </c>
      <c r="BO11" s="91">
        <v>-31245</v>
      </c>
      <c r="BP11" s="91">
        <v>-26621</v>
      </c>
      <c r="BQ11" s="91">
        <v>-39178</v>
      </c>
      <c r="BR11" s="21">
        <v>-30786</v>
      </c>
      <c r="BS11" s="16"/>
      <c r="BT11" s="2">
        <f t="shared" si="0"/>
        <v>-49404</v>
      </c>
      <c r="BU11" s="2">
        <f t="shared" si="1"/>
        <v>-34762</v>
      </c>
      <c r="BV11" s="2">
        <f t="shared" si="2"/>
        <v>-24623</v>
      </c>
      <c r="BW11" s="2">
        <f t="shared" si="3"/>
        <v>-30485</v>
      </c>
      <c r="BX11" s="2">
        <f t="shared" si="4"/>
        <v>-35457</v>
      </c>
      <c r="BY11" s="2">
        <f t="shared" si="5"/>
        <v>-44203</v>
      </c>
      <c r="BZ11" s="2">
        <f t="shared" si="6"/>
        <v>-52465</v>
      </c>
      <c r="CA11" s="2">
        <f t="shared" si="7"/>
        <v>-59310</v>
      </c>
      <c r="CB11" s="2">
        <f t="shared" si="8"/>
        <v>-65344</v>
      </c>
      <c r="CC11" s="2">
        <f t="shared" si="9"/>
        <v>-66917</v>
      </c>
      <c r="CD11" s="2">
        <f t="shared" si="10"/>
        <v>-73097</v>
      </c>
      <c r="CE11" s="2">
        <f t="shared" si="11"/>
        <v>-74402</v>
      </c>
      <c r="CF11" s="2">
        <f t="shared" si="12"/>
        <v>-72853</v>
      </c>
      <c r="CG11" s="2">
        <f t="shared" si="13"/>
        <v>-74423</v>
      </c>
      <c r="CH11" s="91">
        <f t="shared" si="16"/>
        <v>-117799</v>
      </c>
      <c r="CI11" s="91">
        <f t="shared" si="14"/>
        <v>-120340</v>
      </c>
      <c r="CJ11" s="21">
        <f t="shared" ref="CJ11:CJ14" si="35">SUM(BO11:BR11)</f>
        <v>-127830</v>
      </c>
      <c r="CK11" s="16"/>
    </row>
    <row r="12" spans="2:90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>
        <f>-32193-BK12-BL12</f>
        <v>-10999</v>
      </c>
      <c r="BN12" s="91">
        <v>-13097</v>
      </c>
      <c r="BO12" s="91">
        <v>-11217</v>
      </c>
      <c r="BP12" s="91">
        <v>-14748</v>
      </c>
      <c r="BQ12" s="91">
        <f>-37791-BO12-BP12</f>
        <v>-11826</v>
      </c>
      <c r="BR12" s="21">
        <v>-14370</v>
      </c>
      <c r="BS12" s="113"/>
      <c r="BT12" s="91">
        <f t="shared" si="0"/>
        <v>-7573</v>
      </c>
      <c r="BU12" s="91">
        <f t="shared" si="1"/>
        <v>-8657</v>
      </c>
      <c r="BV12" s="91">
        <f t="shared" si="2"/>
        <v>-9885</v>
      </c>
      <c r="BW12" s="91">
        <f t="shared" si="3"/>
        <v>-11864</v>
      </c>
      <c r="BX12" s="91">
        <f t="shared" si="4"/>
        <v>-12832</v>
      </c>
      <c r="BY12" s="91">
        <f t="shared" si="5"/>
        <v>-13704</v>
      </c>
      <c r="BZ12" s="91">
        <f t="shared" si="6"/>
        <v>-14173</v>
      </c>
      <c r="CA12" s="91">
        <f t="shared" si="7"/>
        <v>-15820</v>
      </c>
      <c r="CB12" s="91">
        <f t="shared" si="8"/>
        <v>-16796</v>
      </c>
      <c r="CC12" s="91">
        <f t="shared" si="9"/>
        <v>-20715</v>
      </c>
      <c r="CD12" s="91">
        <f t="shared" si="10"/>
        <v>-17245</v>
      </c>
      <c r="CE12" s="91">
        <f t="shared" si="11"/>
        <v>-30072</v>
      </c>
      <c r="CF12" s="91">
        <f t="shared" si="12"/>
        <v>-28211</v>
      </c>
      <c r="CG12" s="91">
        <f t="shared" si="13"/>
        <v>-33044</v>
      </c>
      <c r="CH12" s="91">
        <f t="shared" si="16"/>
        <v>-38467</v>
      </c>
      <c r="CI12" s="91">
        <f t="shared" si="14"/>
        <v>-45290</v>
      </c>
      <c r="CJ12" s="21">
        <f t="shared" si="35"/>
        <v>-52161</v>
      </c>
      <c r="CK12" s="15"/>
      <c r="CL12" s="16"/>
    </row>
    <row r="13" spans="2:90">
      <c r="B13" t="s">
        <v>217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>
        <f>-37806-BK13-BL13</f>
        <v>-8767</v>
      </c>
      <c r="BN13" s="91">
        <v>-6595</v>
      </c>
      <c r="BO13" s="91">
        <v>-5002</v>
      </c>
      <c r="BP13" s="91">
        <v>-6839</v>
      </c>
      <c r="BQ13" s="91">
        <f>-23842-BO13-BP13</f>
        <v>-12001</v>
      </c>
      <c r="BR13" s="21">
        <v>-14390</v>
      </c>
      <c r="BS13" s="113"/>
      <c r="BT13" s="91">
        <f t="shared" si="0"/>
        <v>-17426</v>
      </c>
      <c r="BU13" s="91">
        <f t="shared" si="1"/>
        <v>-3321</v>
      </c>
      <c r="BV13" s="91">
        <f t="shared" si="2"/>
        <v>-11292</v>
      </c>
      <c r="BW13" s="91">
        <f t="shared" si="3"/>
        <v>-8074</v>
      </c>
      <c r="BX13" s="91">
        <f t="shared" si="4"/>
        <v>-7859</v>
      </c>
      <c r="BY13" s="91">
        <f t="shared" si="5"/>
        <v>-6108</v>
      </c>
      <c r="BZ13" s="91">
        <f t="shared" si="6"/>
        <v>-7304</v>
      </c>
      <c r="CA13" s="91">
        <f t="shared" si="7"/>
        <v>-14904</v>
      </c>
      <c r="CB13" s="91">
        <f t="shared" si="8"/>
        <v>-6231</v>
      </c>
      <c r="CC13" s="91">
        <f t="shared" si="9"/>
        <v>-30964</v>
      </c>
      <c r="CD13" s="91">
        <f t="shared" si="10"/>
        <v>-45581</v>
      </c>
      <c r="CE13" s="91">
        <f t="shared" si="11"/>
        <v>-22937</v>
      </c>
      <c r="CF13" s="91">
        <f t="shared" si="12"/>
        <v>-8018</v>
      </c>
      <c r="CG13" s="91">
        <f t="shared" si="13"/>
        <v>-68652</v>
      </c>
      <c r="CH13" s="91">
        <f t="shared" si="16"/>
        <v>-61148</v>
      </c>
      <c r="CI13" s="91">
        <f t="shared" si="14"/>
        <v>-44401</v>
      </c>
      <c r="CJ13" s="21">
        <f t="shared" si="35"/>
        <v>-38232</v>
      </c>
      <c r="CK13" s="15"/>
      <c r="CL13" s="16"/>
    </row>
    <row r="14" spans="2:90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>
        <v>-10609</v>
      </c>
      <c r="BN14" s="91">
        <v>-30859</v>
      </c>
      <c r="BO14" s="91">
        <v>-10848</v>
      </c>
      <c r="BP14" s="91">
        <v>-17042</v>
      </c>
      <c r="BQ14" s="91">
        <v>-945</v>
      </c>
      <c r="BR14" s="21">
        <v>-30670</v>
      </c>
      <c r="BS14" s="15"/>
      <c r="BT14" s="2">
        <f t="shared" si="0"/>
        <v>-10810</v>
      </c>
      <c r="BU14" s="2">
        <f t="shared" si="1"/>
        <v>8827</v>
      </c>
      <c r="BV14" s="2">
        <f t="shared" si="2"/>
        <v>-12015</v>
      </c>
      <c r="BW14" s="2">
        <f t="shared" si="3"/>
        <v>-10687</v>
      </c>
      <c r="BX14" s="2">
        <f t="shared" si="4"/>
        <v>-18181</v>
      </c>
      <c r="BY14" s="2">
        <f t="shared" si="5"/>
        <v>-10039</v>
      </c>
      <c r="BZ14" s="2">
        <f t="shared" si="6"/>
        <v>-24352</v>
      </c>
      <c r="CA14" s="2">
        <f t="shared" si="7"/>
        <v>-37804</v>
      </c>
      <c r="CB14" s="2">
        <f t="shared" si="8"/>
        <v>-58897</v>
      </c>
      <c r="CC14" s="2">
        <f t="shared" si="9"/>
        <v>-4768</v>
      </c>
      <c r="CD14" s="2">
        <f t="shared" si="10"/>
        <v>39660</v>
      </c>
      <c r="CE14" s="2">
        <f t="shared" si="11"/>
        <v>61864</v>
      </c>
      <c r="CF14" s="2">
        <f t="shared" si="12"/>
        <v>-35779</v>
      </c>
      <c r="CG14" s="2">
        <f t="shared" si="13"/>
        <v>-37829</v>
      </c>
      <c r="CH14" s="2">
        <f t="shared" si="16"/>
        <v>-57463</v>
      </c>
      <c r="CI14" s="2">
        <f t="shared" si="14"/>
        <v>-72524</v>
      </c>
      <c r="CJ14" s="21">
        <f t="shared" si="35"/>
        <v>-59505</v>
      </c>
      <c r="CK14" s="16"/>
      <c r="CL14" s="16"/>
    </row>
    <row r="15" spans="2:90" ht="15.75" thickBot="1">
      <c r="B15" s="9" t="s">
        <v>18</v>
      </c>
      <c r="C15" s="9">
        <f t="shared" ref="C15:AB15" si="36">SUM(C9:C14)</f>
        <v>46466</v>
      </c>
      <c r="D15" s="9">
        <f t="shared" si="36"/>
        <v>129634</v>
      </c>
      <c r="E15" s="9">
        <f t="shared" si="36"/>
        <v>121243</v>
      </c>
      <c r="F15" s="9">
        <f t="shared" si="36"/>
        <v>64912</v>
      </c>
      <c r="G15" s="9">
        <f t="shared" si="36"/>
        <v>18060</v>
      </c>
      <c r="H15" s="9">
        <f t="shared" si="36"/>
        <v>-590</v>
      </c>
      <c r="I15" s="9">
        <f t="shared" si="36"/>
        <v>-9908</v>
      </c>
      <c r="J15" s="9">
        <f t="shared" si="36"/>
        <v>-8257</v>
      </c>
      <c r="K15" s="9">
        <f t="shared" si="36"/>
        <v>16174</v>
      </c>
      <c r="L15" s="9">
        <f t="shared" si="36"/>
        <v>49617</v>
      </c>
      <c r="M15" s="9">
        <f t="shared" si="36"/>
        <v>35632</v>
      </c>
      <c r="N15" s="9">
        <f t="shared" si="36"/>
        <v>24533</v>
      </c>
      <c r="O15" s="9">
        <f t="shared" si="36"/>
        <v>34640</v>
      </c>
      <c r="P15" s="9">
        <f t="shared" si="36"/>
        <v>21746</v>
      </c>
      <c r="Q15" s="9">
        <f t="shared" si="36"/>
        <v>6164</v>
      </c>
      <c r="R15" s="9">
        <f t="shared" si="36"/>
        <v>-223</v>
      </c>
      <c r="S15" s="9">
        <f t="shared" si="36"/>
        <v>16654</v>
      </c>
      <c r="T15" s="9">
        <f t="shared" si="36"/>
        <v>23113</v>
      </c>
      <c r="U15" s="9">
        <f t="shared" si="36"/>
        <v>29072</v>
      </c>
      <c r="V15" s="9">
        <f t="shared" si="36"/>
        <v>1129</v>
      </c>
      <c r="W15" s="9">
        <f t="shared" si="36"/>
        <v>10096</v>
      </c>
      <c r="X15" s="9">
        <f t="shared" si="36"/>
        <v>18976</v>
      </c>
      <c r="Y15" s="9">
        <f t="shared" si="36"/>
        <v>25484</v>
      </c>
      <c r="Z15" s="9">
        <f t="shared" si="36"/>
        <v>21910</v>
      </c>
      <c r="AA15" s="9">
        <f t="shared" si="36"/>
        <v>28062</v>
      </c>
      <c r="AB15" s="9">
        <f t="shared" si="36"/>
        <v>29263</v>
      </c>
      <c r="AC15" s="9">
        <f t="shared" ref="AC15:AD15" si="37">SUM(AC9:AC14)</f>
        <v>12020</v>
      </c>
      <c r="AD15" s="9">
        <f t="shared" si="37"/>
        <v>4941</v>
      </c>
      <c r="AE15" s="9">
        <f t="shared" ref="AE15:AF15" si="38">SUM(AE9:AE14)</f>
        <v>49496</v>
      </c>
      <c r="AF15" s="9">
        <f t="shared" si="38"/>
        <v>77239</v>
      </c>
      <c r="AG15" s="9">
        <f t="shared" ref="AG15:AI15" si="39">SUM(AG9:AG14)</f>
        <v>64311</v>
      </c>
      <c r="AH15" s="9">
        <f t="shared" si="39"/>
        <v>24641</v>
      </c>
      <c r="AI15" s="9">
        <f t="shared" si="39"/>
        <v>35716</v>
      </c>
      <c r="AJ15" s="9">
        <f t="shared" ref="AJ15:AK15" si="40">SUM(AJ9:AJ14)</f>
        <v>-33468</v>
      </c>
      <c r="AK15" s="9">
        <f t="shared" si="40"/>
        <v>-31864</v>
      </c>
      <c r="AL15" s="9">
        <f t="shared" ref="AL15:AO15" si="41">SUM(AL9:AL14)</f>
        <v>34430</v>
      </c>
      <c r="AM15" s="9">
        <f t="shared" si="41"/>
        <v>80331</v>
      </c>
      <c r="AN15" s="9">
        <f t="shared" si="41"/>
        <v>60912</v>
      </c>
      <c r="AO15" s="9">
        <f t="shared" si="41"/>
        <v>40378</v>
      </c>
      <c r="AP15" s="9">
        <f t="shared" ref="AP15:AR15" si="42">SUM(AP9:AP14)</f>
        <v>64393</v>
      </c>
      <c r="AQ15" s="9">
        <f>SUM(AQ9:AQ14)</f>
        <v>73399</v>
      </c>
      <c r="AR15" s="9">
        <f t="shared" si="42"/>
        <v>91884</v>
      </c>
      <c r="AS15" s="9">
        <f t="shared" ref="AS15:AT15" si="43">SUM(AS9:AS14)</f>
        <v>192131</v>
      </c>
      <c r="AT15" s="9">
        <f t="shared" si="43"/>
        <v>18160</v>
      </c>
      <c r="AU15" s="9">
        <f t="shared" ref="AU15:AV15" si="44">SUM(AU9:AU14)</f>
        <v>53860</v>
      </c>
      <c r="AV15" s="9">
        <f t="shared" si="44"/>
        <v>34603</v>
      </c>
      <c r="AW15" s="9">
        <f t="shared" ref="AW15:AY15" si="45">SUM(AW9:AW14)</f>
        <v>96190</v>
      </c>
      <c r="AX15" s="90">
        <f t="shared" si="45"/>
        <v>-5411</v>
      </c>
      <c r="AY15" s="90">
        <f t="shared" si="45"/>
        <v>30599</v>
      </c>
      <c r="AZ15" s="9">
        <f t="shared" ref="AZ15:BA15" si="46">SUM(AZ9:AZ14)</f>
        <v>89602</v>
      </c>
      <c r="BA15" s="9">
        <f t="shared" si="46"/>
        <v>78762</v>
      </c>
      <c r="BB15" s="9">
        <f t="shared" ref="BB15:BC15" si="47">SUM(BB9:BB14)</f>
        <v>79934</v>
      </c>
      <c r="BC15" s="9">
        <f t="shared" si="47"/>
        <v>119235</v>
      </c>
      <c r="BD15" s="9">
        <f t="shared" ref="BD15:BE15" si="48">SUM(BD9:BD14)</f>
        <v>168822</v>
      </c>
      <c r="BE15" s="90">
        <f t="shared" si="48"/>
        <v>227145</v>
      </c>
      <c r="BF15" s="90">
        <f t="shared" ref="BF15:BG15" si="49">SUM(BF9:BF14)</f>
        <v>285640</v>
      </c>
      <c r="BG15" s="90">
        <f t="shared" si="49"/>
        <v>313870</v>
      </c>
      <c r="BH15" s="90">
        <f t="shared" ref="BH15:BI15" si="50">SUM(BH9:BH14)</f>
        <v>408301</v>
      </c>
      <c r="BI15" s="90">
        <f t="shared" si="50"/>
        <v>291833</v>
      </c>
      <c r="BJ15" s="90">
        <f t="shared" ref="BJ15:BM15" si="51">SUM(BJ9:BJ14)</f>
        <v>146965</v>
      </c>
      <c r="BK15" s="90">
        <f t="shared" si="51"/>
        <v>141850</v>
      </c>
      <c r="BL15" s="90">
        <f t="shared" si="51"/>
        <v>97980</v>
      </c>
      <c r="BM15" s="90">
        <f t="shared" si="51"/>
        <v>47484</v>
      </c>
      <c r="BN15" s="90">
        <f t="shared" ref="BN15:BO15" si="52">SUM(BN9:BN14)</f>
        <v>16417</v>
      </c>
      <c r="BO15" s="90">
        <f t="shared" si="52"/>
        <v>34194</v>
      </c>
      <c r="BP15" s="90">
        <f t="shared" ref="BP15:BR15" si="53">SUM(BP9:BP14)</f>
        <v>48575</v>
      </c>
      <c r="BQ15" s="90">
        <f t="shared" si="53"/>
        <v>64540</v>
      </c>
      <c r="BR15" s="90">
        <f t="shared" si="53"/>
        <v>24620</v>
      </c>
      <c r="BT15" s="9">
        <f t="shared" si="0"/>
        <v>362255</v>
      </c>
      <c r="BU15" s="9">
        <f t="shared" si="1"/>
        <v>-695</v>
      </c>
      <c r="BV15" s="9">
        <f t="shared" si="2"/>
        <v>125956</v>
      </c>
      <c r="BW15" s="9">
        <f t="shared" si="3"/>
        <v>62327</v>
      </c>
      <c r="BX15" s="9">
        <f t="shared" si="4"/>
        <v>69968</v>
      </c>
      <c r="BY15" s="9">
        <f t="shared" si="5"/>
        <v>76466</v>
      </c>
      <c r="BZ15" s="9">
        <f t="shared" si="6"/>
        <v>74286</v>
      </c>
      <c r="CA15" s="9">
        <f t="shared" si="7"/>
        <v>215687</v>
      </c>
      <c r="CB15" s="12">
        <f t="shared" si="8"/>
        <v>4814</v>
      </c>
      <c r="CC15" s="12">
        <f t="shared" si="9"/>
        <v>246014</v>
      </c>
      <c r="CD15" s="12">
        <f t="shared" si="10"/>
        <v>375574</v>
      </c>
      <c r="CE15" s="12">
        <f t="shared" si="11"/>
        <v>179242</v>
      </c>
      <c r="CF15" s="12">
        <f t="shared" si="12"/>
        <v>278897</v>
      </c>
      <c r="CG15" s="12">
        <f t="shared" si="13"/>
        <v>800842</v>
      </c>
      <c r="CH15" s="12">
        <f t="shared" si="16"/>
        <v>1160969</v>
      </c>
      <c r="CI15" s="12">
        <f t="shared" si="14"/>
        <v>303731</v>
      </c>
      <c r="CJ15" s="12">
        <f t="shared" ref="CJ15:CJ21" si="54">SUM(BO15:BR15)</f>
        <v>171929</v>
      </c>
      <c r="CK15" s="16"/>
    </row>
    <row r="16" spans="2:90">
      <c r="B16" t="s">
        <v>149</v>
      </c>
      <c r="C16" s="54">
        <f t="shared" ref="C16:AB16" si="55">SUM(C17:C18)</f>
        <v>4485</v>
      </c>
      <c r="D16" s="54">
        <f t="shared" si="55"/>
        <v>4785</v>
      </c>
      <c r="E16" s="54">
        <f t="shared" si="55"/>
        <v>12613</v>
      </c>
      <c r="F16" s="54">
        <f t="shared" si="55"/>
        <v>14773</v>
      </c>
      <c r="G16" s="54">
        <f t="shared" si="55"/>
        <v>9926</v>
      </c>
      <c r="H16" s="54">
        <f t="shared" si="55"/>
        <v>10546</v>
      </c>
      <c r="I16" s="54">
        <f t="shared" si="55"/>
        <v>8430</v>
      </c>
      <c r="J16" s="54">
        <f t="shared" si="55"/>
        <v>10860</v>
      </c>
      <c r="K16" s="54">
        <f t="shared" si="55"/>
        <v>7927</v>
      </c>
      <c r="L16" s="54">
        <f t="shared" si="55"/>
        <v>9543</v>
      </c>
      <c r="M16" s="54">
        <f t="shared" si="55"/>
        <v>12001</v>
      </c>
      <c r="N16" s="54">
        <f t="shared" si="55"/>
        <v>6367</v>
      </c>
      <c r="O16" s="54">
        <f t="shared" si="55"/>
        <v>10391</v>
      </c>
      <c r="P16" s="54">
        <f t="shared" si="55"/>
        <v>10990</v>
      </c>
      <c r="Q16" s="54">
        <f t="shared" si="55"/>
        <v>10525</v>
      </c>
      <c r="R16" s="54">
        <f t="shared" si="55"/>
        <v>14804</v>
      </c>
      <c r="S16" s="54">
        <f t="shared" si="55"/>
        <v>10329</v>
      </c>
      <c r="T16" s="54">
        <f t="shared" si="55"/>
        <v>6188</v>
      </c>
      <c r="U16" s="54">
        <f t="shared" si="55"/>
        <v>5733</v>
      </c>
      <c r="V16" s="54">
        <f t="shared" si="55"/>
        <v>5532</v>
      </c>
      <c r="W16" s="54">
        <f t="shared" si="55"/>
        <v>2638</v>
      </c>
      <c r="X16" s="54">
        <f t="shared" si="55"/>
        <v>4623</v>
      </c>
      <c r="Y16" s="54">
        <f t="shared" si="55"/>
        <v>2926</v>
      </c>
      <c r="Z16" s="54">
        <f t="shared" si="55"/>
        <v>6484</v>
      </c>
      <c r="AA16" s="54">
        <f t="shared" si="55"/>
        <v>4802</v>
      </c>
      <c r="AB16" s="54">
        <f t="shared" si="55"/>
        <v>6877</v>
      </c>
      <c r="AC16" s="54">
        <f t="shared" ref="AC16:AD16" si="56">SUM(AC17:AC18)</f>
        <v>9315</v>
      </c>
      <c r="AD16" s="54">
        <f t="shared" si="56"/>
        <v>8073</v>
      </c>
      <c r="AE16" s="54">
        <f t="shared" ref="AE16:AF16" si="57">SUM(AE17:AE18)</f>
        <v>-7762</v>
      </c>
      <c r="AF16" s="54">
        <f t="shared" si="57"/>
        <v>14345</v>
      </c>
      <c r="AG16" s="54">
        <f t="shared" ref="AG16:AI16" si="58">SUM(AG17:AG18)</f>
        <v>-28202</v>
      </c>
      <c r="AH16" s="54">
        <f t="shared" si="58"/>
        <v>-2681</v>
      </c>
      <c r="AI16" s="54">
        <f t="shared" si="58"/>
        <v>-14528</v>
      </c>
      <c r="AJ16" s="54">
        <f t="shared" ref="AJ16:AK16" si="59">SUM(AJ17:AJ18)</f>
        <v>3681</v>
      </c>
      <c r="AK16" s="54">
        <f t="shared" si="59"/>
        <v>22498</v>
      </c>
      <c r="AL16" s="54">
        <f t="shared" ref="AL16:AO16" si="60">SUM(AL17:AL18)</f>
        <v>25436</v>
      </c>
      <c r="AM16" s="54">
        <f t="shared" si="60"/>
        <v>22020</v>
      </c>
      <c r="AN16" s="54">
        <f t="shared" si="60"/>
        <v>16400</v>
      </c>
      <c r="AO16" s="54">
        <f t="shared" si="60"/>
        <v>16019</v>
      </c>
      <c r="AP16" s="54">
        <f t="shared" ref="AP16:AR16" si="61">SUM(AP17:AP18)</f>
        <v>8435</v>
      </c>
      <c r="AQ16" s="54">
        <f t="shared" si="61"/>
        <v>7660</v>
      </c>
      <c r="AR16" s="54">
        <f t="shared" si="61"/>
        <v>-4333</v>
      </c>
      <c r="AS16" s="54">
        <f t="shared" ref="AS16:AT16" si="62">SUM(AS17:AS18)</f>
        <v>-15822</v>
      </c>
      <c r="AT16" s="54">
        <f t="shared" si="62"/>
        <v>-13179</v>
      </c>
      <c r="AU16" s="54">
        <f t="shared" ref="AU16:AV16" si="63">SUM(AU17:AU18)</f>
        <v>1680</v>
      </c>
      <c r="AV16" s="54">
        <f t="shared" si="63"/>
        <v>-899</v>
      </c>
      <c r="AW16" s="80">
        <f t="shared" ref="AW16:AY16" si="64">SUM(AW17:AW18)</f>
        <v>83313</v>
      </c>
      <c r="AX16" s="80">
        <v>-7956</v>
      </c>
      <c r="AY16" s="80">
        <f t="shared" si="64"/>
        <v>-23188</v>
      </c>
      <c r="AZ16" s="80">
        <f t="shared" ref="AZ16:BA16" si="65">SUM(AZ17:AZ18)</f>
        <v>-62353</v>
      </c>
      <c r="BA16" s="80">
        <f t="shared" si="65"/>
        <v>-69362</v>
      </c>
      <c r="BB16" s="80">
        <f t="shared" ref="BB16:BC16" si="66">SUM(BB17:BB18)</f>
        <v>-52129</v>
      </c>
      <c r="BC16" s="80">
        <f t="shared" si="66"/>
        <v>-47805</v>
      </c>
      <c r="BD16" s="80">
        <f t="shared" ref="BD16:BE16" si="67">SUM(BD17:BD18)</f>
        <v>-36453</v>
      </c>
      <c r="BE16" s="80">
        <f t="shared" si="67"/>
        <v>-3694</v>
      </c>
      <c r="BF16" s="80">
        <f t="shared" ref="BF16:BG16" si="68">SUM(BF17:BF18)</f>
        <v>-11229</v>
      </c>
      <c r="BG16" s="80">
        <f t="shared" si="68"/>
        <v>-12738</v>
      </c>
      <c r="BH16" s="80">
        <f t="shared" ref="BH16:BI16" si="69">SUM(BH17:BH18)</f>
        <v>29666</v>
      </c>
      <c r="BI16" s="80">
        <f t="shared" si="69"/>
        <v>31356</v>
      </c>
      <c r="BJ16" s="80">
        <f t="shared" ref="BJ16:BM16" si="70">SUM(BJ17:BJ18)</f>
        <v>35109</v>
      </c>
      <c r="BK16" s="80">
        <f t="shared" si="70"/>
        <v>23256</v>
      </c>
      <c r="BL16" s="80">
        <f t="shared" si="70"/>
        <v>29505</v>
      </c>
      <c r="BM16" s="80">
        <f t="shared" si="70"/>
        <v>36225</v>
      </c>
      <c r="BN16" s="80">
        <f t="shared" ref="BN16:BO16" si="71">SUM(BN17:BN18)</f>
        <v>26920</v>
      </c>
      <c r="BO16" s="80">
        <f t="shared" si="71"/>
        <v>27706</v>
      </c>
      <c r="BP16" s="80">
        <f t="shared" ref="BP16:BR16" si="72">SUM(BP17:BP18)</f>
        <v>21474</v>
      </c>
      <c r="BQ16" s="80">
        <f t="shared" si="72"/>
        <v>25252</v>
      </c>
      <c r="BR16" s="80">
        <f t="shared" si="72"/>
        <v>73474</v>
      </c>
      <c r="BS16" s="80"/>
      <c r="BT16" s="2">
        <f t="shared" si="0"/>
        <v>36656</v>
      </c>
      <c r="BU16" s="2">
        <f t="shared" si="1"/>
        <v>39762</v>
      </c>
      <c r="BV16" s="2">
        <f t="shared" si="2"/>
        <v>35838</v>
      </c>
      <c r="BW16" s="2">
        <f t="shared" si="3"/>
        <v>46710</v>
      </c>
      <c r="BX16" s="2">
        <f t="shared" si="4"/>
        <v>27782</v>
      </c>
      <c r="BY16" s="2">
        <f t="shared" si="5"/>
        <v>16671</v>
      </c>
      <c r="BZ16" s="2">
        <f t="shared" si="6"/>
        <v>29067</v>
      </c>
      <c r="CA16" s="2">
        <f t="shared" si="7"/>
        <v>-24300</v>
      </c>
      <c r="CB16" s="2">
        <f t="shared" si="8"/>
        <v>37087</v>
      </c>
      <c r="CC16" s="2">
        <f t="shared" si="9"/>
        <v>62874</v>
      </c>
      <c r="CD16" s="2">
        <f t="shared" si="10"/>
        <v>-25674</v>
      </c>
      <c r="CE16" s="2">
        <f t="shared" si="11"/>
        <v>76138</v>
      </c>
      <c r="CF16" s="2">
        <f t="shared" si="12"/>
        <v>-207032</v>
      </c>
      <c r="CG16" s="2">
        <f t="shared" si="13"/>
        <v>-99181</v>
      </c>
      <c r="CH16" s="2">
        <f t="shared" si="16"/>
        <v>83393</v>
      </c>
      <c r="CI16" s="54">
        <f t="shared" si="14"/>
        <v>115906</v>
      </c>
      <c r="CJ16" s="54">
        <f t="shared" si="54"/>
        <v>147906</v>
      </c>
      <c r="CK16" s="16"/>
    </row>
    <row r="17" spans="2:90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>
        <f>144569-BK17-BL17</f>
        <v>50720</v>
      </c>
      <c r="BN17" s="91">
        <v>44721</v>
      </c>
      <c r="BO17" s="91">
        <v>38355</v>
      </c>
      <c r="BP17" s="91">
        <v>41246</v>
      </c>
      <c r="BQ17" s="91">
        <f>128782-BP17-BO17</f>
        <v>49181</v>
      </c>
      <c r="BR17" s="107">
        <v>114544</v>
      </c>
      <c r="BT17" s="2">
        <f t="shared" si="0"/>
        <v>39579</v>
      </c>
      <c r="BU17" s="2">
        <f t="shared" si="1"/>
        <v>43703</v>
      </c>
      <c r="BV17" s="2">
        <f t="shared" si="2"/>
        <v>42133</v>
      </c>
      <c r="BW17" s="2">
        <f t="shared" si="3"/>
        <v>47873</v>
      </c>
      <c r="BX17" s="2">
        <f t="shared" si="4"/>
        <v>32017</v>
      </c>
      <c r="BY17" s="2">
        <f t="shared" si="5"/>
        <v>22546</v>
      </c>
      <c r="BZ17" s="2">
        <f t="shared" si="6"/>
        <v>33665</v>
      </c>
      <c r="CA17" s="2">
        <f t="shared" si="7"/>
        <v>36359</v>
      </c>
      <c r="CB17" s="2">
        <f t="shared" si="8"/>
        <v>49514</v>
      </c>
      <c r="CC17" s="2">
        <f t="shared" si="9"/>
        <v>75652</v>
      </c>
      <c r="CD17" s="2">
        <f t="shared" si="10"/>
        <v>50410</v>
      </c>
      <c r="CE17" s="2">
        <f t="shared" si="11"/>
        <v>143160</v>
      </c>
      <c r="CF17" s="2">
        <f t="shared" si="12"/>
        <v>66690</v>
      </c>
      <c r="CG17" s="2">
        <f t="shared" si="13"/>
        <v>80341</v>
      </c>
      <c r="CH17" s="2">
        <f t="shared" si="16"/>
        <v>208764</v>
      </c>
      <c r="CI17" s="2">
        <f t="shared" si="14"/>
        <v>189290</v>
      </c>
      <c r="CJ17" s="2">
        <f t="shared" si="54"/>
        <v>243326</v>
      </c>
      <c r="CK17" s="16"/>
      <c r="CL17" s="16"/>
    </row>
    <row r="18" spans="2:90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>
        <f>-55583-BK18-BL18</f>
        <v>-14495</v>
      </c>
      <c r="BN18" s="91">
        <v>-17801</v>
      </c>
      <c r="BO18" s="91">
        <v>-10649</v>
      </c>
      <c r="BP18" s="91">
        <v>-19772</v>
      </c>
      <c r="BQ18" s="91">
        <f>-54350-BP18-BO18</f>
        <v>-23929</v>
      </c>
      <c r="BR18" s="107">
        <v>-41070</v>
      </c>
      <c r="BT18" s="2">
        <f t="shared" si="0"/>
        <v>-2923</v>
      </c>
      <c r="BU18" s="2">
        <f t="shared" si="1"/>
        <v>-3941</v>
      </c>
      <c r="BV18" s="2">
        <f t="shared" si="2"/>
        <v>-6295</v>
      </c>
      <c r="BW18" s="2">
        <f t="shared" si="3"/>
        <v>-1163</v>
      </c>
      <c r="BX18" s="2">
        <f t="shared" si="4"/>
        <v>-4235</v>
      </c>
      <c r="BY18" s="2">
        <f t="shared" si="5"/>
        <v>-5875</v>
      </c>
      <c r="BZ18" s="2">
        <f t="shared" si="6"/>
        <v>-4598</v>
      </c>
      <c r="CA18" s="2">
        <f t="shared" si="7"/>
        <v>-60659</v>
      </c>
      <c r="CB18" s="2">
        <f t="shared" si="8"/>
        <v>-12427</v>
      </c>
      <c r="CC18" s="2">
        <f t="shared" si="9"/>
        <v>-12778</v>
      </c>
      <c r="CD18" s="2">
        <f t="shared" si="10"/>
        <v>-76084</v>
      </c>
      <c r="CE18" s="2">
        <f t="shared" si="11"/>
        <v>-67022</v>
      </c>
      <c r="CF18" s="2">
        <f t="shared" si="12"/>
        <v>-273722</v>
      </c>
      <c r="CG18" s="2">
        <f t="shared" si="13"/>
        <v>-179522</v>
      </c>
      <c r="CH18" s="2">
        <f t="shared" si="16"/>
        <v>-125371</v>
      </c>
      <c r="CI18" s="2">
        <f t="shared" si="14"/>
        <v>-73384</v>
      </c>
      <c r="CJ18" s="2">
        <f t="shared" si="54"/>
        <v>-95420</v>
      </c>
      <c r="CK18" s="16"/>
      <c r="CL18" s="16"/>
    </row>
    <row r="19" spans="2:90" ht="15.75" thickBot="1">
      <c r="B19" s="9" t="s">
        <v>71</v>
      </c>
      <c r="C19" s="9">
        <f t="shared" ref="C19:AB19" si="73">C15+C16</f>
        <v>50951</v>
      </c>
      <c r="D19" s="9">
        <f t="shared" si="73"/>
        <v>134419</v>
      </c>
      <c r="E19" s="9">
        <f t="shared" si="73"/>
        <v>133856</v>
      </c>
      <c r="F19" s="9">
        <f t="shared" si="73"/>
        <v>79685</v>
      </c>
      <c r="G19" s="9">
        <f t="shared" si="73"/>
        <v>27986</v>
      </c>
      <c r="H19" s="9">
        <f t="shared" si="73"/>
        <v>9956</v>
      </c>
      <c r="I19" s="9">
        <f t="shared" si="73"/>
        <v>-1478</v>
      </c>
      <c r="J19" s="9">
        <f t="shared" si="73"/>
        <v>2603</v>
      </c>
      <c r="K19" s="9">
        <f t="shared" si="73"/>
        <v>24101</v>
      </c>
      <c r="L19" s="9">
        <f t="shared" si="73"/>
        <v>59160</v>
      </c>
      <c r="M19" s="9">
        <f t="shared" si="73"/>
        <v>47633</v>
      </c>
      <c r="N19" s="9">
        <f t="shared" si="73"/>
        <v>30900</v>
      </c>
      <c r="O19" s="9">
        <f t="shared" si="73"/>
        <v>45031</v>
      </c>
      <c r="P19" s="9">
        <f t="shared" si="73"/>
        <v>32736</v>
      </c>
      <c r="Q19" s="9">
        <f t="shared" si="73"/>
        <v>16689</v>
      </c>
      <c r="R19" s="9">
        <f t="shared" si="73"/>
        <v>14581</v>
      </c>
      <c r="S19" s="9">
        <f t="shared" si="73"/>
        <v>26983</v>
      </c>
      <c r="T19" s="9">
        <f t="shared" si="73"/>
        <v>29301</v>
      </c>
      <c r="U19" s="9">
        <f t="shared" si="73"/>
        <v>34805</v>
      </c>
      <c r="V19" s="9">
        <f t="shared" si="73"/>
        <v>6661</v>
      </c>
      <c r="W19" s="9">
        <f t="shared" si="73"/>
        <v>12734</v>
      </c>
      <c r="X19" s="9">
        <f t="shared" si="73"/>
        <v>23599</v>
      </c>
      <c r="Y19" s="9">
        <f t="shared" si="73"/>
        <v>28410</v>
      </c>
      <c r="Z19" s="9">
        <f t="shared" si="73"/>
        <v>28394</v>
      </c>
      <c r="AA19" s="9">
        <f t="shared" si="73"/>
        <v>32864</v>
      </c>
      <c r="AB19" s="9">
        <f t="shared" si="73"/>
        <v>36140</v>
      </c>
      <c r="AC19" s="9">
        <f t="shared" ref="AC19:AD19" si="74">AC15+AC16</f>
        <v>21335</v>
      </c>
      <c r="AD19" s="9">
        <f t="shared" si="74"/>
        <v>13014</v>
      </c>
      <c r="AE19" s="9">
        <f t="shared" ref="AE19:AF19" si="75">AE15+AE16</f>
        <v>41734</v>
      </c>
      <c r="AF19" s="9">
        <f t="shared" si="75"/>
        <v>91584</v>
      </c>
      <c r="AG19" s="9">
        <f t="shared" ref="AG19:AI19" si="76">AG15+AG16</f>
        <v>36109</v>
      </c>
      <c r="AH19" s="9">
        <f t="shared" si="76"/>
        <v>21960</v>
      </c>
      <c r="AI19" s="9">
        <f t="shared" si="76"/>
        <v>21188</v>
      </c>
      <c r="AJ19" s="9">
        <f t="shared" ref="AJ19:AK19" si="77">AJ15+AJ16</f>
        <v>-29787</v>
      </c>
      <c r="AK19" s="9">
        <f t="shared" si="77"/>
        <v>-9366</v>
      </c>
      <c r="AL19" s="9">
        <f t="shared" ref="AL19:AO19" si="78">AL15+AL16</f>
        <v>59866</v>
      </c>
      <c r="AM19" s="9">
        <f t="shared" si="78"/>
        <v>102351</v>
      </c>
      <c r="AN19" s="9">
        <f t="shared" si="78"/>
        <v>77312</v>
      </c>
      <c r="AO19" s="9">
        <f t="shared" si="78"/>
        <v>56397</v>
      </c>
      <c r="AP19" s="9">
        <f t="shared" ref="AP19:AR19" si="79">AP15+AP16</f>
        <v>72828</v>
      </c>
      <c r="AQ19" s="9">
        <f t="shared" si="79"/>
        <v>81059</v>
      </c>
      <c r="AR19" s="9">
        <f t="shared" si="79"/>
        <v>87551</v>
      </c>
      <c r="AS19" s="9">
        <f t="shared" ref="AS19:AT19" si="80">AS15+AS16</f>
        <v>176309</v>
      </c>
      <c r="AT19" s="9">
        <f t="shared" si="80"/>
        <v>4981</v>
      </c>
      <c r="AU19" s="9">
        <f t="shared" ref="AU19:AV19" si="81">AU15+AU16</f>
        <v>55540</v>
      </c>
      <c r="AV19" s="9">
        <f t="shared" si="81"/>
        <v>33704</v>
      </c>
      <c r="AW19" s="9">
        <f t="shared" ref="AW19:AY19" si="82">AW15+AW16</f>
        <v>179503</v>
      </c>
      <c r="AX19" s="90">
        <f t="shared" si="82"/>
        <v>-13367</v>
      </c>
      <c r="AY19" s="90">
        <f t="shared" si="82"/>
        <v>7411</v>
      </c>
      <c r="AZ19" s="9">
        <f t="shared" ref="AZ19:BA19" si="83">AZ15+AZ16</f>
        <v>27249</v>
      </c>
      <c r="BA19" s="90">
        <f t="shared" si="83"/>
        <v>9400</v>
      </c>
      <c r="BB19" s="90">
        <f t="shared" ref="BB19:BC19" si="84">BB15+BB16</f>
        <v>27805</v>
      </c>
      <c r="BC19" s="90">
        <f t="shared" si="84"/>
        <v>71430</v>
      </c>
      <c r="BD19" s="90">
        <f t="shared" ref="BD19:BE19" si="85">BD15+BD16</f>
        <v>132369</v>
      </c>
      <c r="BE19" s="90">
        <f t="shared" si="85"/>
        <v>223451</v>
      </c>
      <c r="BF19" s="90">
        <f t="shared" ref="BF19:BG19" si="86">BF15+BF16</f>
        <v>274411</v>
      </c>
      <c r="BG19" s="90">
        <f t="shared" si="86"/>
        <v>301132</v>
      </c>
      <c r="BH19" s="90">
        <f t="shared" ref="BH19:BI19" si="87">BH15+BH16</f>
        <v>437967</v>
      </c>
      <c r="BI19" s="90">
        <f t="shared" si="87"/>
        <v>323189</v>
      </c>
      <c r="BJ19" s="90">
        <f t="shared" ref="BJ19:BM19" si="88">BJ15+BJ16</f>
        <v>182074</v>
      </c>
      <c r="BK19" s="90">
        <f t="shared" si="88"/>
        <v>165106</v>
      </c>
      <c r="BL19" s="90">
        <f t="shared" si="88"/>
        <v>127485</v>
      </c>
      <c r="BM19" s="90">
        <f t="shared" si="88"/>
        <v>83709</v>
      </c>
      <c r="BN19" s="90">
        <f t="shared" ref="BN19:BO19" si="89">BN15+BN16</f>
        <v>43337</v>
      </c>
      <c r="BO19" s="90">
        <f t="shared" si="89"/>
        <v>61900</v>
      </c>
      <c r="BP19" s="90">
        <f t="shared" ref="BP19:BR19" si="90">BP15+BP16</f>
        <v>70049</v>
      </c>
      <c r="BQ19" s="90">
        <f t="shared" si="90"/>
        <v>89792</v>
      </c>
      <c r="BR19" s="90">
        <f t="shared" si="90"/>
        <v>98094</v>
      </c>
      <c r="BT19" s="9">
        <f t="shared" si="0"/>
        <v>398911</v>
      </c>
      <c r="BU19" s="9">
        <f t="shared" si="1"/>
        <v>39067</v>
      </c>
      <c r="BV19" s="9">
        <f t="shared" si="2"/>
        <v>161794</v>
      </c>
      <c r="BW19" s="9">
        <f t="shared" si="3"/>
        <v>109037</v>
      </c>
      <c r="BX19" s="9">
        <f t="shared" si="4"/>
        <v>97750</v>
      </c>
      <c r="BY19" s="9">
        <f t="shared" si="5"/>
        <v>93137</v>
      </c>
      <c r="BZ19" s="9">
        <f t="shared" si="6"/>
        <v>103353</v>
      </c>
      <c r="CA19" s="9">
        <f t="shared" si="7"/>
        <v>191387</v>
      </c>
      <c r="CB19" s="12">
        <f t="shared" si="8"/>
        <v>41901</v>
      </c>
      <c r="CC19" s="12">
        <f t="shared" si="9"/>
        <v>308888</v>
      </c>
      <c r="CD19" s="12">
        <f t="shared" si="10"/>
        <v>349900</v>
      </c>
      <c r="CE19" s="12">
        <f t="shared" si="11"/>
        <v>255380</v>
      </c>
      <c r="CF19" s="12">
        <f t="shared" si="12"/>
        <v>71865</v>
      </c>
      <c r="CG19" s="12">
        <f t="shared" si="13"/>
        <v>701661</v>
      </c>
      <c r="CH19" s="12">
        <f t="shared" si="16"/>
        <v>1244362</v>
      </c>
      <c r="CI19" s="12">
        <f t="shared" si="14"/>
        <v>419637</v>
      </c>
      <c r="CJ19" s="12">
        <f t="shared" si="54"/>
        <v>319835</v>
      </c>
      <c r="CK19" s="16"/>
    </row>
    <row r="20" spans="2:90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>
        <v>-9182</v>
      </c>
      <c r="BN20" s="91">
        <v>11686</v>
      </c>
      <c r="BO20" s="91">
        <v>-20695</v>
      </c>
      <c r="BP20" s="91">
        <v>-13318</v>
      </c>
      <c r="BQ20" s="91">
        <v>13759</v>
      </c>
      <c r="BR20" s="21">
        <v>28173</v>
      </c>
      <c r="BS20" s="2"/>
      <c r="BT20" s="2">
        <f t="shared" si="0"/>
        <v>-61051</v>
      </c>
      <c r="BU20" s="2">
        <f t="shared" si="1"/>
        <v>-10435</v>
      </c>
      <c r="BV20" s="2">
        <f t="shared" si="2"/>
        <v>-27824</v>
      </c>
      <c r="BW20" s="2">
        <f t="shared" si="3"/>
        <v>-18157</v>
      </c>
      <c r="BX20" s="2">
        <f t="shared" si="4"/>
        <v>-12206</v>
      </c>
      <c r="BY20" s="2">
        <f t="shared" si="5"/>
        <v>-19410</v>
      </c>
      <c r="BZ20" s="2">
        <f t="shared" si="6"/>
        <v>-11658</v>
      </c>
      <c r="CA20" s="2">
        <f t="shared" si="7"/>
        <v>-17687</v>
      </c>
      <c r="CB20" s="2">
        <f t="shared" si="8"/>
        <v>28281</v>
      </c>
      <c r="CC20" s="2">
        <f t="shared" si="9"/>
        <v>-38626</v>
      </c>
      <c r="CD20" s="2">
        <f t="shared" si="10"/>
        <v>-40712</v>
      </c>
      <c r="CE20" s="2">
        <f t="shared" si="11"/>
        <v>-33847</v>
      </c>
      <c r="CF20" s="2">
        <f t="shared" si="12"/>
        <v>-1851</v>
      </c>
      <c r="CG20" s="2">
        <f t="shared" si="13"/>
        <v>-58754</v>
      </c>
      <c r="CH20" s="2">
        <f t="shared" si="16"/>
        <v>-181888</v>
      </c>
      <c r="CI20" s="2">
        <f t="shared" si="14"/>
        <v>-36752</v>
      </c>
      <c r="CJ20" s="2">
        <f t="shared" si="54"/>
        <v>7919</v>
      </c>
      <c r="CK20" s="16"/>
    </row>
    <row r="21" spans="2:90" ht="15.75" thickBot="1">
      <c r="B21" s="9" t="s">
        <v>94</v>
      </c>
      <c r="C21" s="9">
        <f>SUM(C19:C20)</f>
        <v>40837</v>
      </c>
      <c r="D21" s="9">
        <f t="shared" ref="D21:F21" si="91">SUM(D19:D20)</f>
        <v>113253</v>
      </c>
      <c r="E21" s="9">
        <f t="shared" si="91"/>
        <v>119111</v>
      </c>
      <c r="F21" s="9">
        <f t="shared" si="91"/>
        <v>64659</v>
      </c>
      <c r="G21" s="9">
        <f>SUM(G19:G20)</f>
        <v>21939</v>
      </c>
      <c r="H21" s="9">
        <f t="shared" ref="H21" si="92">SUM(H19:H20)</f>
        <v>5931</v>
      </c>
      <c r="I21" s="9">
        <f t="shared" ref="I21" si="93">SUM(I19:I20)</f>
        <v>-3529</v>
      </c>
      <c r="J21" s="9">
        <f t="shared" ref="J21" si="94">SUM(J19:J20)</f>
        <v>4291</v>
      </c>
      <c r="K21" s="9">
        <f>SUM(K19:K20)</f>
        <v>18424</v>
      </c>
      <c r="L21" s="9">
        <f t="shared" ref="L21" si="95">SUM(L19:L20)</f>
        <v>47958</v>
      </c>
      <c r="M21" s="9">
        <f t="shared" ref="M21" si="96">SUM(M19:M20)</f>
        <v>37931</v>
      </c>
      <c r="N21" s="9">
        <f t="shared" ref="N21" si="97">SUM(N19:N20)</f>
        <v>29657</v>
      </c>
      <c r="O21" s="9">
        <f>SUM(O19:O20)</f>
        <v>36125</v>
      </c>
      <c r="P21" s="9">
        <f t="shared" ref="P21" si="98">SUM(P19:P20)</f>
        <v>25903</v>
      </c>
      <c r="Q21" s="9">
        <f t="shared" ref="Q21" si="99">SUM(Q19:Q20)</f>
        <v>10776</v>
      </c>
      <c r="R21" s="9">
        <f t="shared" ref="R21" si="100">SUM(R19:R20)</f>
        <v>18076</v>
      </c>
      <c r="S21" s="9">
        <f>SUM(S19:S20)</f>
        <v>20475</v>
      </c>
      <c r="T21" s="9">
        <f t="shared" ref="T21" si="101">SUM(T19:T20)</f>
        <v>21164</v>
      </c>
      <c r="U21" s="9">
        <f t="shared" ref="U21" si="102">SUM(U19:U20)</f>
        <v>30073</v>
      </c>
      <c r="V21" s="9">
        <f t="shared" ref="V21" si="103">SUM(V19:V20)</f>
        <v>13832</v>
      </c>
      <c r="W21" s="9">
        <f>SUM(W19:W20)</f>
        <v>8656</v>
      </c>
      <c r="X21" s="9">
        <f t="shared" ref="X21" si="104">SUM(X19:X20)</f>
        <v>19174</v>
      </c>
      <c r="Y21" s="9">
        <f t="shared" ref="Y21" si="105">SUM(Y19:Y20)</f>
        <v>22252</v>
      </c>
      <c r="Z21" s="9">
        <f t="shared" ref="Z21" si="106">SUM(Z19:Z20)</f>
        <v>23645</v>
      </c>
      <c r="AA21" s="9">
        <f>SUM(AA19:AA20)</f>
        <v>28259</v>
      </c>
      <c r="AB21" s="9">
        <f t="shared" ref="AB21:AC21" si="107">SUM(AB19:AB20)</f>
        <v>28731</v>
      </c>
      <c r="AC21" s="9">
        <f t="shared" si="107"/>
        <v>20556</v>
      </c>
      <c r="AD21" s="9">
        <f t="shared" ref="AD21:AE21" si="108">SUM(AD19:AD20)</f>
        <v>14149</v>
      </c>
      <c r="AE21" s="9">
        <f t="shared" si="108"/>
        <v>33591</v>
      </c>
      <c r="AF21" s="9">
        <f t="shared" ref="AF21:AI21" si="109">SUM(AF19:AF20)</f>
        <v>79361</v>
      </c>
      <c r="AG21" s="9">
        <f t="shared" si="109"/>
        <v>41724</v>
      </c>
      <c r="AH21" s="9">
        <f t="shared" si="109"/>
        <v>19024</v>
      </c>
      <c r="AI21" s="9">
        <f t="shared" si="109"/>
        <v>12589</v>
      </c>
      <c r="AJ21" s="9">
        <f t="shared" ref="AJ21:AK21" si="110">SUM(AJ19:AJ20)</f>
        <v>-21296</v>
      </c>
      <c r="AK21" s="9">
        <f t="shared" si="110"/>
        <v>6556</v>
      </c>
      <c r="AL21" s="9">
        <f t="shared" ref="AL21:AO21" si="111">SUM(AL19:AL20)</f>
        <v>72333</v>
      </c>
      <c r="AM21" s="9">
        <f t="shared" si="111"/>
        <v>80125</v>
      </c>
      <c r="AN21" s="9">
        <f t="shared" si="111"/>
        <v>63785</v>
      </c>
      <c r="AO21" s="9">
        <f t="shared" si="111"/>
        <v>64391</v>
      </c>
      <c r="AP21" s="9">
        <f t="shared" ref="AP21:AR21" si="112">SUM(AP19:AP20)</f>
        <v>61961</v>
      </c>
      <c r="AQ21" s="9">
        <f t="shared" si="112"/>
        <v>63492</v>
      </c>
      <c r="AR21" s="9">
        <f t="shared" si="112"/>
        <v>76431</v>
      </c>
      <c r="AS21" s="9">
        <f t="shared" ref="AS21:AT21" si="113">SUM(AS19:AS20)</f>
        <v>149258</v>
      </c>
      <c r="AT21" s="9">
        <f t="shared" si="113"/>
        <v>20007</v>
      </c>
      <c r="AU21" s="9">
        <f t="shared" ref="AU21:AV21" si="114">SUM(AU19:AU20)</f>
        <v>46059</v>
      </c>
      <c r="AV21" s="9">
        <f t="shared" si="114"/>
        <v>31789</v>
      </c>
      <c r="AW21" s="9">
        <f t="shared" ref="AW21:AY21" si="115">SUM(AW19:AW20)</f>
        <v>144691</v>
      </c>
      <c r="AX21" s="90">
        <f t="shared" si="115"/>
        <v>-1006</v>
      </c>
      <c r="AY21" s="90">
        <f t="shared" si="115"/>
        <v>-566</v>
      </c>
      <c r="AZ21" s="90">
        <f t="shared" ref="AZ21" si="116">SUM(AZ19:AZ20)</f>
        <v>21533</v>
      </c>
      <c r="BA21" s="90">
        <f>SUM(BA19:BA20)</f>
        <v>11554</v>
      </c>
      <c r="BB21" s="90">
        <f t="shared" ref="BB21" si="117">SUM(BB19:BB20)</f>
        <v>37493</v>
      </c>
      <c r="BC21" s="90">
        <f t="shared" ref="BC21:BI21" si="118">SUM(BC19:BC20)</f>
        <v>59035</v>
      </c>
      <c r="BD21" s="90">
        <f t="shared" si="118"/>
        <v>114264</v>
      </c>
      <c r="BE21" s="90">
        <f t="shared" si="118"/>
        <v>233034</v>
      </c>
      <c r="BF21" s="90">
        <f t="shared" si="118"/>
        <v>236574</v>
      </c>
      <c r="BG21" s="90">
        <f t="shared" si="118"/>
        <v>252265</v>
      </c>
      <c r="BH21" s="90">
        <f t="shared" ref="BH21" si="119">SUM(BH19:BH20)</f>
        <v>380907</v>
      </c>
      <c r="BI21" s="90">
        <f t="shared" si="118"/>
        <v>277310</v>
      </c>
      <c r="BJ21" s="90">
        <f t="shared" ref="BJ21:BM21" si="120">SUM(BJ19:BJ20)</f>
        <v>151992</v>
      </c>
      <c r="BK21" s="90">
        <f t="shared" si="120"/>
        <v>131560</v>
      </c>
      <c r="BL21" s="90">
        <f t="shared" si="120"/>
        <v>121775</v>
      </c>
      <c r="BM21" s="90">
        <f t="shared" si="120"/>
        <v>74527</v>
      </c>
      <c r="BN21" s="90">
        <f t="shared" ref="BN21:BO21" si="121">SUM(BN19:BN20)</f>
        <v>55023</v>
      </c>
      <c r="BO21" s="90">
        <f t="shared" si="121"/>
        <v>41205</v>
      </c>
      <c r="BP21" s="90">
        <f t="shared" ref="BP21:BR21" si="122">SUM(BP19:BP20)</f>
        <v>56731</v>
      </c>
      <c r="BQ21" s="90">
        <f t="shared" si="122"/>
        <v>103551</v>
      </c>
      <c r="BR21" s="90">
        <f t="shared" si="122"/>
        <v>126267</v>
      </c>
      <c r="BT21" s="9">
        <f t="shared" si="0"/>
        <v>337860</v>
      </c>
      <c r="BU21" s="9">
        <f t="shared" si="1"/>
        <v>28632</v>
      </c>
      <c r="BV21" s="9">
        <f t="shared" si="2"/>
        <v>133970</v>
      </c>
      <c r="BW21" s="9">
        <f t="shared" si="3"/>
        <v>90880</v>
      </c>
      <c r="BX21" s="9">
        <f t="shared" si="4"/>
        <v>85544</v>
      </c>
      <c r="BY21" s="9">
        <f t="shared" si="5"/>
        <v>73727</v>
      </c>
      <c r="BZ21" s="9">
        <f t="shared" si="6"/>
        <v>91695</v>
      </c>
      <c r="CA21" s="9">
        <f t="shared" si="7"/>
        <v>173700</v>
      </c>
      <c r="CB21" s="12">
        <f t="shared" si="8"/>
        <v>70182</v>
      </c>
      <c r="CC21" s="12">
        <f t="shared" si="9"/>
        <v>270262</v>
      </c>
      <c r="CD21" s="12">
        <f t="shared" si="10"/>
        <v>309188</v>
      </c>
      <c r="CE21" s="12">
        <f t="shared" si="11"/>
        <v>221533</v>
      </c>
      <c r="CF21" s="12">
        <f t="shared" si="12"/>
        <v>70014</v>
      </c>
      <c r="CG21" s="12">
        <f t="shared" si="13"/>
        <v>642907</v>
      </c>
      <c r="CH21" s="12">
        <f t="shared" si="16"/>
        <v>1062474</v>
      </c>
      <c r="CI21" s="12">
        <f t="shared" si="14"/>
        <v>382885</v>
      </c>
      <c r="CJ21" s="12">
        <f t="shared" si="54"/>
        <v>327754</v>
      </c>
    </row>
    <row r="22" spans="2:90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>
        <f>327684-BK22-BL22</f>
        <v>74463</v>
      </c>
      <c r="BN22" s="91">
        <f>382649-BK22-BL22-BM22</f>
        <v>54965</v>
      </c>
      <c r="BO22" s="91">
        <v>41146</v>
      </c>
      <c r="BP22" s="91">
        <v>56669</v>
      </c>
      <c r="BQ22" s="91">
        <f>201300-BP22-BO22</f>
        <v>103485</v>
      </c>
      <c r="BR22" s="91">
        <f>327505-201300</f>
        <v>126205</v>
      </c>
      <c r="BS22" s="15"/>
      <c r="BT22" s="2">
        <f t="shared" ref="BT22:BT23" si="123">SUM(C22:F22)</f>
        <v>336008</v>
      </c>
      <c r="BU22" s="2">
        <f t="shared" ref="BU22:BU23" si="124">SUM(G22:J22)</f>
        <v>29060</v>
      </c>
      <c r="BV22" s="2">
        <f t="shared" ref="BV22:BV23" si="125">SUM(K22:N22)</f>
        <v>133729</v>
      </c>
      <c r="BW22" s="2">
        <f t="shared" ref="BW22:BW23" si="126">SUM(O22:R22)</f>
        <v>90619</v>
      </c>
      <c r="BX22" s="2">
        <f t="shared" ref="BX22:BX23" si="127">SUM(S22:V22)</f>
        <v>85326</v>
      </c>
      <c r="BY22" s="2">
        <f t="shared" ref="BY22:BY23" si="128">SUM(W22:Z22)</f>
        <v>73483</v>
      </c>
      <c r="BZ22" s="2">
        <f t="shared" si="6"/>
        <v>91409</v>
      </c>
      <c r="CA22" s="2">
        <f t="shared" si="7"/>
        <v>173226</v>
      </c>
      <c r="CB22" s="2">
        <f t="shared" si="8"/>
        <v>69660</v>
      </c>
      <c r="CC22" s="2">
        <f t="shared" si="9"/>
        <v>269852</v>
      </c>
      <c r="CD22" s="2">
        <f t="shared" si="10"/>
        <v>308799</v>
      </c>
      <c r="CE22" s="2">
        <f t="shared" si="11"/>
        <v>221176</v>
      </c>
      <c r="CF22" s="2">
        <f t="shared" si="12"/>
        <v>69772</v>
      </c>
      <c r="CG22" s="2">
        <f t="shared" si="13"/>
        <v>642878</v>
      </c>
      <c r="CH22" s="2">
        <f t="shared" si="16"/>
        <v>1062276</v>
      </c>
      <c r="CI22" s="2">
        <f t="shared" si="14"/>
        <v>382649</v>
      </c>
      <c r="CJ22" s="2">
        <f t="shared" ref="CJ22:CJ23" si="129">SUM(BO22:BR22)</f>
        <v>327505</v>
      </c>
      <c r="CK22" s="16"/>
    </row>
    <row r="23" spans="2:90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>
        <f>178-BK23-BL23</f>
        <v>64</v>
      </c>
      <c r="BN23" s="91">
        <f>236-BK23-BL23-BM23</f>
        <v>58</v>
      </c>
      <c r="BO23" s="91">
        <v>59</v>
      </c>
      <c r="BP23" s="91">
        <f>121-BO23</f>
        <v>62</v>
      </c>
      <c r="BQ23" s="91">
        <f>187-BO23-BP23</f>
        <v>66</v>
      </c>
      <c r="BR23" s="91">
        <v>62</v>
      </c>
      <c r="BS23" s="21"/>
      <c r="BT23" s="2">
        <f t="shared" si="123"/>
        <v>1852</v>
      </c>
      <c r="BU23" s="2">
        <f t="shared" si="124"/>
        <v>-428</v>
      </c>
      <c r="BV23" s="2">
        <f t="shared" si="125"/>
        <v>241</v>
      </c>
      <c r="BW23" s="2">
        <f t="shared" si="126"/>
        <v>261</v>
      </c>
      <c r="BX23" s="2">
        <f t="shared" si="127"/>
        <v>218</v>
      </c>
      <c r="BY23" s="2">
        <f t="shared" si="128"/>
        <v>244</v>
      </c>
      <c r="BZ23" s="2">
        <f t="shared" si="6"/>
        <v>286</v>
      </c>
      <c r="CA23" s="2">
        <f t="shared" si="7"/>
        <v>474</v>
      </c>
      <c r="CB23" s="2">
        <f t="shared" si="8"/>
        <v>522</v>
      </c>
      <c r="CC23" s="2">
        <f t="shared" si="9"/>
        <v>410</v>
      </c>
      <c r="CD23" s="2">
        <f t="shared" si="10"/>
        <v>389</v>
      </c>
      <c r="CE23" s="2">
        <f t="shared" si="11"/>
        <v>357</v>
      </c>
      <c r="CF23" s="2">
        <f t="shared" si="12"/>
        <v>242</v>
      </c>
      <c r="CG23" s="2">
        <f t="shared" si="13"/>
        <v>29</v>
      </c>
      <c r="CH23" s="2">
        <f t="shared" si="16"/>
        <v>198</v>
      </c>
      <c r="CI23" s="2">
        <f t="shared" si="14"/>
        <v>236</v>
      </c>
      <c r="CJ23" s="2">
        <f t="shared" si="129"/>
        <v>249</v>
      </c>
      <c r="CK23" s="16"/>
      <c r="CL23" s="16"/>
    </row>
    <row r="24" spans="2:90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2"/>
      <c r="BT24" s="2"/>
      <c r="BU24" s="2"/>
      <c r="BV24" s="2"/>
      <c r="BW24" s="2"/>
      <c r="CK24" s="16"/>
    </row>
    <row r="25" spans="2:90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CD25" s="16"/>
      <c r="CE25" s="16"/>
      <c r="CF25" s="16"/>
      <c r="CG25" s="16"/>
      <c r="CH25" s="16"/>
      <c r="CI25" s="16"/>
      <c r="CJ25" s="16"/>
    </row>
    <row r="26" spans="2:90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CD26" s="16"/>
      <c r="CE26" s="16"/>
      <c r="CF26" s="16"/>
      <c r="CG26" s="16"/>
      <c r="CH26" s="16"/>
      <c r="CI26" s="16"/>
      <c r="CJ26" s="16"/>
    </row>
    <row r="27" spans="2:90">
      <c r="C27" s="16"/>
      <c r="H27" s="16"/>
      <c r="AN27" s="16"/>
      <c r="AO27" s="16"/>
      <c r="AP27" s="16"/>
      <c r="AQ27" s="16"/>
      <c r="AX27" s="16"/>
      <c r="AY27" s="16"/>
    </row>
    <row r="28" spans="2:90">
      <c r="C28" s="16"/>
      <c r="H28" s="16"/>
      <c r="AN28" s="16"/>
      <c r="AO28" s="16"/>
      <c r="AP28" s="16"/>
      <c r="AQ28" s="16"/>
    </row>
    <row r="29" spans="2:90">
      <c r="C29" s="18"/>
      <c r="H29" s="18"/>
      <c r="AN29" s="16"/>
      <c r="AO29" s="16"/>
      <c r="AP29" s="16"/>
      <c r="AQ29" s="16"/>
    </row>
    <row r="30" spans="2:90">
      <c r="C30" s="18"/>
      <c r="H30" s="18"/>
    </row>
    <row r="32" spans="2:90">
      <c r="CJ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70" max="22" man="1"/>
  </colBreaks>
  <ignoredErrors>
    <ignoredError sqref="BT6:CC23 CD6:CD23 CE7 CI7:CJ2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O57"/>
  <sheetViews>
    <sheetView showGridLines="0" zoomScale="80" zoomScaleNormal="80" zoomScaleSheetLayoutView="85" workbookViewId="0">
      <pane xSplit="2" ySplit="5" topLeftCell="BH6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66" width="11.140625" customWidth="1"/>
    <col min="67" max="69" width="11.140625" hidden="1" customWidth="1"/>
    <col min="70" max="70" width="11.140625" customWidth="1"/>
    <col min="71" max="71" width="11.140625" bestFit="1" customWidth="1"/>
    <col min="72" max="82" width="11.140625" customWidth="1"/>
  </cols>
  <sheetData>
    <row r="2" spans="2:93" ht="18.75">
      <c r="B2" s="43" t="s">
        <v>117</v>
      </c>
      <c r="AV2" s="21"/>
    </row>
    <row r="3" spans="2:93" ht="15.75">
      <c r="B3" s="63" t="s">
        <v>167</v>
      </c>
    </row>
    <row r="4" spans="2:93" s="19" customFormat="1" ht="7.5" customHeight="1" thickBot="1"/>
    <row r="5" spans="2:93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S5" s="100"/>
      <c r="BT5" s="116"/>
      <c r="BU5" s="100"/>
      <c r="BV5" s="100"/>
      <c r="BW5" s="100"/>
      <c r="BX5" s="100"/>
      <c r="BY5" s="100"/>
      <c r="BZ5" s="100"/>
      <c r="CA5" s="100"/>
      <c r="CB5" s="100"/>
      <c r="CC5" s="100"/>
      <c r="CD5" s="100"/>
    </row>
    <row r="6" spans="2:93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:BP6" si="7">SUM(BO7:BO17)+BO18+BO24</f>
        <v>-42558</v>
      </c>
      <c r="BP6" s="12">
        <f t="shared" si="7"/>
        <v>16650</v>
      </c>
      <c r="BQ6" s="12">
        <f t="shared" ref="BQ6:BR6" si="8">SUM(BQ7:BQ17)+BQ18+BQ24</f>
        <v>141401</v>
      </c>
      <c r="BR6" s="12">
        <f t="shared" si="8"/>
        <v>357120</v>
      </c>
    </row>
    <row r="7" spans="2:93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>
        <v>327862</v>
      </c>
      <c r="BN7" s="105">
        <v>382885</v>
      </c>
      <c r="BO7" s="105">
        <v>41205</v>
      </c>
      <c r="BP7" s="105">
        <v>97936</v>
      </c>
      <c r="BQ7" s="105">
        <v>201487</v>
      </c>
      <c r="BR7" s="105">
        <v>327754</v>
      </c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</row>
    <row r="8" spans="2:93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>
        <v>-39790</v>
      </c>
      <c r="BN8" s="110">
        <v>-54730</v>
      </c>
      <c r="BO8" s="110">
        <v>-18345</v>
      </c>
      <c r="BP8" s="105">
        <v>-31525</v>
      </c>
      <c r="BQ8" s="110">
        <v>-44698</v>
      </c>
      <c r="BR8" s="105">
        <v>-101964</v>
      </c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</row>
    <row r="9" spans="2:93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05">
        <f>88603+38511</f>
        <v>127114</v>
      </c>
      <c r="BJ9" s="110">
        <f>121275+51910</f>
        <v>173185</v>
      </c>
      <c r="BK9" s="2">
        <v>37601</v>
      </c>
      <c r="BL9" s="105">
        <v>76994</v>
      </c>
      <c r="BM9" s="105">
        <f>114532+47433</f>
        <v>161965</v>
      </c>
      <c r="BN9" s="110">
        <f>151595+64425</f>
        <v>216020</v>
      </c>
      <c r="BO9" s="110">
        <f>34898+8193</f>
        <v>43091</v>
      </c>
      <c r="BP9" s="105">
        <v>73884</v>
      </c>
      <c r="BQ9" s="105">
        <f>143810+49695</f>
        <v>193505</v>
      </c>
      <c r="BR9" s="105">
        <f>194899+65637</f>
        <v>260536</v>
      </c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</row>
    <row r="10" spans="2:93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>
        <v>-39571</v>
      </c>
      <c r="BN10" s="110">
        <v>-71728</v>
      </c>
      <c r="BO10" s="110">
        <v>0</v>
      </c>
      <c r="BP10" s="105">
        <v>0</v>
      </c>
      <c r="BQ10" s="105">
        <v>-34858</v>
      </c>
      <c r="BR10" s="105">
        <v>-74626</v>
      </c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</row>
    <row r="11" spans="2:93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>
        <v>25289</v>
      </c>
      <c r="BN11" s="110">
        <v>24888</v>
      </c>
      <c r="BO11" s="110">
        <v>16646</v>
      </c>
      <c r="BP11" s="105">
        <v>23133</v>
      </c>
      <c r="BQ11" s="105">
        <v>11182</v>
      </c>
      <c r="BR11" s="105">
        <v>7183</v>
      </c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</row>
    <row r="12" spans="2:93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>
        <v>873</v>
      </c>
      <c r="BN12" s="105">
        <v>1579</v>
      </c>
      <c r="BO12" s="105">
        <v>1915</v>
      </c>
      <c r="BP12" s="105">
        <v>3830</v>
      </c>
      <c r="BQ12" s="105">
        <v>5746</v>
      </c>
      <c r="BR12" s="105">
        <v>3490</v>
      </c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</row>
    <row r="13" spans="2:93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>
        <v>-1924</v>
      </c>
      <c r="BN13" s="105">
        <v>10871</v>
      </c>
      <c r="BO13" s="105">
        <v>-1823</v>
      </c>
      <c r="BP13" s="105">
        <v>-12122</v>
      </c>
      <c r="BQ13" s="105">
        <v>-13599</v>
      </c>
      <c r="BR13" s="105">
        <v>-12987</v>
      </c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</row>
    <row r="14" spans="2:93">
      <c r="B14" s="3" t="s">
        <v>210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O14" s="16"/>
    </row>
    <row r="15" spans="2:93">
      <c r="B15" s="3" t="s">
        <v>196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</row>
    <row r="16" spans="2:93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</row>
    <row r="17" spans="2:93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21">
        <f>17235+20876-979+3665</f>
        <v>40797</v>
      </c>
      <c r="BQ17" s="21">
        <f>10002-801+37394</f>
        <v>46595</v>
      </c>
      <c r="BR17" s="21">
        <f>1607+1032+9006-3936</f>
        <v>7709</v>
      </c>
      <c r="BS17" s="109"/>
      <c r="BT17" s="109"/>
      <c r="BU17" s="109"/>
      <c r="BV17" s="109"/>
      <c r="BW17" s="109"/>
      <c r="BX17" s="109"/>
      <c r="BY17" s="109"/>
      <c r="BZ17" s="109"/>
      <c r="CA17" s="21"/>
      <c r="CB17" s="109"/>
      <c r="CC17" s="109"/>
      <c r="CD17" s="109"/>
      <c r="CE17" s="16"/>
      <c r="CF17" s="16"/>
      <c r="CG17" s="16"/>
    </row>
    <row r="18" spans="2:93" ht="15.75" thickBot="1">
      <c r="B18" s="13" t="s">
        <v>20</v>
      </c>
      <c r="C18" s="9">
        <f t="shared" ref="C18:AH18" si="9">SUM(C19:C23)</f>
        <v>-28836</v>
      </c>
      <c r="D18" s="9">
        <f t="shared" si="9"/>
        <v>-96176</v>
      </c>
      <c r="E18" s="9">
        <f t="shared" si="9"/>
        <v>-46959</v>
      </c>
      <c r="F18" s="9">
        <f t="shared" si="9"/>
        <v>-113232</v>
      </c>
      <c r="G18" s="9">
        <f t="shared" si="9"/>
        <v>-20174</v>
      </c>
      <c r="H18" s="9">
        <f t="shared" si="9"/>
        <v>-23837</v>
      </c>
      <c r="I18" s="9">
        <f t="shared" si="9"/>
        <v>50044</v>
      </c>
      <c r="J18" s="9">
        <f t="shared" si="9"/>
        <v>82316</v>
      </c>
      <c r="K18" s="9">
        <f t="shared" si="9"/>
        <v>-4054</v>
      </c>
      <c r="L18" s="9">
        <f t="shared" si="9"/>
        <v>-22210</v>
      </c>
      <c r="M18" s="9">
        <f t="shared" si="9"/>
        <v>-54188</v>
      </c>
      <c r="N18" s="9">
        <f t="shared" si="9"/>
        <v>-87817</v>
      </c>
      <c r="O18" s="9">
        <f t="shared" si="9"/>
        <v>17766</v>
      </c>
      <c r="P18" s="9">
        <f t="shared" si="9"/>
        <v>38061</v>
      </c>
      <c r="Q18" s="9">
        <f t="shared" si="9"/>
        <v>30026</v>
      </c>
      <c r="R18" s="9">
        <f t="shared" si="9"/>
        <v>-2257</v>
      </c>
      <c r="S18" s="9">
        <f t="shared" si="9"/>
        <v>-1434</v>
      </c>
      <c r="T18" s="9">
        <f t="shared" si="9"/>
        <v>4931</v>
      </c>
      <c r="U18" s="9">
        <f t="shared" si="9"/>
        <v>-27594</v>
      </c>
      <c r="V18" s="9">
        <f t="shared" si="9"/>
        <v>-46990</v>
      </c>
      <c r="W18" s="9">
        <f t="shared" si="9"/>
        <v>-39781</v>
      </c>
      <c r="X18" s="9">
        <f t="shared" si="9"/>
        <v>-35943</v>
      </c>
      <c r="Y18" s="9">
        <f t="shared" si="9"/>
        <v>-31499</v>
      </c>
      <c r="Z18" s="9">
        <f t="shared" si="9"/>
        <v>-25502</v>
      </c>
      <c r="AA18" s="9">
        <f t="shared" si="9"/>
        <v>13876</v>
      </c>
      <c r="AB18" s="9">
        <f t="shared" si="9"/>
        <v>39670</v>
      </c>
      <c r="AC18" s="9">
        <f t="shared" si="9"/>
        <v>14839</v>
      </c>
      <c r="AD18" s="9">
        <f t="shared" si="9"/>
        <v>-5264</v>
      </c>
      <c r="AE18" s="9">
        <f t="shared" si="9"/>
        <v>-55577</v>
      </c>
      <c r="AF18" s="9">
        <f t="shared" si="9"/>
        <v>-95983</v>
      </c>
      <c r="AG18" s="9">
        <f t="shared" si="9"/>
        <v>-152236</v>
      </c>
      <c r="AH18" s="9">
        <f t="shared" si="9"/>
        <v>-213326</v>
      </c>
      <c r="AI18" s="12">
        <f t="shared" ref="AI18:AY18" si="10">SUM(AI19:AI23)</f>
        <v>69489</v>
      </c>
      <c r="AJ18" s="12">
        <f t="shared" si="10"/>
        <v>176746</v>
      </c>
      <c r="AK18" s="12">
        <f t="shared" si="10"/>
        <v>223925</v>
      </c>
      <c r="AL18" s="12">
        <f t="shared" si="10"/>
        <v>239166</v>
      </c>
      <c r="AM18" s="12">
        <f t="shared" si="10"/>
        <v>48610</v>
      </c>
      <c r="AN18" s="12">
        <f t="shared" si="10"/>
        <v>40832</v>
      </c>
      <c r="AO18" s="12">
        <f t="shared" si="10"/>
        <v>37537</v>
      </c>
      <c r="AP18" s="12">
        <f t="shared" si="10"/>
        <v>34871</v>
      </c>
      <c r="AQ18" s="12">
        <f t="shared" si="10"/>
        <v>-24170</v>
      </c>
      <c r="AR18" s="12">
        <f t="shared" si="10"/>
        <v>-49734</v>
      </c>
      <c r="AS18" s="12">
        <f t="shared" si="10"/>
        <v>-75819</v>
      </c>
      <c r="AT18" s="12">
        <f t="shared" si="10"/>
        <v>-89690</v>
      </c>
      <c r="AU18" s="12">
        <f t="shared" si="10"/>
        <v>-35175</v>
      </c>
      <c r="AV18" s="12">
        <f t="shared" si="10"/>
        <v>-41566</v>
      </c>
      <c r="AW18" s="12">
        <f t="shared" si="10"/>
        <v>-75262</v>
      </c>
      <c r="AX18" s="12">
        <f t="shared" si="10"/>
        <v>-5530</v>
      </c>
      <c r="AY18" s="12">
        <f t="shared" si="10"/>
        <v>-7284</v>
      </c>
      <c r="AZ18" s="12">
        <f t="shared" ref="AZ18:BA18" si="11">SUM(AZ19:AZ23)</f>
        <v>-66787</v>
      </c>
      <c r="BA18" s="12">
        <f t="shared" si="11"/>
        <v>3667</v>
      </c>
      <c r="BB18" s="12">
        <f t="shared" ref="BB18:BC18" si="12">SUM(BB19:BB23)</f>
        <v>48725</v>
      </c>
      <c r="BC18" s="12">
        <f t="shared" si="12"/>
        <v>-38979</v>
      </c>
      <c r="BD18" s="12">
        <f t="shared" ref="BD18:BE18" si="13">SUM(BD19:BD23)</f>
        <v>-52787</v>
      </c>
      <c r="BE18" s="12">
        <f t="shared" si="13"/>
        <v>-104697</v>
      </c>
      <c r="BF18" s="12">
        <f t="shared" ref="BF18:BG18" si="14">SUM(BF19:BF23)</f>
        <v>-130364</v>
      </c>
      <c r="BG18" s="12">
        <f t="shared" si="14"/>
        <v>10338</v>
      </c>
      <c r="BH18" s="12">
        <f t="shared" ref="BH18:BI18" si="15">SUM(BH19:BH23)</f>
        <v>-52532</v>
      </c>
      <c r="BI18" s="12">
        <f t="shared" si="15"/>
        <v>-70217</v>
      </c>
      <c r="BJ18" s="12">
        <f t="shared" ref="BJ18:BM18" si="16">SUM(BJ19:BJ23)</f>
        <v>-13117</v>
      </c>
      <c r="BK18" s="12">
        <f t="shared" si="16"/>
        <v>64374</v>
      </c>
      <c r="BL18" s="12">
        <f t="shared" si="16"/>
        <v>123251</v>
      </c>
      <c r="BM18" s="12">
        <f t="shared" si="16"/>
        <v>144414</v>
      </c>
      <c r="BN18" s="12">
        <f t="shared" ref="BN18:BO18" si="17">SUM(BN19:BN23)</f>
        <v>94128</v>
      </c>
      <c r="BO18" s="12">
        <f t="shared" si="17"/>
        <v>-31274</v>
      </c>
      <c r="BP18" s="12">
        <f t="shared" ref="BP18:BR18" si="18">SUM(BP19:BP23)</f>
        <v>-68845</v>
      </c>
      <c r="BQ18" s="12">
        <f t="shared" si="18"/>
        <v>-162270</v>
      </c>
      <c r="BR18" s="12">
        <f t="shared" si="18"/>
        <v>9947</v>
      </c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</row>
    <row r="19" spans="2:93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>
        <v>40279</v>
      </c>
      <c r="BN19" s="105">
        <v>12055</v>
      </c>
      <c r="BO19" s="105">
        <v>14443</v>
      </c>
      <c r="BP19" s="105">
        <v>30153</v>
      </c>
      <c r="BQ19" s="105">
        <v>-31704</v>
      </c>
      <c r="BR19" s="105">
        <v>11939</v>
      </c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</row>
    <row r="20" spans="2:93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>
        <v>71554</v>
      </c>
      <c r="BN20" s="105">
        <v>64935</v>
      </c>
      <c r="BO20" s="105">
        <v>-39925</v>
      </c>
      <c r="BP20" s="105">
        <v>-83568</v>
      </c>
      <c r="BQ20" s="105">
        <v>-115892</v>
      </c>
      <c r="BR20" s="105">
        <v>-23114</v>
      </c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6"/>
      <c r="CG20" s="16"/>
    </row>
    <row r="21" spans="2:93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>
        <v>9</v>
      </c>
      <c r="BN21" s="105">
        <v>-12594</v>
      </c>
      <c r="BO21" s="105">
        <v>-4124</v>
      </c>
      <c r="BP21" s="105">
        <v>-10438</v>
      </c>
      <c r="BQ21" s="105">
        <v>-671</v>
      </c>
      <c r="BR21" s="105">
        <v>25174</v>
      </c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6"/>
      <c r="CG21" s="16"/>
    </row>
    <row r="22" spans="2:93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>
        <v>1500</v>
      </c>
      <c r="BN22" s="105">
        <v>2000</v>
      </c>
      <c r="BO22" s="105">
        <v>167</v>
      </c>
      <c r="BP22" s="105">
        <v>167</v>
      </c>
      <c r="BQ22" s="105">
        <v>167</v>
      </c>
      <c r="BR22" s="105">
        <v>167</v>
      </c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6"/>
      <c r="CG22" s="16"/>
    </row>
    <row r="23" spans="2:93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>
        <f>31440-368</f>
        <v>31072</v>
      </c>
      <c r="BN23" s="105">
        <v>27732</v>
      </c>
      <c r="BO23" s="105">
        <v>-1835</v>
      </c>
      <c r="BP23" s="105">
        <f>-5376+217</f>
        <v>-5159</v>
      </c>
      <c r="BQ23" s="105">
        <f>-13953-217</f>
        <v>-14170</v>
      </c>
      <c r="BR23" s="105">
        <v>-4219</v>
      </c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6"/>
      <c r="CG23" s="16"/>
    </row>
    <row r="24" spans="2:93" ht="15.75" thickBot="1">
      <c r="B24" s="13" t="s">
        <v>21</v>
      </c>
      <c r="C24" s="12">
        <f t="shared" ref="C24:AW24" si="19">SUM(C25:C29)</f>
        <v>21032</v>
      </c>
      <c r="D24" s="12">
        <f t="shared" si="19"/>
        <v>46555</v>
      </c>
      <c r="E24" s="12">
        <f t="shared" si="19"/>
        <v>53984</v>
      </c>
      <c r="F24" s="12">
        <f t="shared" si="19"/>
        <v>48906</v>
      </c>
      <c r="G24" s="12">
        <f t="shared" si="19"/>
        <v>-43136</v>
      </c>
      <c r="H24" s="12">
        <f t="shared" si="19"/>
        <v>-50544</v>
      </c>
      <c r="I24" s="12">
        <f t="shared" si="19"/>
        <v>-53961</v>
      </c>
      <c r="J24" s="12">
        <f t="shared" si="19"/>
        <v>-48275</v>
      </c>
      <c r="K24" s="12">
        <f t="shared" si="19"/>
        <v>14836</v>
      </c>
      <c r="L24" s="12">
        <f t="shared" si="19"/>
        <v>13678</v>
      </c>
      <c r="M24" s="12">
        <f t="shared" si="19"/>
        <v>23426</v>
      </c>
      <c r="N24" s="12">
        <f t="shared" si="19"/>
        <v>22104</v>
      </c>
      <c r="O24" s="12">
        <f t="shared" si="19"/>
        <v>-14170</v>
      </c>
      <c r="P24" s="12">
        <f t="shared" si="19"/>
        <v>-16584</v>
      </c>
      <c r="Q24" s="12">
        <f t="shared" si="19"/>
        <v>-12812</v>
      </c>
      <c r="R24" s="12">
        <f t="shared" si="19"/>
        <v>-11288</v>
      </c>
      <c r="S24" s="12">
        <f t="shared" si="19"/>
        <v>-500</v>
      </c>
      <c r="T24" s="12">
        <f t="shared" si="19"/>
        <v>5649</v>
      </c>
      <c r="U24" s="12">
        <f t="shared" si="19"/>
        <v>10174</v>
      </c>
      <c r="V24" s="12">
        <f t="shared" si="19"/>
        <v>1476</v>
      </c>
      <c r="W24" s="12">
        <f t="shared" si="19"/>
        <v>11375</v>
      </c>
      <c r="X24" s="12">
        <f t="shared" si="19"/>
        <v>2789</v>
      </c>
      <c r="Y24" s="12">
        <f t="shared" si="19"/>
        <v>9019</v>
      </c>
      <c r="Z24" s="12">
        <f t="shared" si="19"/>
        <v>8923</v>
      </c>
      <c r="AA24" s="12">
        <f t="shared" si="19"/>
        <v>2576</v>
      </c>
      <c r="AB24" s="12">
        <f t="shared" si="19"/>
        <v>178</v>
      </c>
      <c r="AC24" s="12">
        <f t="shared" si="19"/>
        <v>4811</v>
      </c>
      <c r="AD24" s="12">
        <f t="shared" si="19"/>
        <v>29786</v>
      </c>
      <c r="AE24" s="12">
        <f t="shared" si="19"/>
        <v>-7238</v>
      </c>
      <c r="AF24" s="12">
        <f t="shared" si="19"/>
        <v>-7585</v>
      </c>
      <c r="AG24" s="12">
        <f t="shared" si="19"/>
        <v>5778</v>
      </c>
      <c r="AH24" s="12">
        <f t="shared" si="19"/>
        <v>32018</v>
      </c>
      <c r="AI24" s="12">
        <f t="shared" si="19"/>
        <v>-6573</v>
      </c>
      <c r="AJ24" s="12">
        <f t="shared" si="19"/>
        <v>-41510</v>
      </c>
      <c r="AK24" s="12">
        <f t="shared" si="19"/>
        <v>-39165</v>
      </c>
      <c r="AL24" s="12">
        <f t="shared" si="19"/>
        <v>-37791</v>
      </c>
      <c r="AM24" s="12">
        <f t="shared" si="19"/>
        <v>-1433</v>
      </c>
      <c r="AN24" s="12">
        <f t="shared" si="19"/>
        <v>7068</v>
      </c>
      <c r="AO24" s="12">
        <f t="shared" si="19"/>
        <v>6645</v>
      </c>
      <c r="AP24" s="12">
        <f t="shared" si="19"/>
        <v>30710</v>
      </c>
      <c r="AQ24" s="12">
        <f t="shared" si="19"/>
        <v>2167</v>
      </c>
      <c r="AR24" s="12">
        <f t="shared" si="19"/>
        <v>-36089</v>
      </c>
      <c r="AS24" s="12">
        <f t="shared" si="19"/>
        <v>-54946</v>
      </c>
      <c r="AT24" s="12">
        <f t="shared" si="19"/>
        <v>-28193</v>
      </c>
      <c r="AU24" s="12">
        <f t="shared" si="19"/>
        <v>-39313</v>
      </c>
      <c r="AV24" s="12">
        <f t="shared" si="19"/>
        <v>-76277</v>
      </c>
      <c r="AW24" s="12">
        <f t="shared" si="19"/>
        <v>-41095</v>
      </c>
      <c r="AX24" s="12">
        <f t="shared" ref="AX24:BC24" si="20">SUM(AX25:AX29)</f>
        <v>-66923</v>
      </c>
      <c r="AY24" s="12">
        <f t="shared" si="20"/>
        <v>-3541</v>
      </c>
      <c r="AZ24" s="12">
        <f t="shared" si="20"/>
        <v>1585</v>
      </c>
      <c r="BA24" s="12">
        <f t="shared" si="20"/>
        <v>-26295</v>
      </c>
      <c r="BB24" s="12">
        <f t="shared" si="20"/>
        <v>-22146</v>
      </c>
      <c r="BC24" s="12">
        <f t="shared" si="20"/>
        <v>10308</v>
      </c>
      <c r="BD24" s="12">
        <f t="shared" ref="BD24:BE24" si="21">SUM(BD25:BD29)</f>
        <v>558</v>
      </c>
      <c r="BE24" s="12">
        <f t="shared" si="21"/>
        <v>55594</v>
      </c>
      <c r="BF24" s="12">
        <f t="shared" ref="BF24:BG24" si="22">SUM(BF25:BF29)</f>
        <v>141366</v>
      </c>
      <c r="BG24" s="12">
        <f t="shared" si="22"/>
        <v>-85835</v>
      </c>
      <c r="BH24" s="12">
        <f t="shared" ref="BH24:BI24" si="23">SUM(BH25:BH29)</f>
        <v>-59616</v>
      </c>
      <c r="BI24" s="12">
        <f t="shared" si="23"/>
        <v>-78514</v>
      </c>
      <c r="BJ24" s="12">
        <f t="shared" ref="BJ24:BM24" si="24">SUM(BJ25:BJ29)</f>
        <v>74235</v>
      </c>
      <c r="BK24" s="12">
        <f t="shared" si="24"/>
        <v>-115255</v>
      </c>
      <c r="BL24" s="12">
        <f t="shared" si="24"/>
        <v>-191082</v>
      </c>
      <c r="BM24" s="12">
        <f t="shared" si="24"/>
        <v>-201292</v>
      </c>
      <c r="BN24" s="12">
        <f t="shared" ref="BN24:BO24" si="25">SUM(BN25:BN29)</f>
        <v>-123289</v>
      </c>
      <c r="BO24" s="12">
        <f t="shared" si="25"/>
        <v>-105416</v>
      </c>
      <c r="BP24" s="12">
        <f t="shared" ref="BP24:BR24" si="26">SUM(BP25:BP29)</f>
        <v>-110438</v>
      </c>
      <c r="BQ24" s="12">
        <f t="shared" si="26"/>
        <v>-61689</v>
      </c>
      <c r="BR24" s="12">
        <f t="shared" si="26"/>
        <v>-69922</v>
      </c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</row>
    <row r="25" spans="2:93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>
        <v>-6763</v>
      </c>
      <c r="BN25" s="105">
        <v>20086</v>
      </c>
      <c r="BO25" s="105">
        <v>-34000</v>
      </c>
      <c r="BP25" s="105">
        <v>-21240</v>
      </c>
      <c r="BQ25" s="105">
        <v>-12446</v>
      </c>
      <c r="BR25" s="105">
        <v>-16982</v>
      </c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6"/>
      <c r="CG25" s="16"/>
    </row>
    <row r="26" spans="2:93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>
        <f>-14095+23098</f>
        <v>9003</v>
      </c>
      <c r="BN26" s="105">
        <f>-6600+11796-43537</f>
        <v>-38341</v>
      </c>
      <c r="BO26" s="105">
        <f>522+4021-10041</f>
        <v>-5498</v>
      </c>
      <c r="BP26" s="105">
        <v>-5518</v>
      </c>
      <c r="BQ26" s="105">
        <f>-701+36195-26338</f>
        <v>9156</v>
      </c>
      <c r="BR26" s="105">
        <v>14997</v>
      </c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6"/>
      <c r="CG26" s="16"/>
      <c r="CO26" s="16"/>
    </row>
    <row r="27" spans="2:93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>
        <v>-80106</v>
      </c>
      <c r="BN27" s="105">
        <v>-32184</v>
      </c>
      <c r="BO27" s="105">
        <v>-40569</v>
      </c>
      <c r="BP27" s="105">
        <v>-48903</v>
      </c>
      <c r="BQ27" s="105">
        <v>-42665</v>
      </c>
      <c r="BR27" s="105">
        <v>-2587</v>
      </c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6"/>
      <c r="CG27" s="16"/>
    </row>
    <row r="28" spans="2:93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>
        <f>-3600-51080+227-40663</f>
        <v>-95116</v>
      </c>
      <c r="BN28" s="105">
        <v>-39499</v>
      </c>
      <c r="BO28" s="105">
        <f>-360-18833-1416</f>
        <v>-20609</v>
      </c>
      <c r="BP28" s="105">
        <f>10819-1988-17395-447-11595</f>
        <v>-20606</v>
      </c>
      <c r="BQ28" s="105">
        <f>1061+4694+484</f>
        <v>6239</v>
      </c>
      <c r="BR28" s="105">
        <v>-38898</v>
      </c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6"/>
      <c r="CG28" s="16"/>
    </row>
    <row r="29" spans="2:93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>
        <v>-28310</v>
      </c>
      <c r="BN29" s="105">
        <v>-33351</v>
      </c>
      <c r="BO29" s="105">
        <v>-4740</v>
      </c>
      <c r="BP29" s="105">
        <v>-14171</v>
      </c>
      <c r="BQ29" s="105">
        <v>-21973</v>
      </c>
      <c r="BR29" s="105">
        <v>-26452</v>
      </c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6"/>
      <c r="CG29" s="16"/>
    </row>
    <row r="30" spans="2:93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5"/>
      <c r="BP30" s="105"/>
      <c r="BQ30" s="105"/>
      <c r="BR30" s="105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5"/>
      <c r="CF30" s="16"/>
      <c r="CG30" s="16"/>
      <c r="CH30" s="103"/>
    </row>
    <row r="31" spans="2:93" ht="15.75" thickBot="1">
      <c r="B31" s="9" t="s">
        <v>22</v>
      </c>
      <c r="C31" s="9">
        <f t="shared" ref="C31:AH31" si="27">SUM(C32:C37)</f>
        <v>-13968</v>
      </c>
      <c r="D31" s="9">
        <f t="shared" si="27"/>
        <v>-40813</v>
      </c>
      <c r="E31" s="9">
        <f t="shared" si="27"/>
        <v>-61768</v>
      </c>
      <c r="F31" s="9">
        <f t="shared" si="27"/>
        <v>-92606</v>
      </c>
      <c r="G31" s="9">
        <f t="shared" si="27"/>
        <v>-14873</v>
      </c>
      <c r="H31" s="9">
        <f t="shared" si="27"/>
        <v>-29882</v>
      </c>
      <c r="I31" s="9">
        <f t="shared" si="27"/>
        <v>-44913</v>
      </c>
      <c r="J31" s="9">
        <f t="shared" si="27"/>
        <v>-86733</v>
      </c>
      <c r="K31" s="9">
        <f t="shared" si="27"/>
        <v>-34200</v>
      </c>
      <c r="L31" s="9">
        <f t="shared" si="27"/>
        <v>-113852</v>
      </c>
      <c r="M31" s="9">
        <f t="shared" si="27"/>
        <v>-121213</v>
      </c>
      <c r="N31" s="9">
        <f t="shared" si="27"/>
        <v>-141100</v>
      </c>
      <c r="O31" s="9">
        <f t="shared" si="27"/>
        <v>-9440</v>
      </c>
      <c r="P31" s="9">
        <f t="shared" si="27"/>
        <v>-37818</v>
      </c>
      <c r="Q31" s="9">
        <f t="shared" si="27"/>
        <v>-71084</v>
      </c>
      <c r="R31" s="9">
        <f t="shared" si="27"/>
        <v>-109234</v>
      </c>
      <c r="S31" s="9">
        <f t="shared" si="27"/>
        <v>-33396</v>
      </c>
      <c r="T31" s="9">
        <f t="shared" si="27"/>
        <v>23387</v>
      </c>
      <c r="U31" s="9">
        <f t="shared" si="27"/>
        <v>-13136</v>
      </c>
      <c r="V31" s="9">
        <f t="shared" si="27"/>
        <v>-38405</v>
      </c>
      <c r="W31" s="9">
        <f t="shared" si="27"/>
        <v>-6200</v>
      </c>
      <c r="X31" s="9">
        <f t="shared" si="27"/>
        <v>-30525</v>
      </c>
      <c r="Y31" s="9">
        <f t="shared" si="27"/>
        <v>-173130</v>
      </c>
      <c r="Z31" s="9">
        <f t="shared" si="27"/>
        <v>-187722</v>
      </c>
      <c r="AA31" s="9">
        <f t="shared" si="27"/>
        <v>-84635</v>
      </c>
      <c r="AB31" s="9">
        <f t="shared" si="27"/>
        <v>-152227</v>
      </c>
      <c r="AC31" s="9">
        <f t="shared" si="27"/>
        <v>-200327</v>
      </c>
      <c r="AD31" s="9">
        <f t="shared" si="27"/>
        <v>-189796</v>
      </c>
      <c r="AE31" s="9">
        <f t="shared" si="27"/>
        <v>5399</v>
      </c>
      <c r="AF31" s="9">
        <f t="shared" si="27"/>
        <v>14189</v>
      </c>
      <c r="AG31" s="9">
        <f t="shared" si="27"/>
        <v>-7106</v>
      </c>
      <c r="AH31" s="9">
        <f t="shared" si="27"/>
        <v>37790</v>
      </c>
      <c r="AI31" s="12">
        <f t="shared" ref="AI31:BN31" si="28">SUM(AI32:AI37)</f>
        <v>-30772</v>
      </c>
      <c r="AJ31" s="12">
        <f t="shared" si="28"/>
        <v>-59241</v>
      </c>
      <c r="AK31" s="12">
        <f t="shared" si="28"/>
        <v>-120872</v>
      </c>
      <c r="AL31" s="12">
        <f t="shared" si="28"/>
        <v>-140208</v>
      </c>
      <c r="AM31" s="12">
        <f t="shared" si="28"/>
        <v>1924</v>
      </c>
      <c r="AN31" s="12">
        <f t="shared" si="28"/>
        <v>-17843</v>
      </c>
      <c r="AO31" s="12">
        <f t="shared" si="28"/>
        <v>-29603</v>
      </c>
      <c r="AP31" s="12">
        <f t="shared" si="28"/>
        <v>-374472</v>
      </c>
      <c r="AQ31" s="12">
        <f t="shared" si="28"/>
        <v>219318</v>
      </c>
      <c r="AR31" s="12">
        <f t="shared" si="28"/>
        <v>-22066</v>
      </c>
      <c r="AS31" s="12">
        <f t="shared" si="28"/>
        <v>-45818</v>
      </c>
      <c r="AT31" s="12">
        <f t="shared" si="28"/>
        <v>-99322</v>
      </c>
      <c r="AU31" s="12">
        <f t="shared" si="28"/>
        <v>-41736</v>
      </c>
      <c r="AV31" s="12">
        <f t="shared" si="28"/>
        <v>-85330</v>
      </c>
      <c r="AW31" s="12">
        <f t="shared" si="28"/>
        <v>-257850</v>
      </c>
      <c r="AX31" s="12">
        <f t="shared" si="28"/>
        <v>-242052</v>
      </c>
      <c r="AY31" s="12">
        <f t="shared" si="28"/>
        <v>-15709</v>
      </c>
      <c r="AZ31" s="12">
        <f t="shared" si="28"/>
        <v>-36671</v>
      </c>
      <c r="BA31" s="12">
        <f t="shared" si="28"/>
        <v>-149456</v>
      </c>
      <c r="BB31" s="12">
        <f t="shared" si="28"/>
        <v>-197499</v>
      </c>
      <c r="BC31" s="12">
        <f t="shared" si="28"/>
        <v>-30878</v>
      </c>
      <c r="BD31" s="12">
        <f t="shared" si="28"/>
        <v>-37678</v>
      </c>
      <c r="BE31" s="12">
        <f t="shared" si="28"/>
        <v>-226694</v>
      </c>
      <c r="BF31" s="12">
        <f t="shared" si="28"/>
        <v>-376782</v>
      </c>
      <c r="BG31" s="12">
        <f t="shared" si="28"/>
        <v>-128214</v>
      </c>
      <c r="BH31" s="12">
        <f t="shared" si="28"/>
        <v>-162988</v>
      </c>
      <c r="BI31" s="12">
        <f t="shared" si="28"/>
        <v>-292173</v>
      </c>
      <c r="BJ31" s="12">
        <f t="shared" si="28"/>
        <v>-381891</v>
      </c>
      <c r="BK31" s="12">
        <f t="shared" si="28"/>
        <v>-38347</v>
      </c>
      <c r="BL31" s="12">
        <f t="shared" si="28"/>
        <v>-102185</v>
      </c>
      <c r="BM31" s="12">
        <f t="shared" si="28"/>
        <v>-206262</v>
      </c>
      <c r="BN31" s="12">
        <f t="shared" si="28"/>
        <v>-244970</v>
      </c>
      <c r="BO31" s="12">
        <f t="shared" ref="BO31:BP31" si="29">SUM(BO32:BO37)</f>
        <v>15937</v>
      </c>
      <c r="BP31" s="12">
        <f t="shared" si="29"/>
        <v>63847</v>
      </c>
      <c r="BQ31" s="12">
        <f t="shared" ref="BQ31:BR31" si="30">SUM(BQ32:BQ37)</f>
        <v>34066</v>
      </c>
      <c r="BR31" s="12">
        <f t="shared" si="30"/>
        <v>-97127</v>
      </c>
      <c r="BS31" s="16"/>
      <c r="BT31" s="16"/>
      <c r="BU31" s="16"/>
      <c r="BV31" s="16"/>
      <c r="BW31" s="16"/>
      <c r="BX31" s="16"/>
      <c r="BY31" s="106"/>
      <c r="BZ31" s="106"/>
      <c r="CA31" s="106"/>
      <c r="CB31" s="106"/>
      <c r="CC31" s="16"/>
      <c r="CD31" s="16"/>
      <c r="CE31" s="16"/>
      <c r="CF31" s="16"/>
      <c r="CG31" s="16"/>
      <c r="CH31" s="103"/>
    </row>
    <row r="32" spans="2:93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2">
        <v>-113960</v>
      </c>
      <c r="BQ32" s="2">
        <v>-221450</v>
      </c>
      <c r="BR32" s="21">
        <v>-288672</v>
      </c>
      <c r="BS32" s="16"/>
      <c r="BT32" s="16"/>
      <c r="BU32" s="16"/>
      <c r="BV32" s="16"/>
      <c r="BW32" s="16"/>
      <c r="BX32" s="16"/>
      <c r="BY32" s="106"/>
      <c r="BZ32" s="106"/>
      <c r="CA32" s="106"/>
      <c r="CB32" s="106"/>
      <c r="CC32" s="16"/>
      <c r="CD32" s="16"/>
      <c r="CE32" s="16"/>
      <c r="CF32" s="16"/>
      <c r="CG32" s="16"/>
      <c r="CH32" s="103"/>
    </row>
    <row r="33" spans="2:85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>
        <v>8983</v>
      </c>
      <c r="BN33" s="105">
        <v>81607</v>
      </c>
      <c r="BO33" s="105">
        <v>95048</v>
      </c>
      <c r="BP33" s="105">
        <v>214880</v>
      </c>
      <c r="BQ33" s="105">
        <v>292252</v>
      </c>
      <c r="BR33" s="105">
        <v>238507</v>
      </c>
      <c r="BS33" s="16"/>
      <c r="BT33" s="16"/>
      <c r="BU33" s="16"/>
      <c r="BV33" s="16"/>
      <c r="BW33" s="16"/>
      <c r="BX33" s="16"/>
      <c r="BY33" s="106"/>
      <c r="BZ33" s="106"/>
      <c r="CA33" s="106"/>
      <c r="CB33" s="106"/>
      <c r="CC33" s="16"/>
      <c r="CD33" s="16"/>
      <c r="CE33" s="16"/>
      <c r="CF33" s="16"/>
      <c r="CG33" s="16"/>
    </row>
    <row r="34" spans="2:85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1">
        <v>0</v>
      </c>
      <c r="BS34" s="16"/>
      <c r="BT34" s="16"/>
      <c r="BU34" s="16"/>
      <c r="BV34" s="16"/>
      <c r="BW34" s="16"/>
      <c r="BX34" s="16"/>
      <c r="BY34" s="106"/>
      <c r="BZ34" s="106"/>
      <c r="CA34" s="106"/>
      <c r="CB34" s="106"/>
      <c r="CC34" s="16"/>
      <c r="CD34" s="16"/>
      <c r="CE34" s="16"/>
      <c r="CF34" s="16"/>
      <c r="CG34" s="16"/>
    </row>
    <row r="35" spans="2:85">
      <c r="B35" s="3" t="s">
        <v>229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2">
        <v>-37822</v>
      </c>
      <c r="BQ35" s="2">
        <v>-37822</v>
      </c>
      <c r="BR35" s="21">
        <v>-48799</v>
      </c>
      <c r="BS35" s="16"/>
      <c r="BT35" s="16"/>
      <c r="BU35" s="16"/>
      <c r="BV35" s="16"/>
      <c r="BW35" s="16"/>
      <c r="BX35" s="16"/>
      <c r="BY35" s="106"/>
      <c r="BZ35" s="106"/>
      <c r="CA35" s="106"/>
      <c r="CB35" s="106"/>
      <c r="CC35" s="16"/>
      <c r="CD35" s="16"/>
      <c r="CE35" s="16"/>
      <c r="CF35" s="16"/>
      <c r="CG35" s="16"/>
    </row>
    <row r="36" spans="2:85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2">
        <v>673</v>
      </c>
      <c r="BQ36" s="2">
        <v>1003</v>
      </c>
      <c r="BR36" s="21">
        <v>1791</v>
      </c>
      <c r="BS36" s="16"/>
      <c r="BT36" s="16"/>
      <c r="BU36" s="16"/>
      <c r="BV36" s="16"/>
      <c r="BW36" s="16"/>
      <c r="BX36" s="16"/>
      <c r="BY36" s="106"/>
      <c r="BZ36" s="106"/>
      <c r="CA36" s="106"/>
      <c r="CB36" s="106"/>
      <c r="CC36" s="16"/>
      <c r="CD36" s="16"/>
      <c r="CE36" s="16"/>
      <c r="CF36" s="16"/>
      <c r="CG36" s="16"/>
    </row>
    <row r="37" spans="2:85">
      <c r="B37" s="3" t="s">
        <v>224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2">
        <v>76</v>
      </c>
      <c r="BQ37" s="2">
        <v>83</v>
      </c>
      <c r="BR37" s="21">
        <v>46</v>
      </c>
      <c r="BS37" s="16"/>
      <c r="BT37" s="16"/>
      <c r="BU37" s="16"/>
      <c r="BV37" s="16"/>
      <c r="BW37" s="16"/>
      <c r="BX37" s="16"/>
      <c r="BY37" s="106"/>
      <c r="BZ37" s="106"/>
      <c r="CA37" s="106"/>
      <c r="CB37" s="106"/>
      <c r="CC37" s="16"/>
      <c r="CD37" s="16"/>
      <c r="CE37" s="16"/>
      <c r="CF37" s="16"/>
      <c r="CG37" s="16"/>
    </row>
    <row r="38" spans="2:85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16"/>
      <c r="BT38" s="16"/>
      <c r="BU38" s="16"/>
      <c r="BV38" s="16"/>
      <c r="BW38" s="16"/>
      <c r="BX38" s="16"/>
      <c r="BY38" s="106"/>
      <c r="BZ38" s="106"/>
      <c r="CA38" s="106"/>
      <c r="CB38" s="106"/>
      <c r="CC38" s="16"/>
      <c r="CD38" s="16"/>
      <c r="CE38" s="16"/>
      <c r="CF38" s="16"/>
      <c r="CG38" s="16"/>
    </row>
    <row r="39" spans="2:85" ht="15.75" thickBot="1">
      <c r="B39" s="9" t="s">
        <v>23</v>
      </c>
      <c r="C39" s="12">
        <f t="shared" ref="C39:AH39" si="31">SUM(C40:C46)</f>
        <v>-7689</v>
      </c>
      <c r="D39" s="12">
        <f t="shared" si="31"/>
        <v>-18717</v>
      </c>
      <c r="E39" s="12">
        <f t="shared" si="31"/>
        <v>-55052</v>
      </c>
      <c r="F39" s="12">
        <f t="shared" si="31"/>
        <v>-49901</v>
      </c>
      <c r="G39" s="12">
        <f t="shared" si="31"/>
        <v>25117</v>
      </c>
      <c r="H39" s="12">
        <f t="shared" si="31"/>
        <v>-22738</v>
      </c>
      <c r="I39" s="12">
        <f t="shared" si="31"/>
        <v>3788</v>
      </c>
      <c r="J39" s="12">
        <f t="shared" si="31"/>
        <v>16870</v>
      </c>
      <c r="K39" s="12">
        <f t="shared" si="31"/>
        <v>-2836</v>
      </c>
      <c r="L39" s="12">
        <f t="shared" si="31"/>
        <v>-17376</v>
      </c>
      <c r="M39" s="12">
        <f t="shared" si="31"/>
        <v>-51549</v>
      </c>
      <c r="N39" s="12">
        <f t="shared" si="31"/>
        <v>-56273</v>
      </c>
      <c r="O39" s="12">
        <f t="shared" si="31"/>
        <v>-21656</v>
      </c>
      <c r="P39" s="12">
        <f t="shared" si="31"/>
        <v>-29582</v>
      </c>
      <c r="Q39" s="12">
        <f t="shared" si="31"/>
        <v>14084</v>
      </c>
      <c r="R39" s="12">
        <f t="shared" si="31"/>
        <v>-16531</v>
      </c>
      <c r="S39" s="12">
        <f t="shared" si="31"/>
        <v>-23803</v>
      </c>
      <c r="T39" s="12">
        <f t="shared" si="31"/>
        <v>-11557</v>
      </c>
      <c r="U39" s="12">
        <f t="shared" si="31"/>
        <v>-36668</v>
      </c>
      <c r="V39" s="12">
        <f t="shared" si="31"/>
        <v>-36668</v>
      </c>
      <c r="W39" s="12">
        <f t="shared" si="31"/>
        <v>-14471</v>
      </c>
      <c r="X39" s="12">
        <f t="shared" si="31"/>
        <v>-12527</v>
      </c>
      <c r="Y39" s="12">
        <f t="shared" si="31"/>
        <v>-12510</v>
      </c>
      <c r="Z39" s="12">
        <f t="shared" si="31"/>
        <v>-12486</v>
      </c>
      <c r="AA39" s="12">
        <f t="shared" si="31"/>
        <v>-13985</v>
      </c>
      <c r="AB39" s="12">
        <f t="shared" si="31"/>
        <v>-17381</v>
      </c>
      <c r="AC39" s="12">
        <f t="shared" si="31"/>
        <v>-35328</v>
      </c>
      <c r="AD39" s="12">
        <f t="shared" si="31"/>
        <v>-37811</v>
      </c>
      <c r="AE39" s="12">
        <f t="shared" si="31"/>
        <v>-11799</v>
      </c>
      <c r="AF39" s="12">
        <f t="shared" si="31"/>
        <v>-15811</v>
      </c>
      <c r="AG39" s="12">
        <f t="shared" si="31"/>
        <v>-38114</v>
      </c>
      <c r="AH39" s="12">
        <f t="shared" si="31"/>
        <v>-64668</v>
      </c>
      <c r="AI39" s="12">
        <f t="shared" ref="AI39:BN39" si="32">SUM(AI40:AI46)</f>
        <v>-27161</v>
      </c>
      <c r="AJ39" s="12">
        <f t="shared" si="32"/>
        <v>-25494</v>
      </c>
      <c r="AK39" s="12">
        <f t="shared" si="32"/>
        <v>-23772</v>
      </c>
      <c r="AL39" s="12">
        <f t="shared" si="32"/>
        <v>-8570</v>
      </c>
      <c r="AM39" s="12">
        <f t="shared" si="32"/>
        <v>-55161</v>
      </c>
      <c r="AN39" s="12">
        <f t="shared" si="32"/>
        <v>-59938</v>
      </c>
      <c r="AO39" s="12">
        <f t="shared" si="32"/>
        <v>-96551</v>
      </c>
      <c r="AP39" s="12">
        <f t="shared" si="32"/>
        <v>-117879</v>
      </c>
      <c r="AQ39" s="12">
        <f t="shared" si="32"/>
        <v>-20642</v>
      </c>
      <c r="AR39" s="12">
        <f t="shared" si="32"/>
        <v>-48952</v>
      </c>
      <c r="AS39" s="12">
        <f t="shared" si="32"/>
        <v>-83504</v>
      </c>
      <c r="AT39" s="12">
        <f t="shared" si="32"/>
        <v>-130332</v>
      </c>
      <c r="AU39" s="12">
        <f t="shared" si="32"/>
        <v>-21593</v>
      </c>
      <c r="AV39" s="12">
        <f t="shared" si="32"/>
        <v>-82756</v>
      </c>
      <c r="AW39" s="12">
        <f t="shared" si="32"/>
        <v>15815</v>
      </c>
      <c r="AX39" s="12">
        <f t="shared" si="32"/>
        <v>-38247</v>
      </c>
      <c r="AY39" s="12">
        <f t="shared" si="32"/>
        <v>25641</v>
      </c>
      <c r="AZ39" s="12">
        <f t="shared" si="32"/>
        <v>79943</v>
      </c>
      <c r="BA39" s="12">
        <f t="shared" si="32"/>
        <v>38395</v>
      </c>
      <c r="BB39" s="12">
        <f t="shared" si="32"/>
        <v>-43399</v>
      </c>
      <c r="BC39" s="12">
        <f t="shared" si="32"/>
        <v>-81428</v>
      </c>
      <c r="BD39" s="12">
        <f t="shared" si="32"/>
        <v>-134113</v>
      </c>
      <c r="BE39" s="12">
        <f t="shared" si="32"/>
        <v>-217531</v>
      </c>
      <c r="BF39" s="12">
        <f t="shared" si="32"/>
        <v>-256934</v>
      </c>
      <c r="BG39" s="12">
        <f t="shared" si="32"/>
        <v>-19794</v>
      </c>
      <c r="BH39" s="12">
        <f t="shared" si="32"/>
        <v>-255110</v>
      </c>
      <c r="BI39" s="12">
        <f t="shared" si="32"/>
        <v>-381239</v>
      </c>
      <c r="BJ39" s="12">
        <f t="shared" si="32"/>
        <v>-555123</v>
      </c>
      <c r="BK39" s="12">
        <f t="shared" si="32"/>
        <v>-22258</v>
      </c>
      <c r="BL39" s="12">
        <f t="shared" si="32"/>
        <v>-130693</v>
      </c>
      <c r="BM39" s="12">
        <f t="shared" si="32"/>
        <v>-225169</v>
      </c>
      <c r="BN39" s="12">
        <f t="shared" si="32"/>
        <v>-363910</v>
      </c>
      <c r="BO39" s="12">
        <f t="shared" ref="BO39:BQ39" si="33">SUM(BO40:BO46)</f>
        <v>-24194</v>
      </c>
      <c r="BP39" s="12">
        <f t="shared" si="33"/>
        <v>-33376</v>
      </c>
      <c r="BQ39" s="12">
        <f t="shared" si="33"/>
        <v>-48916</v>
      </c>
      <c r="BR39" s="12">
        <f>SUM(BR40:BR46)</f>
        <v>-137694</v>
      </c>
      <c r="BS39" s="16"/>
      <c r="BT39" s="16"/>
      <c r="BU39" s="16"/>
      <c r="BV39" s="16"/>
      <c r="BW39" s="16"/>
      <c r="BX39" s="16"/>
      <c r="BY39" s="106"/>
      <c r="BZ39" s="106"/>
      <c r="CA39" s="106"/>
      <c r="CB39" s="106"/>
      <c r="CC39" s="16"/>
      <c r="CD39" s="16"/>
      <c r="CE39" s="16"/>
      <c r="CF39" s="16"/>
      <c r="CG39" s="16"/>
    </row>
    <row r="40" spans="2:85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56566</v>
      </c>
      <c r="BQ40" s="2">
        <v>94292</v>
      </c>
      <c r="BR40" s="21">
        <v>196099</v>
      </c>
      <c r="BS40" s="16"/>
      <c r="BT40" s="16"/>
      <c r="BU40" s="16"/>
      <c r="BV40" s="16"/>
      <c r="BW40" s="16"/>
      <c r="BX40" s="16"/>
      <c r="BY40" s="106"/>
      <c r="BZ40" s="106"/>
      <c r="CA40" s="106"/>
      <c r="CB40" s="106"/>
      <c r="CC40" s="16"/>
      <c r="CD40" s="16"/>
      <c r="CE40" s="16"/>
      <c r="CF40" s="16"/>
      <c r="CG40" s="16"/>
    </row>
    <row r="41" spans="2:85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5">
        <v>-28115</v>
      </c>
      <c r="BI41" s="105">
        <v>-64800</v>
      </c>
      <c r="BJ41" s="105">
        <v>-71663</v>
      </c>
      <c r="BK41" s="2">
        <v>-7080</v>
      </c>
      <c r="BL41" s="105">
        <v>-24026</v>
      </c>
      <c r="BM41" s="105">
        <v>-58764</v>
      </c>
      <c r="BN41" s="105">
        <v>-67114</v>
      </c>
      <c r="BO41" s="105">
        <v>-8355</v>
      </c>
      <c r="BP41" s="105">
        <v>-26702</v>
      </c>
      <c r="BQ41" s="105">
        <v>-62358</v>
      </c>
      <c r="BR41" s="105">
        <v>-70512</v>
      </c>
      <c r="BS41" s="16"/>
      <c r="BT41" s="16"/>
      <c r="BU41" s="16"/>
      <c r="BV41" s="16"/>
      <c r="BW41" s="16"/>
      <c r="BX41" s="16"/>
      <c r="BY41" s="106"/>
      <c r="BZ41" s="106"/>
      <c r="CA41" s="106"/>
      <c r="CB41" s="106"/>
      <c r="CC41" s="16"/>
      <c r="CD41" s="16"/>
      <c r="CE41" s="16"/>
      <c r="CF41" s="16"/>
      <c r="CG41" s="16"/>
    </row>
    <row r="42" spans="2:85">
      <c r="B42" s="3" t="s">
        <v>197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5">
        <v>-13495</v>
      </c>
      <c r="BI42" s="105">
        <v>-22932</v>
      </c>
      <c r="BJ42" s="105">
        <v>-34707</v>
      </c>
      <c r="BK42" s="2">
        <v>-15178</v>
      </c>
      <c r="BL42" s="105">
        <v>-33915</v>
      </c>
      <c r="BM42" s="105">
        <v>-51811</v>
      </c>
      <c r="BN42" s="105">
        <v>-70879</v>
      </c>
      <c r="BO42" s="105">
        <v>-15839</v>
      </c>
      <c r="BP42" s="105">
        <v>-45740</v>
      </c>
      <c r="BQ42" s="105">
        <v>-70188</v>
      </c>
      <c r="BR42" s="105">
        <v>-89663</v>
      </c>
      <c r="BS42" s="16"/>
      <c r="BT42" s="16"/>
      <c r="BU42" s="16"/>
      <c r="BV42" s="16"/>
      <c r="BW42" s="16"/>
      <c r="BX42" s="16"/>
      <c r="BY42" s="106"/>
      <c r="BZ42" s="106"/>
      <c r="CA42" s="106"/>
      <c r="CB42" s="106"/>
      <c r="CC42" s="16"/>
      <c r="CD42" s="16"/>
      <c r="CE42" s="16"/>
      <c r="CF42" s="16"/>
      <c r="CG42" s="16"/>
    </row>
    <row r="43" spans="2:85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1">
        <v>0</v>
      </c>
      <c r="BS43" s="16"/>
      <c r="BT43" s="16"/>
      <c r="BU43" s="16"/>
      <c r="BV43" s="16"/>
      <c r="BW43" s="16"/>
      <c r="BX43" s="16"/>
      <c r="BY43" s="106"/>
      <c r="BZ43" s="106"/>
      <c r="CA43" s="106"/>
      <c r="CB43" s="106"/>
      <c r="CC43" s="16"/>
      <c r="CD43" s="16"/>
      <c r="CE43" s="16"/>
      <c r="CF43" s="16"/>
      <c r="CG43" s="16"/>
    </row>
    <row r="44" spans="2:85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2">
        <v>0</v>
      </c>
      <c r="BQ44" s="2">
        <v>24956</v>
      </c>
      <c r="BR44" s="58">
        <v>0</v>
      </c>
      <c r="BS44" s="16"/>
      <c r="BT44" s="16"/>
      <c r="BU44" s="16"/>
      <c r="BV44" s="16"/>
      <c r="BW44" s="16"/>
      <c r="BX44" s="16"/>
      <c r="BY44" s="106"/>
      <c r="BZ44" s="106"/>
      <c r="CA44" s="106"/>
      <c r="CB44" s="106"/>
      <c r="CC44" s="16"/>
      <c r="CD44" s="16"/>
      <c r="CE44" s="16"/>
      <c r="CF44" s="16"/>
      <c r="CG44" s="16"/>
    </row>
    <row r="45" spans="2:85">
      <c r="B45" s="3" t="s">
        <v>213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58">
        <v>0</v>
      </c>
      <c r="BS45" s="16"/>
      <c r="BT45" s="16"/>
      <c r="BU45" s="16"/>
      <c r="BV45" s="16"/>
      <c r="BW45" s="16"/>
      <c r="BX45" s="16"/>
      <c r="BY45" s="106"/>
      <c r="BZ45" s="106"/>
      <c r="CA45" s="106"/>
      <c r="CB45" s="106"/>
      <c r="CC45" s="16"/>
      <c r="CD45" s="16"/>
      <c r="CE45" s="16"/>
      <c r="CF45" s="16"/>
      <c r="CG45" s="16"/>
    </row>
    <row r="46" spans="2:85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2">
        <v>-17500</v>
      </c>
      <c r="BQ46" s="2">
        <v>-35618</v>
      </c>
      <c r="BR46" s="21">
        <v>-173618</v>
      </c>
      <c r="BS46" s="16"/>
      <c r="BT46" s="16"/>
      <c r="BU46" s="16"/>
      <c r="BV46" s="16"/>
      <c r="BW46" s="16"/>
      <c r="BX46" s="16"/>
      <c r="BY46" s="106"/>
      <c r="BZ46" s="106"/>
      <c r="CA46" s="106"/>
      <c r="CB46" s="106"/>
      <c r="CC46" s="16"/>
      <c r="CD46" s="16"/>
      <c r="CE46" s="16"/>
      <c r="CF46" s="16"/>
      <c r="CG46" s="16"/>
    </row>
    <row r="47" spans="2:85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16"/>
      <c r="BT47" s="16"/>
      <c r="BU47" s="16"/>
      <c r="BV47" s="16"/>
      <c r="BW47" s="16"/>
      <c r="BX47" s="16"/>
      <c r="BY47" s="106"/>
      <c r="BZ47" s="106"/>
      <c r="CA47" s="106"/>
      <c r="CB47" s="106"/>
      <c r="CC47" s="16"/>
      <c r="CD47" s="16"/>
      <c r="CE47" s="16"/>
      <c r="CF47" s="16"/>
      <c r="CG47" s="16"/>
    </row>
    <row r="48" spans="2:85" ht="15.75" thickBot="1">
      <c r="B48" s="9" t="s">
        <v>24</v>
      </c>
      <c r="C48" s="12">
        <f t="shared" ref="C48:AH48" si="34">C6+C31+C39</f>
        <v>12405</v>
      </c>
      <c r="D48" s="12">
        <f t="shared" si="34"/>
        <v>57175</v>
      </c>
      <c r="E48" s="12">
        <f t="shared" si="34"/>
        <v>181752</v>
      </c>
      <c r="F48" s="12">
        <f t="shared" si="34"/>
        <v>162471</v>
      </c>
      <c r="G48" s="12">
        <f t="shared" si="34"/>
        <v>-22086</v>
      </c>
      <c r="H48" s="12">
        <f t="shared" si="34"/>
        <v>-80150</v>
      </c>
      <c r="I48" s="12">
        <f t="shared" si="34"/>
        <v>-1707</v>
      </c>
      <c r="J48" s="12">
        <f t="shared" si="34"/>
        <v>22698</v>
      </c>
      <c r="K48" s="12">
        <f t="shared" si="34"/>
        <v>-2607</v>
      </c>
      <c r="L48" s="12">
        <f t="shared" si="34"/>
        <v>-50747</v>
      </c>
      <c r="M48" s="12">
        <f t="shared" si="34"/>
        <v>-76646</v>
      </c>
      <c r="N48" s="12">
        <f t="shared" si="34"/>
        <v>-115943</v>
      </c>
      <c r="O48" s="12">
        <f t="shared" si="34"/>
        <v>18675</v>
      </c>
      <c r="P48" s="12">
        <f t="shared" si="34"/>
        <v>32391</v>
      </c>
      <c r="Q48" s="12">
        <f t="shared" si="34"/>
        <v>51769</v>
      </c>
      <c r="R48" s="12">
        <f t="shared" si="34"/>
        <v>-31379</v>
      </c>
      <c r="S48" s="12">
        <f t="shared" si="34"/>
        <v>-33579</v>
      </c>
      <c r="T48" s="12">
        <f t="shared" si="34"/>
        <v>72843</v>
      </c>
      <c r="U48" s="12">
        <f t="shared" si="34"/>
        <v>25156</v>
      </c>
      <c r="V48" s="12">
        <f t="shared" si="34"/>
        <v>-5728</v>
      </c>
      <c r="W48" s="12">
        <f t="shared" si="34"/>
        <v>-34513</v>
      </c>
      <c r="X48" s="12">
        <f t="shared" si="34"/>
        <v>-30102</v>
      </c>
      <c r="Y48" s="12">
        <f t="shared" si="34"/>
        <v>-132263</v>
      </c>
      <c r="Z48" s="12">
        <f t="shared" si="34"/>
        <v>-113190</v>
      </c>
      <c r="AA48" s="12">
        <f t="shared" si="34"/>
        <v>-33890</v>
      </c>
      <c r="AB48" s="12">
        <f t="shared" si="34"/>
        <v>-37060</v>
      </c>
      <c r="AC48" s="12">
        <f t="shared" si="34"/>
        <v>-84273</v>
      </c>
      <c r="AD48" s="12">
        <f t="shared" si="34"/>
        <v>-61812</v>
      </c>
      <c r="AE48" s="12">
        <f t="shared" si="34"/>
        <v>-10254</v>
      </c>
      <c r="AF48" s="12">
        <f t="shared" si="34"/>
        <v>33863</v>
      </c>
      <c r="AG48" s="12">
        <f t="shared" si="34"/>
        <v>22068</v>
      </c>
      <c r="AH48" s="12">
        <f t="shared" si="34"/>
        <v>-14039</v>
      </c>
      <c r="AI48" s="12">
        <f t="shared" ref="AI48:BR48" si="35">AI6+AI31+AI39</f>
        <v>43184</v>
      </c>
      <c r="AJ48" s="12">
        <f t="shared" si="35"/>
        <v>75608</v>
      </c>
      <c r="AK48" s="12">
        <f t="shared" si="35"/>
        <v>73301</v>
      </c>
      <c r="AL48" s="12">
        <f t="shared" si="35"/>
        <v>151759</v>
      </c>
      <c r="AM48" s="12">
        <f t="shared" si="35"/>
        <v>109026</v>
      </c>
      <c r="AN48" s="12">
        <f t="shared" si="35"/>
        <v>181621</v>
      </c>
      <c r="AO48" s="12">
        <f t="shared" si="35"/>
        <v>216560</v>
      </c>
      <c r="AP48" s="12">
        <f t="shared" si="35"/>
        <v>-99960</v>
      </c>
      <c r="AQ48" s="12">
        <f t="shared" si="35"/>
        <v>279872</v>
      </c>
      <c r="AR48" s="12">
        <f t="shared" si="35"/>
        <v>73244</v>
      </c>
      <c r="AS48" s="12">
        <f t="shared" si="35"/>
        <v>127494</v>
      </c>
      <c r="AT48" s="12">
        <f t="shared" si="35"/>
        <v>76442</v>
      </c>
      <c r="AU48" s="12">
        <f t="shared" si="35"/>
        <v>-28497</v>
      </c>
      <c r="AV48" s="12">
        <f t="shared" si="35"/>
        <v>-86152</v>
      </c>
      <c r="AW48" s="12">
        <f t="shared" si="35"/>
        <v>-69473</v>
      </c>
      <c r="AX48" s="12">
        <f t="shared" si="35"/>
        <v>-108392</v>
      </c>
      <c r="AY48" s="12">
        <f t="shared" si="35"/>
        <v>47090</v>
      </c>
      <c r="AZ48" s="12">
        <f t="shared" si="35"/>
        <v>94388</v>
      </c>
      <c r="BA48" s="12">
        <f t="shared" si="35"/>
        <v>43437</v>
      </c>
      <c r="BB48" s="12">
        <f t="shared" si="35"/>
        <v>16776</v>
      </c>
      <c r="BC48" s="12">
        <f t="shared" si="35"/>
        <v>-26190</v>
      </c>
      <c r="BD48" s="12">
        <f t="shared" si="35"/>
        <v>74128</v>
      </c>
      <c r="BE48" s="12">
        <f t="shared" si="35"/>
        <v>53105</v>
      </c>
      <c r="BF48" s="12">
        <f t="shared" si="35"/>
        <v>126015</v>
      </c>
      <c r="BG48" s="12">
        <f t="shared" si="35"/>
        <v>101862</v>
      </c>
      <c r="BH48" s="12">
        <f t="shared" si="35"/>
        <v>214845</v>
      </c>
      <c r="BI48" s="12">
        <f t="shared" si="35"/>
        <v>219550</v>
      </c>
      <c r="BJ48" s="12">
        <f t="shared" si="35"/>
        <v>257590</v>
      </c>
      <c r="BK48" s="12">
        <f t="shared" si="35"/>
        <v>106144</v>
      </c>
      <c r="BL48" s="12">
        <f t="shared" si="35"/>
        <v>84422</v>
      </c>
      <c r="BM48" s="12">
        <f t="shared" si="35"/>
        <v>1509</v>
      </c>
      <c r="BN48" s="12">
        <f t="shared" si="35"/>
        <v>-132315</v>
      </c>
      <c r="BO48" s="12">
        <f t="shared" si="35"/>
        <v>-50815</v>
      </c>
      <c r="BP48" s="12">
        <f t="shared" si="35"/>
        <v>47121</v>
      </c>
      <c r="BQ48" s="12">
        <f t="shared" si="35"/>
        <v>126551</v>
      </c>
      <c r="BR48" s="12">
        <f t="shared" si="35"/>
        <v>122299</v>
      </c>
      <c r="BS48" s="16"/>
      <c r="BT48" s="16"/>
      <c r="BU48" s="16"/>
      <c r="BV48" s="16"/>
      <c r="BW48" s="16"/>
      <c r="BX48" s="16"/>
      <c r="BY48" s="106"/>
      <c r="BZ48" s="106"/>
      <c r="CA48" s="106"/>
      <c r="CB48" s="106"/>
      <c r="CC48" s="16"/>
      <c r="CD48" s="16"/>
      <c r="CE48" s="16"/>
      <c r="CF48" s="16"/>
      <c r="CG48" s="16"/>
    </row>
    <row r="49" spans="2:8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16"/>
      <c r="BT49" s="16"/>
      <c r="BU49" s="16"/>
      <c r="BV49" s="16"/>
      <c r="BW49" s="16"/>
      <c r="BX49" s="16"/>
      <c r="BY49" s="106"/>
      <c r="BZ49" s="106"/>
      <c r="CA49" s="106"/>
      <c r="CB49" s="106"/>
      <c r="CC49" s="16"/>
      <c r="CD49" s="16"/>
      <c r="CE49" s="16"/>
      <c r="CF49" s="16"/>
      <c r="CG49" s="16"/>
    </row>
    <row r="50" spans="2:85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2">
        <f>$BN51</f>
        <v>341787</v>
      </c>
      <c r="BQ50" s="2">
        <f>$BN51</f>
        <v>341787</v>
      </c>
      <c r="BR50" s="2">
        <f>$BN$51</f>
        <v>341787</v>
      </c>
      <c r="BS50" s="16"/>
      <c r="BT50" s="16"/>
      <c r="BU50" s="16"/>
      <c r="BV50" s="16"/>
      <c r="BW50" s="16"/>
      <c r="BX50" s="16"/>
      <c r="BY50" s="106"/>
      <c r="BZ50" s="106"/>
      <c r="CA50" s="106"/>
      <c r="CB50" s="106"/>
      <c r="CC50" s="16"/>
      <c r="CD50" s="16"/>
      <c r="CE50" s="16"/>
      <c r="CF50" s="16"/>
      <c r="CG50" s="16"/>
    </row>
    <row r="51" spans="2:85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2">
        <v>388908</v>
      </c>
      <c r="BQ51" s="2">
        <v>468338</v>
      </c>
      <c r="BR51" s="2">
        <v>464086</v>
      </c>
      <c r="BS51" s="16"/>
      <c r="BT51" s="16"/>
      <c r="BU51" s="16"/>
      <c r="BV51" s="16"/>
      <c r="BW51" s="16"/>
      <c r="BX51" s="16"/>
      <c r="BY51" s="106"/>
      <c r="BZ51" s="106"/>
      <c r="CA51" s="106"/>
      <c r="CB51" s="106"/>
      <c r="CC51" s="16"/>
      <c r="CD51" s="16"/>
      <c r="CE51" s="16"/>
      <c r="CF51" s="16"/>
      <c r="CG51" s="16"/>
    </row>
    <row r="52" spans="2:85" ht="15.75" thickBot="1">
      <c r="B52" s="9" t="s">
        <v>24</v>
      </c>
      <c r="C52" s="12">
        <f>C51-C50</f>
        <v>12405</v>
      </c>
      <c r="D52" s="12">
        <f t="shared" ref="D52:F52" si="36">D51-D50</f>
        <v>57175</v>
      </c>
      <c r="E52" s="12">
        <f t="shared" si="36"/>
        <v>181752</v>
      </c>
      <c r="F52" s="12">
        <f t="shared" si="36"/>
        <v>162471</v>
      </c>
      <c r="G52" s="12">
        <f>G51-G50</f>
        <v>-22086</v>
      </c>
      <c r="H52" s="12">
        <f t="shared" ref="H52" si="37">H51-H50</f>
        <v>-80150</v>
      </c>
      <c r="I52" s="12">
        <f t="shared" ref="I52" si="38">I51-I50</f>
        <v>-1707</v>
      </c>
      <c r="J52" s="12">
        <f t="shared" ref="J52" si="39">J51-J50</f>
        <v>22698</v>
      </c>
      <c r="K52" s="12">
        <f>K51-K50</f>
        <v>-2607</v>
      </c>
      <c r="L52" s="12">
        <f t="shared" ref="L52" si="40">L51-L50</f>
        <v>-50747</v>
      </c>
      <c r="M52" s="12">
        <f t="shared" ref="M52" si="41">M51-M50</f>
        <v>-76646</v>
      </c>
      <c r="N52" s="12">
        <f t="shared" ref="N52" si="42">N51-N50</f>
        <v>-115943</v>
      </c>
      <c r="O52" s="12">
        <f>O51-O50</f>
        <v>18675</v>
      </c>
      <c r="P52" s="12">
        <f t="shared" ref="P52" si="43">P51-P50</f>
        <v>32391</v>
      </c>
      <c r="Q52" s="12">
        <f t="shared" ref="Q52" si="44">Q51-Q50</f>
        <v>51769</v>
      </c>
      <c r="R52" s="12">
        <f t="shared" ref="R52" si="45">R51-R50</f>
        <v>-31379</v>
      </c>
      <c r="S52" s="12">
        <f>S51-S50</f>
        <v>-33579</v>
      </c>
      <c r="T52" s="12">
        <f t="shared" ref="T52" si="46">T51-T50</f>
        <v>72843</v>
      </c>
      <c r="U52" s="12">
        <f t="shared" ref="U52" si="47">U51-U50</f>
        <v>25156</v>
      </c>
      <c r="V52" s="12">
        <f t="shared" ref="V52" si="48">V51-V50</f>
        <v>-5728</v>
      </c>
      <c r="W52" s="12">
        <f>W51-W50</f>
        <v>-34513</v>
      </c>
      <c r="X52" s="12">
        <f t="shared" ref="X52:AA52" si="49">X51-X50</f>
        <v>-30102</v>
      </c>
      <c r="Y52" s="12">
        <f t="shared" si="49"/>
        <v>-132263</v>
      </c>
      <c r="Z52" s="12">
        <f t="shared" si="49"/>
        <v>-113190</v>
      </c>
      <c r="AA52" s="12">
        <f t="shared" si="49"/>
        <v>-33890</v>
      </c>
      <c r="AB52" s="12">
        <f t="shared" ref="AB52:AC52" si="50">AB51-AB50</f>
        <v>-37060</v>
      </c>
      <c r="AC52" s="12">
        <f t="shared" si="50"/>
        <v>-84273</v>
      </c>
      <c r="AD52" s="12">
        <f t="shared" ref="AD52:AE52" si="51">AD51-AD50</f>
        <v>-61812</v>
      </c>
      <c r="AE52" s="12">
        <f t="shared" si="51"/>
        <v>-10254</v>
      </c>
      <c r="AF52" s="12">
        <f t="shared" ref="AF52:AI52" si="52">AF51-AF50</f>
        <v>33863</v>
      </c>
      <c r="AG52" s="12">
        <f t="shared" si="52"/>
        <v>22068</v>
      </c>
      <c r="AH52" s="12">
        <f t="shared" si="52"/>
        <v>-14039</v>
      </c>
      <c r="AI52" s="12">
        <f t="shared" si="52"/>
        <v>43184</v>
      </c>
      <c r="AJ52" s="12">
        <f t="shared" ref="AJ52:AK52" si="53">AJ51-AJ50</f>
        <v>75608</v>
      </c>
      <c r="AK52" s="12">
        <f t="shared" si="53"/>
        <v>73301</v>
      </c>
      <c r="AL52" s="12">
        <f t="shared" ref="AL52:AS52" si="54">AL51-AL50</f>
        <v>151759</v>
      </c>
      <c r="AM52" s="12">
        <f t="shared" si="54"/>
        <v>109026</v>
      </c>
      <c r="AN52" s="12">
        <f t="shared" si="54"/>
        <v>181621</v>
      </c>
      <c r="AO52" s="12">
        <f t="shared" si="54"/>
        <v>216560</v>
      </c>
      <c r="AP52" s="12">
        <f t="shared" si="54"/>
        <v>-99960</v>
      </c>
      <c r="AQ52" s="12">
        <f t="shared" si="54"/>
        <v>279872</v>
      </c>
      <c r="AR52" s="12">
        <f t="shared" si="54"/>
        <v>73244</v>
      </c>
      <c r="AS52" s="12">
        <f t="shared" si="54"/>
        <v>127494</v>
      </c>
      <c r="AT52" s="12">
        <f t="shared" ref="AT52" si="55">AT51-AT50</f>
        <v>76442</v>
      </c>
      <c r="AU52" s="12">
        <f t="shared" ref="AU52:AZ52" si="56">AU51-AU50</f>
        <v>-28497</v>
      </c>
      <c r="AV52" s="12">
        <f t="shared" si="56"/>
        <v>-86152</v>
      </c>
      <c r="AW52" s="12">
        <f t="shared" si="56"/>
        <v>-69473</v>
      </c>
      <c r="AX52" s="12">
        <f t="shared" si="56"/>
        <v>-108392</v>
      </c>
      <c r="AY52" s="12">
        <f t="shared" si="56"/>
        <v>47090</v>
      </c>
      <c r="AZ52" s="12">
        <f t="shared" si="56"/>
        <v>94388</v>
      </c>
      <c r="BA52" s="12">
        <f t="shared" ref="BA52:BB52" si="57">BA51-BA50</f>
        <v>43437</v>
      </c>
      <c r="BB52" s="12">
        <f t="shared" si="57"/>
        <v>16776</v>
      </c>
      <c r="BC52" s="12">
        <f t="shared" ref="BC52:BD52" si="58">BC51-BC50</f>
        <v>-26190</v>
      </c>
      <c r="BD52" s="12">
        <f t="shared" si="58"/>
        <v>74128</v>
      </c>
      <c r="BE52" s="12">
        <f t="shared" ref="BE52:BF52" si="59">BE51-BE50</f>
        <v>53105</v>
      </c>
      <c r="BF52" s="12">
        <f t="shared" si="59"/>
        <v>126015</v>
      </c>
      <c r="BG52" s="12">
        <f t="shared" ref="BG52:BH52" si="60">BG51-BG50</f>
        <v>101862</v>
      </c>
      <c r="BH52" s="12">
        <f t="shared" si="60"/>
        <v>214845</v>
      </c>
      <c r="BI52" s="12">
        <f t="shared" ref="BI52:BL52" si="61">BI51-BI50</f>
        <v>219550</v>
      </c>
      <c r="BJ52" s="12">
        <f t="shared" si="61"/>
        <v>257590</v>
      </c>
      <c r="BK52" s="12">
        <f t="shared" si="61"/>
        <v>106144</v>
      </c>
      <c r="BL52" s="12">
        <f t="shared" si="61"/>
        <v>84422</v>
      </c>
      <c r="BM52" s="12">
        <f t="shared" ref="BM52:BN52" si="62">BM51-BM50</f>
        <v>1509</v>
      </c>
      <c r="BN52" s="12">
        <f t="shared" si="62"/>
        <v>-132315</v>
      </c>
      <c r="BO52" s="12">
        <f t="shared" ref="BO52:BP52" si="63">BO51-BO50</f>
        <v>-50815</v>
      </c>
      <c r="BP52" s="12">
        <f t="shared" si="63"/>
        <v>47121</v>
      </c>
      <c r="BQ52" s="12">
        <f t="shared" ref="BQ52:BR52" si="64">BQ51-BQ50</f>
        <v>126551</v>
      </c>
      <c r="BR52" s="12">
        <f t="shared" si="64"/>
        <v>122299</v>
      </c>
      <c r="BS52" s="16"/>
      <c r="BT52" s="16"/>
      <c r="BU52" s="16"/>
      <c r="BV52" s="16"/>
      <c r="BW52" s="16"/>
      <c r="BX52" s="16"/>
      <c r="BY52" s="106"/>
      <c r="BZ52" s="106"/>
      <c r="CA52" s="106"/>
      <c r="CB52" s="106"/>
      <c r="CC52" s="16"/>
      <c r="CD52" s="16"/>
      <c r="CE52" s="16"/>
      <c r="CF52" s="16"/>
      <c r="CG52" s="16"/>
    </row>
    <row r="53" spans="2:8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S53" s="16"/>
      <c r="BT53" s="16"/>
      <c r="BU53" s="16"/>
      <c r="BV53" s="16"/>
      <c r="BW53" s="16"/>
      <c r="BX53" s="16"/>
      <c r="BY53" s="106"/>
      <c r="BZ53" s="106"/>
      <c r="CA53" s="106"/>
      <c r="CB53" s="106"/>
      <c r="CC53" s="16"/>
      <c r="CD53" s="16"/>
      <c r="CE53" s="16"/>
      <c r="CF53" s="16"/>
      <c r="CG53" s="16"/>
    </row>
    <row r="54" spans="2:85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S54" s="16"/>
      <c r="BT54" s="16"/>
      <c r="BU54" s="16"/>
      <c r="BV54" s="16"/>
      <c r="BW54" s="16"/>
      <c r="BX54" s="16"/>
      <c r="BY54" s="106"/>
      <c r="BZ54" s="106"/>
      <c r="CA54" s="106"/>
      <c r="CB54" s="106"/>
      <c r="CC54" s="16"/>
      <c r="CD54" s="16"/>
      <c r="CE54" s="16"/>
      <c r="CF54" s="16"/>
      <c r="CG54" s="16"/>
    </row>
    <row r="55" spans="2:85">
      <c r="C55" s="16">
        <f t="shared" ref="C55:AP55" si="65">C48-C52</f>
        <v>0</v>
      </c>
      <c r="D55" s="16">
        <f t="shared" si="65"/>
        <v>0</v>
      </c>
      <c r="E55" s="16">
        <f t="shared" si="65"/>
        <v>0</v>
      </c>
      <c r="F55" s="16">
        <f t="shared" si="65"/>
        <v>0</v>
      </c>
      <c r="G55" s="16">
        <f t="shared" si="65"/>
        <v>0</v>
      </c>
      <c r="H55" s="16">
        <f t="shared" si="65"/>
        <v>0</v>
      </c>
      <c r="I55" s="16">
        <f t="shared" si="65"/>
        <v>0</v>
      </c>
      <c r="J55" s="16">
        <f t="shared" si="65"/>
        <v>0</v>
      </c>
      <c r="K55" s="16">
        <f t="shared" si="65"/>
        <v>0</v>
      </c>
      <c r="L55" s="16">
        <f t="shared" si="65"/>
        <v>0</v>
      </c>
      <c r="M55" s="16">
        <f t="shared" si="65"/>
        <v>0</v>
      </c>
      <c r="N55" s="16">
        <f t="shared" si="65"/>
        <v>0</v>
      </c>
      <c r="O55" s="16">
        <f t="shared" si="65"/>
        <v>0</v>
      </c>
      <c r="P55" s="16">
        <f t="shared" si="65"/>
        <v>0</v>
      </c>
      <c r="Q55" s="16">
        <f t="shared" si="65"/>
        <v>0</v>
      </c>
      <c r="R55" s="16">
        <f t="shared" si="65"/>
        <v>0</v>
      </c>
      <c r="S55" s="16">
        <f t="shared" si="65"/>
        <v>0</v>
      </c>
      <c r="T55" s="16">
        <f t="shared" si="65"/>
        <v>0</v>
      </c>
      <c r="U55" s="16">
        <f t="shared" si="65"/>
        <v>0</v>
      </c>
      <c r="V55" s="16">
        <f t="shared" si="65"/>
        <v>0</v>
      </c>
      <c r="W55" s="16">
        <f t="shared" si="65"/>
        <v>0</v>
      </c>
      <c r="X55" s="16">
        <f t="shared" si="65"/>
        <v>0</v>
      </c>
      <c r="Y55" s="16">
        <f t="shared" si="65"/>
        <v>0</v>
      </c>
      <c r="Z55" s="16">
        <f t="shared" si="65"/>
        <v>0</v>
      </c>
      <c r="AA55" s="16">
        <f t="shared" si="65"/>
        <v>0</v>
      </c>
      <c r="AB55" s="16">
        <f t="shared" si="65"/>
        <v>0</v>
      </c>
      <c r="AC55" s="16">
        <f t="shared" si="65"/>
        <v>0</v>
      </c>
      <c r="AD55" s="16">
        <f t="shared" si="65"/>
        <v>0</v>
      </c>
      <c r="AE55" s="16">
        <f t="shared" si="65"/>
        <v>0</v>
      </c>
      <c r="AF55" s="16">
        <f t="shared" si="65"/>
        <v>0</v>
      </c>
      <c r="AG55" s="16">
        <f t="shared" si="65"/>
        <v>0</v>
      </c>
      <c r="AH55" s="16">
        <f t="shared" si="65"/>
        <v>0</v>
      </c>
      <c r="AI55" s="16">
        <f t="shared" si="65"/>
        <v>0</v>
      </c>
      <c r="AJ55" s="16">
        <f t="shared" si="65"/>
        <v>0</v>
      </c>
      <c r="AK55" s="16">
        <f t="shared" si="65"/>
        <v>0</v>
      </c>
      <c r="AL55" s="16">
        <f t="shared" si="65"/>
        <v>0</v>
      </c>
      <c r="AM55" s="16">
        <f t="shared" si="65"/>
        <v>0</v>
      </c>
      <c r="AN55" s="16">
        <f t="shared" si="65"/>
        <v>0</v>
      </c>
      <c r="AO55" s="16">
        <f t="shared" si="65"/>
        <v>0</v>
      </c>
      <c r="AP55" s="16">
        <f t="shared" si="65"/>
        <v>0</v>
      </c>
      <c r="AQ55" s="16">
        <f t="shared" ref="AQ55:AU55" si="66">AQ48-AQ52</f>
        <v>0</v>
      </c>
      <c r="AR55" s="16">
        <f t="shared" si="66"/>
        <v>0</v>
      </c>
      <c r="AS55" s="16">
        <f t="shared" si="66"/>
        <v>0</v>
      </c>
      <c r="AT55" s="16">
        <f t="shared" si="66"/>
        <v>0</v>
      </c>
      <c r="AU55" s="16">
        <f t="shared" si="66"/>
        <v>0</v>
      </c>
      <c r="AV55" s="16">
        <f t="shared" ref="AV55:AW55" si="67">AV48-AV52</f>
        <v>0</v>
      </c>
      <c r="AW55" s="16">
        <f t="shared" si="67"/>
        <v>0</v>
      </c>
      <c r="AX55" s="16">
        <f t="shared" ref="AX55:AY55" si="68">AX48-AX52</f>
        <v>0</v>
      </c>
      <c r="AY55" s="16">
        <f t="shared" si="68"/>
        <v>0</v>
      </c>
      <c r="AZ55" s="16">
        <f t="shared" ref="AZ55:BA55" si="69">AZ48-AZ52</f>
        <v>0</v>
      </c>
      <c r="BA55" s="16">
        <f t="shared" si="69"/>
        <v>0</v>
      </c>
      <c r="BB55" s="16">
        <f t="shared" ref="BB55:BC55" si="70">BB48-BB52</f>
        <v>0</v>
      </c>
      <c r="BC55" s="16">
        <f t="shared" si="70"/>
        <v>0</v>
      </c>
      <c r="BD55" s="16">
        <f t="shared" ref="BD55:BE55" si="71">BD48-BD52</f>
        <v>0</v>
      </c>
      <c r="BE55" s="16">
        <f t="shared" si="71"/>
        <v>0</v>
      </c>
      <c r="BF55" s="16">
        <f t="shared" ref="BF55:BG55" si="72">BF48-BF52</f>
        <v>0</v>
      </c>
      <c r="BG55" s="16">
        <f t="shared" si="72"/>
        <v>0</v>
      </c>
      <c r="BH55" s="16">
        <f t="shared" ref="BH55:BI55" si="73">BH48-BH52</f>
        <v>0</v>
      </c>
      <c r="BI55" s="16">
        <f t="shared" si="73"/>
        <v>0</v>
      </c>
      <c r="BJ55" s="16">
        <f t="shared" ref="BJ55:BM55" si="74">BJ48-BJ52</f>
        <v>0</v>
      </c>
      <c r="BK55" s="16">
        <f t="shared" si="74"/>
        <v>0</v>
      </c>
      <c r="BL55" s="16">
        <f t="shared" si="74"/>
        <v>0</v>
      </c>
      <c r="BM55" s="16">
        <f t="shared" si="74"/>
        <v>0</v>
      </c>
      <c r="BN55" s="16">
        <f t="shared" ref="BN55:BO55" si="75">BN48-BN52</f>
        <v>0</v>
      </c>
      <c r="BO55" s="16">
        <f t="shared" si="75"/>
        <v>0</v>
      </c>
      <c r="BP55" s="16">
        <f t="shared" ref="BP55:BR55" si="76">BP48-BP52</f>
        <v>0</v>
      </c>
      <c r="BQ55" s="16">
        <f t="shared" si="76"/>
        <v>0</v>
      </c>
      <c r="BR55" s="16">
        <f t="shared" si="76"/>
        <v>0</v>
      </c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2:8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2:85">
      <c r="D57" s="2"/>
      <c r="BR57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O36"/>
  <sheetViews>
    <sheetView showGridLines="0" showRowColHeaders="0" zoomScale="80" zoomScaleNormal="80" zoomScaleSheetLayoutView="100" workbookViewId="0">
      <pane xSplit="2" ySplit="5" topLeftCell="BA6" activePane="bottomRight" state="frozen"/>
      <selection activeCell="CJ13" sqref="CJ13"/>
      <selection pane="topRight" activeCell="CJ13" sqref="CJ13"/>
      <selection pane="bottomLeft" activeCell="CJ13" sqref="CJ13"/>
      <selection pane="bottomRight" activeCell="BH30" sqref="BH30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70" width="11.85546875" customWidth="1"/>
    <col min="71" max="71" width="12.5703125" customWidth="1"/>
    <col min="72" max="75" width="12.28515625" hidden="1" customWidth="1"/>
    <col min="76" max="76" width="14" hidden="1" customWidth="1"/>
    <col min="77" max="77" width="11.85546875" hidden="1" customWidth="1"/>
    <col min="78" max="79" width="11.28515625" hidden="1" customWidth="1"/>
    <col min="80" max="81" width="9.85546875" hidden="1" customWidth="1"/>
    <col min="82" max="83" width="10.5703125" hidden="1" customWidth="1"/>
    <col min="84" max="86" width="11.7109375" hidden="1" customWidth="1"/>
    <col min="87" max="88" width="11.7109375" customWidth="1"/>
    <col min="93" max="93" width="10.5703125" bestFit="1" customWidth="1"/>
  </cols>
  <sheetData>
    <row r="2" spans="2:89" ht="21">
      <c r="B2" s="31" t="s">
        <v>226</v>
      </c>
    </row>
    <row r="3" spans="2:89" ht="15.75">
      <c r="B3" s="63" t="s">
        <v>169</v>
      </c>
      <c r="BS3" s="63" t="s">
        <v>167</v>
      </c>
    </row>
    <row r="4" spans="2:89" s="19" customFormat="1" ht="7.7" customHeight="1" thickBot="1"/>
    <row r="5" spans="2:89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S5" s="5"/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89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>
        <f>622425-BO6</f>
        <v>320045</v>
      </c>
      <c r="BQ6" s="2">
        <f>1039458-BP6-BO6</f>
        <v>417033</v>
      </c>
      <c r="BR6" s="2">
        <v>374195</v>
      </c>
      <c r="BS6" s="2"/>
      <c r="BT6" s="2">
        <f>SUM(C6:F6)</f>
        <v>848396</v>
      </c>
      <c r="BU6" s="2">
        <f>SUM(G6:J6)</f>
        <v>404058</v>
      </c>
      <c r="BV6" s="2">
        <f>SUM(K6:N6)</f>
        <v>655269</v>
      </c>
      <c r="BW6" s="2">
        <f>SUM(O6:R6)</f>
        <v>604377</v>
      </c>
      <c r="BX6" s="2">
        <f>SUM(S6:V6)</f>
        <v>652386</v>
      </c>
      <c r="BY6" s="2">
        <f>SUM(W6:Z6)</f>
        <v>770807</v>
      </c>
      <c r="BZ6" s="2">
        <f>SUM(AA6:AD6)</f>
        <v>855645</v>
      </c>
      <c r="CA6" s="2">
        <f>SUM(AE6:AH6)</f>
        <v>900447</v>
      </c>
      <c r="CB6" s="2">
        <f t="shared" ref="CB6:CB12" si="0">SUM(AI6:AL6)</f>
        <v>862150</v>
      </c>
      <c r="CC6" s="2">
        <f t="shared" ref="CC6:CC12" si="1">SUM(AM6:AP6)</f>
        <v>971838</v>
      </c>
      <c r="CD6" s="2">
        <f t="shared" ref="CD6:CD12" si="2">SUM(AQ6:AT6)</f>
        <v>1170849</v>
      </c>
      <c r="CE6" s="2">
        <f t="shared" ref="CE6:CE12" si="3">SUM(AU6:AX6)</f>
        <v>936712</v>
      </c>
      <c r="CF6" s="2">
        <f t="shared" ref="CF6:CF12" si="4">SUM(AY6:BB6)</f>
        <v>896394</v>
      </c>
      <c r="CG6" s="2">
        <f t="shared" ref="CG6:CG12" si="5">SUM(BC6:BF6)</f>
        <v>1810224</v>
      </c>
      <c r="CH6" s="2">
        <f>SUM(BG6:BJ6)</f>
        <v>1941253</v>
      </c>
      <c r="CI6" s="2">
        <f t="shared" ref="CI6:CI12" si="6">SUM(BK6:BN6)</f>
        <v>1576378</v>
      </c>
      <c r="CJ6" s="2">
        <f t="shared" ref="CJ6:CJ12" si="7">SUM(BO6:BR6)</f>
        <v>1413653</v>
      </c>
    </row>
    <row r="7" spans="2:89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>
        <f>533769-BO7</f>
        <v>265405</v>
      </c>
      <c r="BQ7" s="2">
        <f>798661-BP7-BO7</f>
        <v>264892</v>
      </c>
      <c r="BR7" s="2">
        <v>304410</v>
      </c>
      <c r="BS7" s="2"/>
      <c r="BT7" s="2">
        <f>SUM(C7:F7)</f>
        <v>208514</v>
      </c>
      <c r="BU7" s="2">
        <f>SUM(G7:J7)</f>
        <v>146918</v>
      </c>
      <c r="BV7" s="2">
        <f>SUM(K7:N7)</f>
        <v>166864</v>
      </c>
      <c r="BW7" s="2">
        <f>SUM(O7:R7)</f>
        <v>180705</v>
      </c>
      <c r="BX7" s="2">
        <f>SUM(S7:V7)</f>
        <v>203505</v>
      </c>
      <c r="BY7" s="2">
        <f>SUM(W7:Z7)</f>
        <v>205146</v>
      </c>
      <c r="BZ7" s="2">
        <f>SUM(AA7:AD7)</f>
        <v>163229</v>
      </c>
      <c r="CA7" s="2">
        <f>SUM(AE7:AH7)</f>
        <v>245145</v>
      </c>
      <c r="CB7" s="2">
        <f t="shared" si="0"/>
        <v>430476</v>
      </c>
      <c r="CC7" s="2">
        <f t="shared" si="1"/>
        <v>352128</v>
      </c>
      <c r="CD7" s="2">
        <f t="shared" si="2"/>
        <v>465653</v>
      </c>
      <c r="CE7" s="2">
        <f t="shared" si="3"/>
        <v>542202</v>
      </c>
      <c r="CF7" s="2">
        <f t="shared" si="4"/>
        <v>907264</v>
      </c>
      <c r="CG7" s="2">
        <f t="shared" si="5"/>
        <v>913886</v>
      </c>
      <c r="CH7" s="2">
        <f t="shared" ref="CH7:CH12" si="8">SUM(BG7:BJ7)</f>
        <v>1583128</v>
      </c>
      <c r="CI7" s="2">
        <f t="shared" si="6"/>
        <v>1166097</v>
      </c>
      <c r="CJ7" s="2">
        <f t="shared" si="7"/>
        <v>1103071</v>
      </c>
    </row>
    <row r="8" spans="2:89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:BP8" si="44">BO6+BO7</f>
        <v>570744</v>
      </c>
      <c r="BP8" s="12">
        <f t="shared" si="44"/>
        <v>585450</v>
      </c>
      <c r="BQ8" s="12">
        <f t="shared" ref="BQ8:BR8" si="45">BQ6+BQ7</f>
        <v>681925</v>
      </c>
      <c r="BR8" s="12">
        <f t="shared" si="45"/>
        <v>678605</v>
      </c>
      <c r="BS8" s="2"/>
      <c r="BT8" s="9">
        <f>BT6+BT7</f>
        <v>1056910</v>
      </c>
      <c r="BU8" s="9">
        <f t="shared" ref="BU8" si="46">BU6+BU7</f>
        <v>550976</v>
      </c>
      <c r="BV8" s="9">
        <f t="shared" ref="BV8" si="47">BV6+BV7</f>
        <v>822133</v>
      </c>
      <c r="BW8" s="9">
        <f t="shared" ref="BW8" si="48">BW6+BW7</f>
        <v>785082</v>
      </c>
      <c r="BX8" s="9">
        <f t="shared" ref="BX8" si="49">BX6+BX7</f>
        <v>855891</v>
      </c>
      <c r="BY8" s="9">
        <f t="shared" ref="BY8" si="50">BY6+BY7</f>
        <v>975953</v>
      </c>
      <c r="BZ8" s="9">
        <f t="shared" ref="BZ8:CA8" si="51">BZ6+BZ7</f>
        <v>1018874</v>
      </c>
      <c r="CA8" s="9">
        <f t="shared" si="51"/>
        <v>1145592</v>
      </c>
      <c r="CB8" s="9">
        <f t="shared" si="0"/>
        <v>1292626</v>
      </c>
      <c r="CC8" s="9">
        <f t="shared" si="1"/>
        <v>1323966</v>
      </c>
      <c r="CD8" s="9">
        <f t="shared" si="2"/>
        <v>1636502</v>
      </c>
      <c r="CE8" s="9">
        <f t="shared" si="3"/>
        <v>1478914</v>
      </c>
      <c r="CF8" s="9">
        <f t="shared" si="4"/>
        <v>1803658</v>
      </c>
      <c r="CG8" s="9">
        <f t="shared" si="5"/>
        <v>2724110</v>
      </c>
      <c r="CH8" s="9">
        <f t="shared" si="8"/>
        <v>3524381</v>
      </c>
      <c r="CI8" s="9">
        <f t="shared" si="6"/>
        <v>2742475</v>
      </c>
      <c r="CJ8" s="9">
        <f t="shared" si="7"/>
        <v>2516724</v>
      </c>
    </row>
    <row r="9" spans="2:89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>
        <f>-124678+61255</f>
        <v>-63423</v>
      </c>
      <c r="BQ9" s="2">
        <f>-208880-(BO9+BP9)</f>
        <v>-84202</v>
      </c>
      <c r="BR9" s="2">
        <v>-71140</v>
      </c>
      <c r="BS9" s="2"/>
      <c r="BT9" s="2">
        <f>SUM(C9:F9)</f>
        <v>-217176</v>
      </c>
      <c r="BU9" s="2">
        <f>SUM(G9:J9)</f>
        <v>-102138</v>
      </c>
      <c r="BV9" s="2">
        <f>SUM(K9:N9)</f>
        <v>-159626</v>
      </c>
      <c r="BW9" s="2">
        <f>SUM(O9:R9)</f>
        <v>-149120</v>
      </c>
      <c r="BX9" s="2">
        <f>SUM(S9:V9)</f>
        <v>-157499</v>
      </c>
      <c r="BY9" s="2">
        <f>SUM(W9:Z9)</f>
        <v>-192231</v>
      </c>
      <c r="BZ9" s="2">
        <f>SUM(AA9:AD9)</f>
        <v>-210413</v>
      </c>
      <c r="CA9" s="2">
        <f>SUM(AE9:AH9)</f>
        <v>-222588</v>
      </c>
      <c r="CB9" s="2">
        <f t="shared" si="0"/>
        <v>-209366</v>
      </c>
      <c r="CC9" s="2">
        <f t="shared" si="1"/>
        <v>-235532</v>
      </c>
      <c r="CD9" s="2">
        <f t="shared" si="2"/>
        <v>-255446</v>
      </c>
      <c r="CE9" s="2">
        <f t="shared" si="3"/>
        <v>-199364</v>
      </c>
      <c r="CF9" s="2">
        <f t="shared" si="4"/>
        <v>-181639</v>
      </c>
      <c r="CG9" s="2">
        <f t="shared" si="5"/>
        <v>-334633</v>
      </c>
      <c r="CH9" s="2">
        <f t="shared" si="8"/>
        <v>-385365</v>
      </c>
      <c r="CI9" s="2">
        <f t="shared" si="6"/>
        <v>-307340</v>
      </c>
      <c r="CJ9" s="2">
        <f t="shared" si="7"/>
        <v>-280020</v>
      </c>
      <c r="CK9" s="16"/>
    </row>
    <row r="10" spans="2:89" ht="15.75" thickBot="1">
      <c r="B10" s="9" t="s">
        <v>67</v>
      </c>
      <c r="C10" s="9">
        <f>C8+C9</f>
        <v>165325</v>
      </c>
      <c r="D10" s="9">
        <f t="shared" ref="D10" si="52">D8+D9</f>
        <v>258398</v>
      </c>
      <c r="E10" s="9">
        <f t="shared" ref="E10" si="53">E8+E9</f>
        <v>236757</v>
      </c>
      <c r="F10" s="9">
        <f t="shared" ref="F10" si="54">F8+F9</f>
        <v>179254</v>
      </c>
      <c r="G10" s="9">
        <f t="shared" ref="G10" si="55">G8+G9</f>
        <v>85616</v>
      </c>
      <c r="H10" s="9">
        <f t="shared" ref="H10" si="56">H8+H9</f>
        <v>100053</v>
      </c>
      <c r="I10" s="9">
        <f t="shared" ref="I10" si="57">I8+I9</f>
        <v>148288</v>
      </c>
      <c r="J10" s="9">
        <f t="shared" ref="J10" si="58">J8+J9</f>
        <v>114881</v>
      </c>
      <c r="K10" s="9">
        <f t="shared" ref="K10" si="59">K8+K9</f>
        <v>141128</v>
      </c>
      <c r="L10" s="9">
        <f t="shared" ref="L10" si="60">L8+L9</f>
        <v>183774</v>
      </c>
      <c r="M10" s="9">
        <f t="shared" ref="M10" si="61">M8+M9</f>
        <v>171203</v>
      </c>
      <c r="N10" s="9">
        <f t="shared" ref="N10" si="62">N8+N9</f>
        <v>166402</v>
      </c>
      <c r="O10" s="9">
        <f t="shared" ref="O10" si="63">O8+O9</f>
        <v>191877</v>
      </c>
      <c r="P10" s="9">
        <f t="shared" ref="P10" si="64">P8+P9</f>
        <v>172022</v>
      </c>
      <c r="Q10" s="9">
        <f t="shared" ref="Q10" si="65">Q8+Q9</f>
        <v>140425</v>
      </c>
      <c r="R10" s="9">
        <f t="shared" ref="R10" si="66">R8+R9</f>
        <v>131638</v>
      </c>
      <c r="S10" s="9">
        <f t="shared" ref="S10" si="67">S8+S9</f>
        <v>179702</v>
      </c>
      <c r="T10" s="9">
        <f t="shared" ref="T10" si="68">T8+T9</f>
        <v>187253</v>
      </c>
      <c r="U10" s="9">
        <f t="shared" ref="U10" si="69">U8+U9</f>
        <v>164564</v>
      </c>
      <c r="V10" s="9">
        <f t="shared" ref="V10" si="70">V8+V9</f>
        <v>166873</v>
      </c>
      <c r="W10" s="9">
        <f t="shared" ref="W10" si="71">W8+W9</f>
        <v>181718</v>
      </c>
      <c r="X10" s="9">
        <f t="shared" ref="X10" si="72">X8+X9</f>
        <v>179796</v>
      </c>
      <c r="Y10" s="9">
        <f t="shared" ref="Y10" si="73">Y8+Y9</f>
        <v>219620</v>
      </c>
      <c r="Z10" s="9">
        <f t="shared" ref="Z10" si="74">Z8+Z9</f>
        <v>202588</v>
      </c>
      <c r="AA10" s="9">
        <f t="shared" ref="AA10" si="75">AA8+AA9</f>
        <v>223655</v>
      </c>
      <c r="AB10" s="9">
        <f t="shared" ref="AB10:AC10" si="76">AB8+AB9</f>
        <v>214466</v>
      </c>
      <c r="AC10" s="9">
        <f t="shared" si="76"/>
        <v>195633</v>
      </c>
      <c r="AD10" s="9">
        <f t="shared" ref="AD10:AE10" si="77">AD8+AD9</f>
        <v>174707</v>
      </c>
      <c r="AE10" s="9">
        <f t="shared" si="77"/>
        <v>204814</v>
      </c>
      <c r="AF10" s="9">
        <f t="shared" ref="AF10:AI10" si="78">AF8+AF9</f>
        <v>245132</v>
      </c>
      <c r="AG10" s="9">
        <f t="shared" si="78"/>
        <v>224703</v>
      </c>
      <c r="AH10" s="9">
        <f t="shared" si="78"/>
        <v>248355</v>
      </c>
      <c r="AI10" s="12">
        <f t="shared" si="78"/>
        <v>302141</v>
      </c>
      <c r="AJ10" s="12">
        <f t="shared" ref="AJ10:AK10" si="79">AJ8+AJ9</f>
        <v>265590</v>
      </c>
      <c r="AK10" s="12">
        <f t="shared" si="79"/>
        <v>236785</v>
      </c>
      <c r="AL10" s="12">
        <f t="shared" ref="AL10:AP10" si="80">AL8+AL9</f>
        <v>278744</v>
      </c>
      <c r="AM10" s="12">
        <f t="shared" si="80"/>
        <v>295188</v>
      </c>
      <c r="AN10" s="12">
        <f t="shared" si="80"/>
        <v>266163</v>
      </c>
      <c r="AO10" s="12">
        <f t="shared" si="80"/>
        <v>271686</v>
      </c>
      <c r="AP10" s="12">
        <f t="shared" si="80"/>
        <v>255397</v>
      </c>
      <c r="AQ10" s="12">
        <f t="shared" ref="AQ10" si="81">AQ8+AQ9</f>
        <v>342161</v>
      </c>
      <c r="AR10" s="12">
        <f t="shared" ref="AR10:AW10" si="82">AR8+AR9</f>
        <v>337128</v>
      </c>
      <c r="AS10" s="12">
        <f t="shared" si="82"/>
        <v>391150</v>
      </c>
      <c r="AT10" s="12">
        <f t="shared" si="82"/>
        <v>310617</v>
      </c>
      <c r="AU10" s="12">
        <f t="shared" si="82"/>
        <v>348853</v>
      </c>
      <c r="AV10" s="12">
        <f t="shared" si="82"/>
        <v>323228</v>
      </c>
      <c r="AW10" s="12">
        <f t="shared" si="82"/>
        <v>320794</v>
      </c>
      <c r="AX10" s="12">
        <f t="shared" ref="AX10:AY10" si="83">AX8+AX9</f>
        <v>286675</v>
      </c>
      <c r="AY10" s="12">
        <f t="shared" si="83"/>
        <v>346182</v>
      </c>
      <c r="AZ10" s="12">
        <f t="shared" ref="AZ10:BA10" si="84">AZ8+AZ9</f>
        <v>426667</v>
      </c>
      <c r="BA10" s="12">
        <f t="shared" si="84"/>
        <v>385293</v>
      </c>
      <c r="BB10" s="12">
        <f t="shared" ref="BB10:BC10" si="85">BB8+BB9</f>
        <v>463877</v>
      </c>
      <c r="BC10" s="12">
        <f t="shared" si="85"/>
        <v>517324</v>
      </c>
      <c r="BD10" s="12">
        <f t="shared" ref="BD10:BE10" si="86">BD8+BD9</f>
        <v>510854</v>
      </c>
      <c r="BE10" s="12">
        <f t="shared" si="86"/>
        <v>679158</v>
      </c>
      <c r="BF10" s="12">
        <f t="shared" ref="BF10" si="87">BF8+BF9</f>
        <v>682141</v>
      </c>
      <c r="BG10" s="12">
        <f t="shared" ref="BG10:BN10" si="88">BG8+BG9</f>
        <v>737738</v>
      </c>
      <c r="BH10" s="12">
        <f t="shared" si="88"/>
        <v>917618</v>
      </c>
      <c r="BI10" s="12">
        <f t="shared" si="88"/>
        <v>769499</v>
      </c>
      <c r="BJ10" s="12">
        <f t="shared" si="88"/>
        <v>714161</v>
      </c>
      <c r="BK10" s="12">
        <f t="shared" si="88"/>
        <v>716374</v>
      </c>
      <c r="BL10" s="12">
        <f t="shared" si="88"/>
        <v>626128</v>
      </c>
      <c r="BM10" s="12">
        <f t="shared" si="88"/>
        <v>550921</v>
      </c>
      <c r="BN10" s="12">
        <f t="shared" si="88"/>
        <v>541712</v>
      </c>
      <c r="BO10" s="12">
        <f t="shared" ref="BO10:BP10" si="89">BO8+BO9</f>
        <v>509489</v>
      </c>
      <c r="BP10" s="12">
        <f t="shared" si="89"/>
        <v>522027</v>
      </c>
      <c r="BQ10" s="12">
        <f t="shared" ref="BQ10:BR10" si="90">BQ8+BQ9</f>
        <v>597723</v>
      </c>
      <c r="BR10" s="12">
        <f t="shared" si="90"/>
        <v>607465</v>
      </c>
      <c r="BS10" s="2"/>
      <c r="BT10" s="9">
        <f>BT8+BT9</f>
        <v>839734</v>
      </c>
      <c r="BU10" s="9">
        <f t="shared" ref="BU10" si="91">BU8+BU9</f>
        <v>448838</v>
      </c>
      <c r="BV10" s="9">
        <f t="shared" ref="BV10" si="92">BV8+BV9</f>
        <v>662507</v>
      </c>
      <c r="BW10" s="9">
        <f t="shared" ref="BW10" si="93">BW8+BW9</f>
        <v>635962</v>
      </c>
      <c r="BX10" s="9">
        <f t="shared" ref="BX10" si="94">BX8+BX9</f>
        <v>698392</v>
      </c>
      <c r="BY10" s="9">
        <f t="shared" ref="BY10:BZ10" si="95">BY8+BY9</f>
        <v>783722</v>
      </c>
      <c r="BZ10" s="9">
        <f t="shared" si="95"/>
        <v>808461</v>
      </c>
      <c r="CA10" s="9">
        <f t="shared" ref="CA10" si="96">CA8+CA9</f>
        <v>923004</v>
      </c>
      <c r="CB10" s="9">
        <f t="shared" si="0"/>
        <v>1083260</v>
      </c>
      <c r="CC10" s="9">
        <f t="shared" si="1"/>
        <v>1088434</v>
      </c>
      <c r="CD10" s="9">
        <f t="shared" si="2"/>
        <v>1381056</v>
      </c>
      <c r="CE10" s="9">
        <f t="shared" si="3"/>
        <v>1279550</v>
      </c>
      <c r="CF10" s="9">
        <f t="shared" si="4"/>
        <v>1622019</v>
      </c>
      <c r="CG10" s="9">
        <f t="shared" si="5"/>
        <v>2389477</v>
      </c>
      <c r="CH10" s="9">
        <f t="shared" si="8"/>
        <v>3139016</v>
      </c>
      <c r="CI10" s="9">
        <f t="shared" si="6"/>
        <v>2435135</v>
      </c>
      <c r="CJ10" s="9">
        <f t="shared" si="7"/>
        <v>2236704</v>
      </c>
      <c r="CK10" s="16"/>
    </row>
    <row r="11" spans="2:89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>
        <v>0</v>
      </c>
      <c r="BN11" s="104">
        <v>0</v>
      </c>
      <c r="BO11" s="104">
        <v>0</v>
      </c>
      <c r="BP11" s="104">
        <v>0</v>
      </c>
      <c r="BQ11" s="104">
        <v>0</v>
      </c>
      <c r="BR11" s="104">
        <v>0</v>
      </c>
      <c r="BS11" s="55"/>
      <c r="BT11" s="2">
        <f>SUM(C11:F11)</f>
        <v>39180</v>
      </c>
      <c r="BU11" s="2">
        <f>SUM(G11:J11)</f>
        <v>1915</v>
      </c>
      <c r="BV11" s="2">
        <f>SUM(K11:N11)</f>
        <v>10551</v>
      </c>
      <c r="BW11" s="2">
        <f>SUM(O11:R11)</f>
        <v>6372</v>
      </c>
      <c r="BX11" s="2">
        <f>SUM(S11:V11)</f>
        <v>9010</v>
      </c>
      <c r="BY11" s="2">
        <f>SUM(W11:Z11)</f>
        <v>16050</v>
      </c>
      <c r="BZ11" s="2">
        <f>SUM(AA11:AD11)</f>
        <v>19786</v>
      </c>
      <c r="CA11" s="2">
        <f>SUM(AE11:AH11)</f>
        <v>13226</v>
      </c>
      <c r="CB11" s="2">
        <f t="shared" si="0"/>
        <v>12894</v>
      </c>
      <c r="CC11" s="2">
        <f t="shared" si="1"/>
        <v>20288</v>
      </c>
      <c r="CD11" s="2">
        <f t="shared" si="2"/>
        <v>19017</v>
      </c>
      <c r="CE11" s="2">
        <f t="shared" si="3"/>
        <v>1701</v>
      </c>
      <c r="CF11" s="2">
        <f t="shared" si="4"/>
        <v>0</v>
      </c>
      <c r="CG11" s="2">
        <f t="shared" si="5"/>
        <v>32485</v>
      </c>
      <c r="CH11" s="2">
        <f t="shared" si="8"/>
        <v>15811</v>
      </c>
      <c r="CI11" s="2">
        <f t="shared" si="6"/>
        <v>2793</v>
      </c>
      <c r="CJ11" s="2">
        <f t="shared" si="7"/>
        <v>0</v>
      </c>
    </row>
    <row r="12" spans="2:89" ht="15.75" thickBot="1">
      <c r="B12" s="9" t="s">
        <v>54</v>
      </c>
      <c r="C12" s="9">
        <f>C10+C11</f>
        <v>170257</v>
      </c>
      <c r="D12" s="9">
        <f t="shared" ref="D12" si="97">D10+D11</f>
        <v>271621</v>
      </c>
      <c r="E12" s="9">
        <f t="shared" ref="E12" si="98">E10+E11</f>
        <v>250353</v>
      </c>
      <c r="F12" s="9">
        <f t="shared" ref="F12" si="99">F10+F11</f>
        <v>186683</v>
      </c>
      <c r="G12" s="9">
        <f t="shared" ref="G12" si="100">G10+G11</f>
        <v>85616</v>
      </c>
      <c r="H12" s="9">
        <f t="shared" ref="H12" si="101">H10+H11</f>
        <v>100614</v>
      </c>
      <c r="I12" s="9">
        <f t="shared" ref="I12" si="102">I10+I11</f>
        <v>149608</v>
      </c>
      <c r="J12" s="9">
        <f t="shared" ref="J12" si="103">J10+J11</f>
        <v>114915</v>
      </c>
      <c r="K12" s="9">
        <f t="shared" ref="K12" si="104">K10+K11</f>
        <v>142631</v>
      </c>
      <c r="L12" s="9">
        <f t="shared" ref="L12" si="105">L10+L11</f>
        <v>188510</v>
      </c>
      <c r="M12" s="9">
        <f t="shared" ref="M12" si="106">M10+M11</f>
        <v>174747</v>
      </c>
      <c r="N12" s="9">
        <f t="shared" ref="N12" si="107">N10+N11</f>
        <v>167170</v>
      </c>
      <c r="O12" s="9">
        <f t="shared" ref="O12" si="108">O10+O11</f>
        <v>195695</v>
      </c>
      <c r="P12" s="9">
        <f t="shared" ref="P12" si="109">P10+P11</f>
        <v>174060</v>
      </c>
      <c r="Q12" s="9">
        <f t="shared" ref="Q12" si="110">Q10+Q11</f>
        <v>140871</v>
      </c>
      <c r="R12" s="9">
        <f t="shared" ref="R12" si="111">R10+R11</f>
        <v>131708</v>
      </c>
      <c r="S12" s="9">
        <f t="shared" ref="S12" si="112">S10+S11</f>
        <v>182440</v>
      </c>
      <c r="T12" s="9">
        <f t="shared" ref="T12" si="113">T10+T11</f>
        <v>190297</v>
      </c>
      <c r="U12" s="9">
        <f t="shared" ref="U12" si="114">U10+U11</f>
        <v>166644</v>
      </c>
      <c r="V12" s="9">
        <f t="shared" ref="V12" si="115">V10+V11</f>
        <v>168021</v>
      </c>
      <c r="W12" s="9">
        <f t="shared" ref="W12" si="116">W10+W11</f>
        <v>185693</v>
      </c>
      <c r="X12" s="9">
        <f t="shared" ref="X12" si="117">X10+X11</f>
        <v>182139</v>
      </c>
      <c r="Y12" s="9">
        <f t="shared" ref="Y12" si="118">Y10+Y11</f>
        <v>224436</v>
      </c>
      <c r="Z12" s="9">
        <f t="shared" ref="Z12" si="119">Z10+Z11</f>
        <v>207504</v>
      </c>
      <c r="AA12" s="9">
        <f t="shared" ref="AA12" si="120">AA10+AA11</f>
        <v>230169</v>
      </c>
      <c r="AB12" s="9">
        <f t="shared" ref="AB12:AC12" si="121">AB10+AB11</f>
        <v>220635</v>
      </c>
      <c r="AC12" s="9">
        <f t="shared" si="121"/>
        <v>200624</v>
      </c>
      <c r="AD12" s="9">
        <f t="shared" ref="AD12:AE12" si="122">AD10+AD11</f>
        <v>176819</v>
      </c>
      <c r="AE12" s="9">
        <f t="shared" si="122"/>
        <v>210227</v>
      </c>
      <c r="AF12" s="9">
        <f t="shared" ref="AF12:AI12" si="123">AF10+AF11</f>
        <v>250753</v>
      </c>
      <c r="AG12" s="9">
        <f t="shared" si="123"/>
        <v>224885</v>
      </c>
      <c r="AH12" s="9">
        <f t="shared" si="123"/>
        <v>250365</v>
      </c>
      <c r="AI12" s="12">
        <f t="shared" si="123"/>
        <v>305167</v>
      </c>
      <c r="AJ12" s="12">
        <f t="shared" ref="AJ12:AK12" si="124">AJ10+AJ11</f>
        <v>266856</v>
      </c>
      <c r="AK12" s="12">
        <f t="shared" si="124"/>
        <v>241252</v>
      </c>
      <c r="AL12" s="12">
        <f t="shared" ref="AL12:AP12" si="125">AL10+AL11</f>
        <v>282879</v>
      </c>
      <c r="AM12" s="12">
        <f t="shared" si="125"/>
        <v>302895</v>
      </c>
      <c r="AN12" s="12">
        <f t="shared" si="125"/>
        <v>270652</v>
      </c>
      <c r="AO12" s="12">
        <f t="shared" si="125"/>
        <v>276419</v>
      </c>
      <c r="AP12" s="12">
        <f t="shared" si="125"/>
        <v>258756</v>
      </c>
      <c r="AQ12" s="12">
        <f t="shared" ref="AQ12:AR12" si="126">AQ10+AQ11</f>
        <v>348587</v>
      </c>
      <c r="AR12" s="12">
        <f t="shared" si="126"/>
        <v>341695</v>
      </c>
      <c r="AS12" s="12">
        <f t="shared" ref="AS12:AT12" si="127">AS10+AS11</f>
        <v>395812</v>
      </c>
      <c r="AT12" s="12">
        <f t="shared" si="127"/>
        <v>313979</v>
      </c>
      <c r="AU12" s="12">
        <f t="shared" ref="AU12:AW12" si="128">AU10+AU11</f>
        <v>350554</v>
      </c>
      <c r="AV12" s="12">
        <f t="shared" si="128"/>
        <v>323228</v>
      </c>
      <c r="AW12" s="12">
        <f t="shared" si="128"/>
        <v>320794</v>
      </c>
      <c r="AX12" s="12">
        <f t="shared" ref="AX12:AY12" si="129">AX10+AX11</f>
        <v>286675</v>
      </c>
      <c r="AY12" s="12">
        <f t="shared" si="129"/>
        <v>346182</v>
      </c>
      <c r="AZ12" s="12">
        <f t="shared" ref="AZ12:BA12" si="130">AZ10+AZ11</f>
        <v>426667</v>
      </c>
      <c r="BA12" s="12">
        <f t="shared" si="130"/>
        <v>385293</v>
      </c>
      <c r="BB12" s="12">
        <f t="shared" ref="BB12:BC12" si="131">BB10+BB11</f>
        <v>463877</v>
      </c>
      <c r="BC12" s="12">
        <f t="shared" si="131"/>
        <v>523106</v>
      </c>
      <c r="BD12" s="12">
        <f t="shared" ref="BD12:BE12" si="132">BD10+BD11</f>
        <v>516408</v>
      </c>
      <c r="BE12" s="12">
        <f t="shared" si="132"/>
        <v>686625</v>
      </c>
      <c r="BF12" s="12">
        <f t="shared" ref="BF12:BG12" si="133">BF10+BF11</f>
        <v>695823</v>
      </c>
      <c r="BG12" s="12">
        <f t="shared" si="133"/>
        <v>742932</v>
      </c>
      <c r="BH12" s="12">
        <f t="shared" ref="BH12:BK12" si="134">BH10+BH11</f>
        <v>923893</v>
      </c>
      <c r="BI12" s="12">
        <f t="shared" ref="BI12" si="135">BI10+BI11</f>
        <v>773230</v>
      </c>
      <c r="BJ12" s="12">
        <f t="shared" si="134"/>
        <v>714772</v>
      </c>
      <c r="BK12" s="12">
        <f t="shared" si="134"/>
        <v>719167</v>
      </c>
      <c r="BL12" s="12">
        <f t="shared" ref="BL12:BN12" si="136">BL10+BL11</f>
        <v>626128</v>
      </c>
      <c r="BM12" s="12">
        <f t="shared" si="136"/>
        <v>550921</v>
      </c>
      <c r="BN12" s="12">
        <f t="shared" si="136"/>
        <v>541712</v>
      </c>
      <c r="BO12" s="12">
        <f t="shared" ref="BO12:BP12" si="137">BO10+BO11</f>
        <v>509489</v>
      </c>
      <c r="BP12" s="12">
        <f t="shared" si="137"/>
        <v>522027</v>
      </c>
      <c r="BQ12" s="12">
        <f t="shared" ref="BQ12:BR12" si="138">BQ10+BQ11</f>
        <v>597723</v>
      </c>
      <c r="BR12" s="12">
        <f t="shared" si="138"/>
        <v>607465</v>
      </c>
      <c r="BS12" s="2"/>
      <c r="BT12" s="9">
        <f>BT10+BT11</f>
        <v>878914</v>
      </c>
      <c r="BU12" s="9">
        <f t="shared" ref="BU12" si="139">BU10+BU11</f>
        <v>450753</v>
      </c>
      <c r="BV12" s="9">
        <f t="shared" ref="BV12" si="140">BV10+BV11</f>
        <v>673058</v>
      </c>
      <c r="BW12" s="9">
        <f t="shared" ref="BW12" si="141">BW10+BW11</f>
        <v>642334</v>
      </c>
      <c r="BX12" s="9">
        <f t="shared" ref="BX12" si="142">BX10+BX11</f>
        <v>707402</v>
      </c>
      <c r="BY12" s="9">
        <f t="shared" ref="BY12" si="143">BY10+BY11</f>
        <v>799772</v>
      </c>
      <c r="BZ12" s="9">
        <f t="shared" ref="BZ12:CA12" si="144">BZ10+BZ11</f>
        <v>828247</v>
      </c>
      <c r="CA12" s="9">
        <f t="shared" si="144"/>
        <v>936230</v>
      </c>
      <c r="CB12" s="9">
        <f t="shared" si="0"/>
        <v>1096154</v>
      </c>
      <c r="CC12" s="9">
        <f t="shared" si="1"/>
        <v>1108722</v>
      </c>
      <c r="CD12" s="9">
        <f t="shared" si="2"/>
        <v>1400073</v>
      </c>
      <c r="CE12" s="9">
        <f t="shared" si="3"/>
        <v>1281251</v>
      </c>
      <c r="CF12" s="9">
        <f t="shared" si="4"/>
        <v>1622019</v>
      </c>
      <c r="CG12" s="9">
        <f t="shared" si="5"/>
        <v>2421962</v>
      </c>
      <c r="CH12" s="9">
        <f t="shared" si="8"/>
        <v>3154827</v>
      </c>
      <c r="CI12" s="9">
        <f t="shared" si="6"/>
        <v>2437928</v>
      </c>
      <c r="CJ12" s="9">
        <f t="shared" si="7"/>
        <v>2236704</v>
      </c>
    </row>
    <row r="13" spans="2:89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18"/>
    </row>
    <row r="14" spans="2:89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18"/>
      <c r="BT14" s="18"/>
      <c r="BU14" s="18"/>
    </row>
    <row r="15" spans="2:89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Q15" s="16"/>
      <c r="BR15" s="16"/>
      <c r="BS15" s="18"/>
    </row>
    <row r="16" spans="2:89">
      <c r="C16" s="22"/>
      <c r="AF16" s="72"/>
      <c r="BG16" s="16"/>
      <c r="BQ16" s="16"/>
      <c r="BR16" s="16"/>
      <c r="BS16" s="18"/>
      <c r="BV16" s="18"/>
    </row>
    <row r="17" spans="3:93">
      <c r="C17" s="22"/>
      <c r="BL17" s="16"/>
      <c r="BS17" s="18"/>
    </row>
    <row r="18" spans="3:93">
      <c r="AF18" s="72"/>
      <c r="BS18" s="18"/>
      <c r="CO18" s="1"/>
    </row>
    <row r="19" spans="3:93">
      <c r="BS19" s="18"/>
      <c r="CO19" s="1"/>
    </row>
    <row r="20" spans="3:93">
      <c r="BS20" s="18"/>
      <c r="CO20" s="1"/>
    </row>
    <row r="21" spans="3:93">
      <c r="BS21" s="18"/>
      <c r="BW21" s="15"/>
      <c r="CO21" s="108"/>
    </row>
    <row r="22" spans="3:93">
      <c r="BS22" s="18"/>
    </row>
    <row r="23" spans="3:93">
      <c r="BL23" s="91"/>
      <c r="BS23" s="18"/>
      <c r="CO23" s="108"/>
    </row>
    <row r="24" spans="3:93">
      <c r="BL24" s="91"/>
      <c r="BS24" s="18"/>
      <c r="CO24" s="108"/>
    </row>
    <row r="25" spans="3:93">
      <c r="BL25" s="18"/>
      <c r="BS25" s="18"/>
      <c r="CO25" s="108"/>
    </row>
    <row r="26" spans="3:93">
      <c r="BS26" s="18"/>
    </row>
    <row r="27" spans="3:93">
      <c r="BS27" s="18"/>
    </row>
    <row r="28" spans="3:93">
      <c r="BS28" s="18"/>
    </row>
    <row r="29" spans="3:93">
      <c r="BS29" s="18"/>
    </row>
    <row r="30" spans="3:93">
      <c r="BS30" s="18"/>
    </row>
    <row r="31" spans="3:93">
      <c r="BS31" s="18"/>
    </row>
    <row r="35" spans="72:72">
      <c r="BT35" s="16"/>
    </row>
    <row r="36" spans="72:72">
      <c r="BT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0" max="1048575" man="1"/>
  </colBreaks>
  <ignoredErrors>
    <ignoredError sqref="BT6:CA7 CB6:CC10 CB12:CC12 CB11:CC11 CD11:CE11 CD9:CE9 CI11:CJ12" formulaRange="1"/>
    <ignoredError sqref="BT8:CA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L25"/>
  <sheetViews>
    <sheetView showGridLines="0" showRowColHeaders="0" zoomScale="80" zoomScaleNormal="80" zoomScaleSheetLayoutView="100" workbookViewId="0">
      <pane xSplit="2" ySplit="5" topLeftCell="BD6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70" width="13.28515625" customWidth="1"/>
    <col min="71" max="71" width="11.5703125" bestFit="1" customWidth="1"/>
    <col min="72" max="76" width="11.5703125" hidden="1" customWidth="1"/>
    <col min="77" max="79" width="11.28515625" hidden="1" customWidth="1"/>
    <col min="80" max="86" width="10.5703125" hidden="1" customWidth="1"/>
    <col min="87" max="88" width="11.28515625" bestFit="1" customWidth="1"/>
    <col min="89" max="89" width="13.28515625" bestFit="1" customWidth="1"/>
    <col min="90" max="90" width="14" bestFit="1" customWidth="1"/>
  </cols>
  <sheetData>
    <row r="2" spans="2:90" ht="21">
      <c r="B2" s="31" t="s">
        <v>134</v>
      </c>
    </row>
    <row r="3" spans="2:90" ht="15.75">
      <c r="B3" s="63" t="s">
        <v>169</v>
      </c>
      <c r="BS3" s="63" t="s">
        <v>167</v>
      </c>
    </row>
    <row r="4" spans="2:90" ht="7.5" customHeight="1" thickBot="1"/>
    <row r="5" spans="2:90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234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90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:BP6" si="7">SUM(BO7:BO9)</f>
        <v>509489</v>
      </c>
      <c r="BP6" s="9">
        <f t="shared" si="7"/>
        <v>522027</v>
      </c>
      <c r="BQ6" s="9">
        <f t="shared" ref="BQ6:BR6" si="8">SUM(BQ7:BQ9)</f>
        <v>597723</v>
      </c>
      <c r="BR6" s="9">
        <f t="shared" si="8"/>
        <v>607465</v>
      </c>
      <c r="BT6" s="9">
        <f t="shared" ref="BT6:CA6" si="9">SUM(BT8:BT9)</f>
        <v>41966</v>
      </c>
      <c r="BU6" s="9">
        <f t="shared" si="9"/>
        <v>27142</v>
      </c>
      <c r="BV6" s="9">
        <f t="shared" si="9"/>
        <v>44714</v>
      </c>
      <c r="BW6" s="9">
        <f t="shared" si="9"/>
        <v>36836</v>
      </c>
      <c r="BX6" s="9">
        <f t="shared" si="9"/>
        <v>27174</v>
      </c>
      <c r="BY6" s="9">
        <f t="shared" si="9"/>
        <v>19186</v>
      </c>
      <c r="BZ6" s="9">
        <f t="shared" si="9"/>
        <v>28542</v>
      </c>
      <c r="CA6" s="9">
        <f t="shared" si="9"/>
        <v>37816</v>
      </c>
      <c r="CB6" s="9">
        <f>SUM(AI6:AL6)</f>
        <v>1096154</v>
      </c>
      <c r="CC6" s="9">
        <f>SUM(AM6:AP6)</f>
        <v>1108722</v>
      </c>
      <c r="CD6" s="9">
        <f>SUM(AQ6:AT6)</f>
        <v>1381056</v>
      </c>
      <c r="CE6" s="9">
        <f>SUM(AU6:AX6)</f>
        <v>1279550</v>
      </c>
      <c r="CF6" s="9">
        <f>SUM(AY6:BB6)</f>
        <v>1622019</v>
      </c>
      <c r="CG6" s="9">
        <f>SUM(BC6:BF6)</f>
        <v>2389477</v>
      </c>
      <c r="CH6" s="9">
        <f>SUM(BG6:BJ6)</f>
        <v>3139016</v>
      </c>
      <c r="CI6" s="9">
        <f>SUM(BK6:BN6)</f>
        <v>2435135</v>
      </c>
      <c r="CJ6" s="9">
        <f>SUM(BO6:BR6)</f>
        <v>2236704</v>
      </c>
      <c r="CK6" s="1"/>
      <c r="CL6" s="1"/>
    </row>
    <row r="7" spans="2:90" ht="15.75" thickBot="1">
      <c r="B7" s="3" t="s">
        <v>202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62">
        <f>964236-BO7</f>
        <v>482830</v>
      </c>
      <c r="BQ7" s="62">
        <f>1516437-BP7-BO7</f>
        <v>552201</v>
      </c>
      <c r="BR7" s="62">
        <v>568444</v>
      </c>
      <c r="BS7" s="15"/>
      <c r="BT7" s="2">
        <f t="shared" ref="BT7" si="10">SUM(C7:F7)</f>
        <v>836948</v>
      </c>
      <c r="BU7" s="2">
        <f>SUM(G7:J7)</f>
        <v>423611</v>
      </c>
      <c r="BV7" s="2">
        <f>SUM(K7:N7)</f>
        <v>628344</v>
      </c>
      <c r="BW7" s="2">
        <f>SUM(O7:R7)</f>
        <v>605498</v>
      </c>
      <c r="BX7" s="2">
        <f>SUM(S7:V7)</f>
        <v>680228</v>
      </c>
      <c r="BY7" s="2">
        <f>SUM(W7:Z7)</f>
        <v>780586</v>
      </c>
      <c r="BZ7" s="2">
        <f t="shared" ref="BZ7" si="11">SUM(AA7:AD7)</f>
        <v>799705</v>
      </c>
      <c r="CA7" s="2">
        <f>SUM(AE7:AH7)</f>
        <v>898414</v>
      </c>
      <c r="CB7" s="2">
        <f>SUM(AI7:AL7)</f>
        <v>1020592</v>
      </c>
      <c r="CC7" s="2">
        <f>SUM(AM7:AP7)</f>
        <v>1030564</v>
      </c>
      <c r="CD7" s="2">
        <f>SUM(AQ7:AT7)</f>
        <v>1242832</v>
      </c>
      <c r="CE7" s="2">
        <f>SUM(AU7:AX7)</f>
        <v>1109027</v>
      </c>
      <c r="CF7" s="2">
        <f>SUM(AY7:BB7)</f>
        <v>1436228</v>
      </c>
      <c r="CG7" s="2">
        <f>SUM(BC7:BF7)</f>
        <v>2222971</v>
      </c>
      <c r="CH7" s="2">
        <f t="shared" ref="CH7:CH9" si="12">SUM(BG7:BJ7)</f>
        <v>2995007</v>
      </c>
      <c r="CI7" s="2">
        <f>SUM(BK7:BN7)</f>
        <v>2257325</v>
      </c>
      <c r="CJ7" s="2">
        <f>SUM(BO7:BR7)</f>
        <v>2084881</v>
      </c>
      <c r="CK7" s="1"/>
      <c r="CL7" s="1"/>
    </row>
    <row r="8" spans="2:90">
      <c r="B8" s="3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62">
        <f>41373-BO8</f>
        <v>25715</v>
      </c>
      <c r="BQ8" s="62">
        <f>70066-BP8-BO8</f>
        <v>28693</v>
      </c>
      <c r="BR8" s="62">
        <v>24039</v>
      </c>
      <c r="BS8" s="2"/>
      <c r="BT8" s="2">
        <f t="shared" ref="BT8" si="13">SUM(C8:F8)</f>
        <v>0</v>
      </c>
      <c r="BU8" s="2">
        <f>SUM(G8:J8)</f>
        <v>0</v>
      </c>
      <c r="BV8" s="2">
        <f>SUM(K8:N8)</f>
        <v>0</v>
      </c>
      <c r="BW8" s="2">
        <f>SUM(O8:R8)</f>
        <v>0</v>
      </c>
      <c r="BX8" s="2">
        <f>SUM(S8:V8)</f>
        <v>0</v>
      </c>
      <c r="BY8" s="2">
        <f>SUM(W8:Z8)</f>
        <v>0</v>
      </c>
      <c r="BZ8" s="2">
        <f t="shared" ref="BZ8" si="14">SUM(AA8:AD8)</f>
        <v>0</v>
      </c>
      <c r="CA8" s="2">
        <f>SUM(AE8:AH8)</f>
        <v>0</v>
      </c>
      <c r="CB8" s="2">
        <f>SUM(AI8:AL8)</f>
        <v>0</v>
      </c>
      <c r="CC8" s="2">
        <f>SUM(AM8:AP8)</f>
        <v>0</v>
      </c>
      <c r="CD8" s="2">
        <f>SUM(AQ8:AT8)</f>
        <v>71105</v>
      </c>
      <c r="CE8" s="2">
        <f>SUM(AU8:AX8)</f>
        <v>93937</v>
      </c>
      <c r="CF8" s="2">
        <f t="shared" ref="CF8:CF9" si="15">SUM(AY8:BB8)</f>
        <v>82698</v>
      </c>
      <c r="CG8" s="2">
        <f>SUM(BC8:BF8)</f>
        <v>93184</v>
      </c>
      <c r="CH8" s="2">
        <f t="shared" si="12"/>
        <v>96759</v>
      </c>
      <c r="CI8" s="2">
        <f>SUM(BK8:BN8)</f>
        <v>117807</v>
      </c>
      <c r="CJ8" s="2">
        <f>SUM(BO8:BR8)</f>
        <v>94105</v>
      </c>
      <c r="CK8" s="1"/>
      <c r="CL8" s="1"/>
    </row>
    <row r="9" spans="2:90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>
        <f>46450-BK9-BL9</f>
        <v>15815</v>
      </c>
      <c r="BN9" s="94">
        <f>60003-BL9-BM9-BK9</f>
        <v>13553</v>
      </c>
      <c r="BO9" s="94">
        <v>12425</v>
      </c>
      <c r="BP9" s="94">
        <f>25907-BO9</f>
        <v>13482</v>
      </c>
      <c r="BQ9" s="94">
        <f>42736-BP9-BO9</f>
        <v>16829</v>
      </c>
      <c r="BR9" s="94">
        <v>14982</v>
      </c>
      <c r="BS9" s="2"/>
      <c r="BT9" s="2">
        <f t="shared" ref="BT9" si="16">SUM(C9:F9)</f>
        <v>41966</v>
      </c>
      <c r="BU9" s="2">
        <f>SUM(G9:J9)</f>
        <v>27142</v>
      </c>
      <c r="BV9" s="2">
        <f>SUM(K9:N9)</f>
        <v>44714</v>
      </c>
      <c r="BW9" s="2">
        <f>SUM(O9:R9)</f>
        <v>36836</v>
      </c>
      <c r="BX9" s="2">
        <f>SUM(S9:V9)</f>
        <v>27174</v>
      </c>
      <c r="BY9" s="2">
        <f>SUM(W9:Z9)</f>
        <v>19186</v>
      </c>
      <c r="BZ9" s="2">
        <f t="shared" ref="BZ9" si="17">SUM(AA9:AD9)</f>
        <v>28542</v>
      </c>
      <c r="CA9" s="2">
        <f>SUM(AE9:AH9)</f>
        <v>37816</v>
      </c>
      <c r="CB9" s="2">
        <f>SUM(AI9:AL9)</f>
        <v>75562</v>
      </c>
      <c r="CC9" s="2">
        <f>SUM(AM9:AP9)</f>
        <v>78158</v>
      </c>
      <c r="CD9" s="2">
        <f>SUM(AQ9:AT9)</f>
        <v>67119</v>
      </c>
      <c r="CE9" s="2">
        <f>SUM(AU9:AX9)</f>
        <v>76586</v>
      </c>
      <c r="CF9" s="2">
        <f t="shared" si="15"/>
        <v>103093</v>
      </c>
      <c r="CG9" s="2">
        <f>SUM(BC9:BF9)</f>
        <v>73322</v>
      </c>
      <c r="CH9" s="2">
        <f t="shared" si="12"/>
        <v>47250</v>
      </c>
      <c r="CI9" s="2">
        <f>SUM(BK9:BN9)</f>
        <v>60003</v>
      </c>
      <c r="CJ9" s="2">
        <f>SUM(BO9:BR9)</f>
        <v>57718</v>
      </c>
      <c r="CK9" s="1"/>
      <c r="CL9" s="1"/>
    </row>
    <row r="10" spans="2:90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1"/>
    </row>
    <row r="11" spans="2:90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2"/>
      <c r="BT11" s="16"/>
    </row>
    <row r="12" spans="2:90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2"/>
    </row>
    <row r="13" spans="2:90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2"/>
    </row>
    <row r="14" spans="2:90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2"/>
      <c r="CA14" s="16"/>
      <c r="CB14" s="16"/>
    </row>
    <row r="15" spans="2:90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2"/>
    </row>
    <row r="16" spans="2:90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</row>
    <row r="17" spans="39:72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</row>
    <row r="18" spans="39:72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</row>
    <row r="19" spans="39:72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</row>
    <row r="20" spans="39:72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</row>
    <row r="21" spans="39:72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</row>
    <row r="22" spans="39:72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6"/>
      <c r="BT22" s="89"/>
    </row>
    <row r="23" spans="39:72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6"/>
      <c r="BT23" s="89"/>
    </row>
    <row r="24" spans="39:72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16"/>
      <c r="BT24" s="89"/>
    </row>
    <row r="25" spans="39:72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0" max="1048575" man="1"/>
  </colBreaks>
  <ignoredErrors>
    <ignoredError sqref="BT8:CE9 BT7:CE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M20"/>
  <sheetViews>
    <sheetView showGridLines="0" showRowColHeaders="0" zoomScale="80" zoomScaleNormal="80" zoomScaleSheetLayoutView="100" workbookViewId="0">
      <pane xSplit="2" ySplit="5" topLeftCell="BG6" activePane="bottomRight" state="frozen"/>
      <selection activeCell="CJ13" sqref="CJ13"/>
      <selection pane="topRight" activeCell="CJ13" sqref="CJ13"/>
      <selection pane="bottomLeft" activeCell="CJ13" sqref="CJ13"/>
      <selection pane="bottomRight" activeCell="CJ13" sqref="CJ13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70" width="11.5703125" customWidth="1"/>
    <col min="71" max="71" width="11.5703125" bestFit="1" customWidth="1"/>
    <col min="72" max="76" width="11.7109375" hidden="1" customWidth="1"/>
    <col min="77" max="78" width="11.28515625" hidden="1" customWidth="1"/>
    <col min="79" max="79" width="10.42578125" hidden="1" customWidth="1"/>
    <col min="80" max="80" width="10.5703125" hidden="1" customWidth="1"/>
    <col min="81" max="86" width="11.28515625" hidden="1" customWidth="1"/>
    <col min="87" max="88" width="11.28515625" bestFit="1" customWidth="1"/>
  </cols>
  <sheetData>
    <row r="2" spans="2:91" ht="21">
      <c r="B2" s="31" t="s">
        <v>135</v>
      </c>
    </row>
    <row r="3" spans="2:91" ht="15.75">
      <c r="B3" s="63" t="s">
        <v>169</v>
      </c>
      <c r="BS3" s="63" t="s">
        <v>167</v>
      </c>
    </row>
    <row r="4" spans="2:91" s="19" customFormat="1" ht="7.5" customHeight="1" thickBot="1"/>
    <row r="5" spans="2:91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232</v>
      </c>
      <c r="BR5" s="8" t="s">
        <v>233</v>
      </c>
      <c r="BT5" s="8">
        <v>2008</v>
      </c>
      <c r="BU5" s="8">
        <v>2009</v>
      </c>
      <c r="BV5" s="8">
        <v>2010</v>
      </c>
      <c r="BW5" s="8">
        <v>2011</v>
      </c>
      <c r="BX5" s="8">
        <v>2012</v>
      </c>
      <c r="BY5" s="8">
        <v>2013</v>
      </c>
      <c r="BZ5" s="8">
        <v>2014</v>
      </c>
      <c r="CA5" s="8">
        <v>2015</v>
      </c>
      <c r="CB5" s="8">
        <v>2016</v>
      </c>
      <c r="CC5" s="8">
        <v>2017</v>
      </c>
      <c r="CD5" s="8">
        <v>2018</v>
      </c>
      <c r="CE5" s="8">
        <v>2019</v>
      </c>
      <c r="CF5" s="8">
        <v>2020</v>
      </c>
      <c r="CG5" s="8">
        <v>2021</v>
      </c>
      <c r="CH5" s="8">
        <v>2022</v>
      </c>
      <c r="CI5" s="8">
        <v>2023</v>
      </c>
      <c r="CJ5" s="8">
        <v>2024</v>
      </c>
    </row>
    <row r="6" spans="2:91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9">
        <f>131949-61900</f>
        <v>70049</v>
      </c>
      <c r="BQ6" s="9">
        <f>131949-61900</f>
        <v>70049</v>
      </c>
      <c r="BR6" s="9">
        <v>111690</v>
      </c>
      <c r="BS6" s="18"/>
      <c r="BT6" s="9">
        <f>SUM(C6:F6)</f>
        <v>398911</v>
      </c>
      <c r="BU6" s="9">
        <f>SUM(G6:J6)</f>
        <v>39067</v>
      </c>
      <c r="BV6" s="9">
        <f>SUM(K6:N6)</f>
        <v>161794</v>
      </c>
      <c r="BW6" s="9">
        <f>SUM(O6:R6)</f>
        <v>109037</v>
      </c>
      <c r="BX6" s="9">
        <f>SUM(S6:V6)</f>
        <v>97750</v>
      </c>
      <c r="BY6" s="9">
        <f>SUM(W6:Z6)</f>
        <v>93137</v>
      </c>
      <c r="BZ6" s="9">
        <f>SUM(AA6:AD6)</f>
        <v>103353</v>
      </c>
      <c r="CA6" s="9">
        <f>SUM(AE6:AH6)</f>
        <v>205536</v>
      </c>
      <c r="CB6" s="9">
        <f>SUM(AI6:AL6)</f>
        <v>41901</v>
      </c>
      <c r="CC6" s="9">
        <f>SUM(AM6:AP6)</f>
        <v>308888</v>
      </c>
      <c r="CD6" s="9">
        <f>SUM(AQ6:AT6)</f>
        <v>349900</v>
      </c>
      <c r="CE6" s="9">
        <f>SUM(AU6:AX6)</f>
        <v>255380</v>
      </c>
      <c r="CF6" s="9">
        <f>SUM(AY6:BB6)</f>
        <v>71865</v>
      </c>
      <c r="CG6" s="9">
        <f>SUM(BC6:BF6)</f>
        <v>701661</v>
      </c>
      <c r="CH6" s="9">
        <f>SUM(BG6:BJ6)</f>
        <v>1244362</v>
      </c>
      <c r="CI6" s="9">
        <f>SUM(BK6:BN6)</f>
        <v>419637</v>
      </c>
      <c r="CJ6" s="9">
        <f>SUM(BO6:BR6)</f>
        <v>313688</v>
      </c>
      <c r="CK6" s="15"/>
      <c r="CL6" s="16"/>
    </row>
    <row r="7" spans="2:91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1">
        <f>-28706+12392</f>
        <v>-16314</v>
      </c>
      <c r="BQ7" s="21">
        <f>-37069+12392+16314</f>
        <v>-8363</v>
      </c>
      <c r="BR7" s="21">
        <v>26259</v>
      </c>
      <c r="BS7" s="2"/>
      <c r="BT7" s="2">
        <f>SUM(C7:F7)</f>
        <v>-128367</v>
      </c>
      <c r="BU7" s="2">
        <f>SUM(G7:J7)</f>
        <v>-13572</v>
      </c>
      <c r="BV7" s="2">
        <f>SUM(K7:N7)</f>
        <v>-49468</v>
      </c>
      <c r="BW7" s="2">
        <f>SUM(O7:R7)</f>
        <v>-27048</v>
      </c>
      <c r="BX7" s="2">
        <f>SUM(S7:V7)</f>
        <v>-27875</v>
      </c>
      <c r="BY7" s="2">
        <f>SUM(W7:Z7)</f>
        <v>-26611</v>
      </c>
      <c r="BZ7" s="2">
        <f>SUM(AA7:AD7)</f>
        <v>-32525</v>
      </c>
      <c r="CA7" s="2">
        <f>SUM(AE7:AH7)</f>
        <v>-53503</v>
      </c>
      <c r="CB7" s="2">
        <f>SUM(AI7:AL7)</f>
        <v>8237</v>
      </c>
      <c r="CC7" s="2">
        <f>SUM(AM7:AP7)</f>
        <v>-63850</v>
      </c>
      <c r="CD7" s="2">
        <f>SUM(AQ7:AT7)</f>
        <v>-81085</v>
      </c>
      <c r="CE7" s="2">
        <f>SUM(AU7:AX7)</f>
        <v>-47543</v>
      </c>
      <c r="CF7" s="2">
        <f>SUM(AY7:BB7)</f>
        <v>-11326</v>
      </c>
      <c r="CG7" s="2">
        <f>SUM(BC7:BF7)</f>
        <v>-225157</v>
      </c>
      <c r="CH7" s="2">
        <f>SUM(BG7:BJ7)</f>
        <v>-397177</v>
      </c>
      <c r="CI7" s="2">
        <f>SUM(BK7:BN7)</f>
        <v>-45836</v>
      </c>
      <c r="CJ7" s="2">
        <f>SUM(BO7:BR7)</f>
        <v>-10810</v>
      </c>
      <c r="CK7" s="16"/>
      <c r="CL7" s="16"/>
      <c r="CM7" s="16"/>
    </row>
    <row r="8" spans="2:91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1">
        <f>-23133+16646</f>
        <v>-6487</v>
      </c>
      <c r="BQ8" s="21">
        <f>-11181+16646+6487</f>
        <v>11952</v>
      </c>
      <c r="BR8" s="21">
        <v>3998</v>
      </c>
      <c r="BS8" s="2"/>
      <c r="BT8" s="2">
        <f>SUM(C8:F8)</f>
        <v>218</v>
      </c>
      <c r="BU8" s="2">
        <f>SUM(G8:J8)</f>
        <v>2028</v>
      </c>
      <c r="BV8" s="2">
        <f>SUM(K8:N8)</f>
        <v>2459</v>
      </c>
      <c r="BW8" s="2">
        <f>SUM(O8:R8)</f>
        <v>92</v>
      </c>
      <c r="BX8" s="2">
        <f>SUM(S8:V8)</f>
        <v>4232</v>
      </c>
      <c r="BY8" s="2">
        <f>SUM(W8:Z8)</f>
        <v>-3939</v>
      </c>
      <c r="BZ8" s="2">
        <f>SUM(AA8:AD8)</f>
        <v>6036</v>
      </c>
      <c r="CA8" s="2">
        <f>SUM(AE8:AH8)</f>
        <v>15323</v>
      </c>
      <c r="CB8" s="2">
        <f>SUM(AI8:AL8)</f>
        <v>10491</v>
      </c>
      <c r="CC8" s="2">
        <f>SUM(AM8:AP8)</f>
        <v>-12412.424200000001</v>
      </c>
      <c r="CD8" s="2">
        <f>SUM(AQ8:AT8)</f>
        <v>-10261</v>
      </c>
      <c r="CE8" s="2">
        <f>SUM(AU8:AX8)</f>
        <v>-18284</v>
      </c>
      <c r="CF8" s="2">
        <f>SUM(AY8:BB8)</f>
        <v>3212</v>
      </c>
      <c r="CG8" s="2">
        <f>SUM(BC8:BF8)</f>
        <v>41945</v>
      </c>
      <c r="CH8" s="2">
        <f>SUM(BG8:BJ8)</f>
        <v>3515</v>
      </c>
      <c r="CI8" s="2">
        <f>SUM(BK8:BN8)</f>
        <v>-24888</v>
      </c>
      <c r="CJ8" s="2">
        <f t="shared" ref="CJ8:CJ9" si="0">SUM(BO8:BR8)</f>
        <v>-7183</v>
      </c>
      <c r="CK8" s="16"/>
      <c r="CL8" s="16"/>
      <c r="CM8" s="16"/>
    </row>
    <row r="9" spans="2:91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1">
        <f>17826-8343</f>
        <v>9483</v>
      </c>
      <c r="BQ9" s="21">
        <f>27996-8343-9483</f>
        <v>10170</v>
      </c>
      <c r="BR9" s="21">
        <v>-2084</v>
      </c>
      <c r="BS9" s="2"/>
      <c r="BT9" s="2">
        <f>SUM(C9:F9)</f>
        <v>67098</v>
      </c>
      <c r="BU9" s="2">
        <f>SUM(G9:J9)</f>
        <v>1109</v>
      </c>
      <c r="BV9" s="2">
        <f>SUM(K9:N9)</f>
        <v>19185</v>
      </c>
      <c r="BW9" s="2">
        <f>SUM(O9:R9)</f>
        <v>8799</v>
      </c>
      <c r="BX9" s="2">
        <f>SUM(S9:V9)</f>
        <v>11437</v>
      </c>
      <c r="BY9" s="2">
        <f>SUM(W9:Z9)</f>
        <v>11140</v>
      </c>
      <c r="BZ9" s="2">
        <f>SUM(AA9:AD9)</f>
        <v>14831</v>
      </c>
      <c r="CA9" s="2">
        <f>SUM(AE9:AH9)</f>
        <v>20493</v>
      </c>
      <c r="CB9" s="2">
        <f>SUM(AI9:AL9)</f>
        <v>9553</v>
      </c>
      <c r="CC9" s="2">
        <f>SUM(AM9:AP9)</f>
        <v>37635.970930000003</v>
      </c>
      <c r="CD9" s="2">
        <f>SUM(AQ9:AT9)</f>
        <v>50634</v>
      </c>
      <c r="CE9" s="2">
        <f>SUM(AU9:AX9)</f>
        <v>31980</v>
      </c>
      <c r="CF9" s="2">
        <f>SUM(AY9:BB9)</f>
        <v>6263</v>
      </c>
      <c r="CG9" s="2">
        <f>SUM(BC9:BF9)</f>
        <v>124458</v>
      </c>
      <c r="CH9" s="2">
        <f>SUM(BG9:BJ9)</f>
        <v>211774</v>
      </c>
      <c r="CI9" s="2">
        <f>SUM(BK9:BN9)</f>
        <v>33972</v>
      </c>
      <c r="CJ9" s="2">
        <f t="shared" si="0"/>
        <v>25912</v>
      </c>
      <c r="CK9" s="16"/>
      <c r="CL9" s="16"/>
      <c r="CM9" s="16"/>
    </row>
    <row r="10" spans="2:91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1">SUM(E7:E9)</f>
        <v>-14745</v>
      </c>
      <c r="F10" s="9">
        <f t="shared" si="1"/>
        <v>-15026</v>
      </c>
      <c r="G10" s="9">
        <f t="shared" si="1"/>
        <v>-6047</v>
      </c>
      <c r="H10" s="9">
        <f t="shared" si="1"/>
        <v>-4025</v>
      </c>
      <c r="I10" s="9">
        <f t="shared" si="1"/>
        <v>-2051</v>
      </c>
      <c r="J10" s="9">
        <f t="shared" si="1"/>
        <v>1688</v>
      </c>
      <c r="K10" s="9">
        <f t="shared" si="1"/>
        <v>-5677</v>
      </c>
      <c r="L10" s="9">
        <f t="shared" si="1"/>
        <v>-11202</v>
      </c>
      <c r="M10" s="9">
        <f t="shared" si="1"/>
        <v>-9702</v>
      </c>
      <c r="N10" s="9">
        <f t="shared" si="1"/>
        <v>-1243</v>
      </c>
      <c r="O10" s="9">
        <f t="shared" si="1"/>
        <v>-8906</v>
      </c>
      <c r="P10" s="9">
        <f t="shared" si="1"/>
        <v>-6833</v>
      </c>
      <c r="Q10" s="9">
        <f t="shared" si="1"/>
        <v>-5913</v>
      </c>
      <c r="R10" s="9">
        <f t="shared" si="1"/>
        <v>3495</v>
      </c>
      <c r="S10" s="9">
        <f t="shared" si="1"/>
        <v>-6508</v>
      </c>
      <c r="T10" s="9">
        <f t="shared" si="1"/>
        <v>-8137</v>
      </c>
      <c r="U10" s="9">
        <f t="shared" si="1"/>
        <v>-4732</v>
      </c>
      <c r="V10" s="9">
        <f t="shared" si="1"/>
        <v>7171</v>
      </c>
      <c r="W10" s="9">
        <f t="shared" si="1"/>
        <v>-4078</v>
      </c>
      <c r="X10" s="9">
        <f t="shared" si="1"/>
        <v>-4425</v>
      </c>
      <c r="Y10" s="9">
        <f t="shared" si="1"/>
        <v>-6158</v>
      </c>
      <c r="Z10" s="9">
        <f t="shared" si="1"/>
        <v>-4749</v>
      </c>
      <c r="AA10" s="9">
        <f t="shared" si="1"/>
        <v>-4605</v>
      </c>
      <c r="AB10" s="9">
        <f t="shared" si="1"/>
        <v>-7409</v>
      </c>
      <c r="AC10" s="9">
        <f t="shared" ref="AC10:AD10" si="2">SUM(AC7:AC9)</f>
        <v>-779</v>
      </c>
      <c r="AD10" s="9">
        <f t="shared" si="2"/>
        <v>1135</v>
      </c>
      <c r="AE10" s="9">
        <f t="shared" ref="AE10:AF10" si="3">SUM(AE7:AE9)</f>
        <v>-8143</v>
      </c>
      <c r="AF10" s="9">
        <f t="shared" si="3"/>
        <v>-12223</v>
      </c>
      <c r="AG10" s="9">
        <f t="shared" ref="AG10:AI10" si="4">SUM(AG7:AG9)</f>
        <v>5615</v>
      </c>
      <c r="AH10" s="9">
        <f t="shared" si="4"/>
        <v>-2936</v>
      </c>
      <c r="AI10" s="12">
        <f t="shared" si="4"/>
        <v>-8599</v>
      </c>
      <c r="AJ10" s="12">
        <f t="shared" ref="AJ10:AK10" si="5">SUM(AJ7:AJ9)</f>
        <v>8491</v>
      </c>
      <c r="AK10" s="12">
        <f t="shared" si="5"/>
        <v>15922</v>
      </c>
      <c r="AL10" s="12">
        <f t="shared" ref="AL10:AP10" si="6">SUM(AL7:AL9)</f>
        <v>12467</v>
      </c>
      <c r="AM10" s="12">
        <f t="shared" si="6"/>
        <v>-22226</v>
      </c>
      <c r="AN10" s="12">
        <f t="shared" si="6"/>
        <v>-13527</v>
      </c>
      <c r="AO10" s="12">
        <f t="shared" si="6"/>
        <v>7994</v>
      </c>
      <c r="AP10" s="12">
        <f t="shared" si="6"/>
        <v>-10867.453269999998</v>
      </c>
      <c r="AQ10" s="12">
        <f t="shared" ref="AQ10:AR10" si="7">SUM(AQ7:AQ9)</f>
        <v>-17567</v>
      </c>
      <c r="AR10" s="12">
        <f t="shared" si="7"/>
        <v>-11120</v>
      </c>
      <c r="AS10" s="12">
        <f t="shared" ref="AS10:AT10" si="8">SUM(AS7:AS9)</f>
        <v>-27051</v>
      </c>
      <c r="AT10" s="12">
        <f t="shared" si="8"/>
        <v>15026</v>
      </c>
      <c r="AU10" s="12">
        <f t="shared" ref="AU10:AV10" si="9">SUM(AU7:AU9)</f>
        <v>-9481</v>
      </c>
      <c r="AV10" s="12">
        <f t="shared" si="9"/>
        <v>-1915</v>
      </c>
      <c r="AW10" s="12">
        <f t="shared" ref="AW10:AY10" si="10">SUM(AW7:AW9)</f>
        <v>-34812</v>
      </c>
      <c r="AX10" s="12">
        <f t="shared" si="10"/>
        <v>12361</v>
      </c>
      <c r="AY10" s="12">
        <f t="shared" si="10"/>
        <v>-7977</v>
      </c>
      <c r="AZ10" s="12">
        <f t="shared" ref="AZ10:BA10" si="11">SUM(AZ7:AZ9)</f>
        <v>-5716</v>
      </c>
      <c r="BA10" s="12">
        <f t="shared" si="11"/>
        <v>2154</v>
      </c>
      <c r="BB10" s="12">
        <f t="shared" ref="BB10:BC10" si="12">SUM(BB7:BB9)</f>
        <v>9688</v>
      </c>
      <c r="BC10" s="12">
        <f t="shared" si="12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3">SUM(BG7:BG9)</f>
        <v>-48867</v>
      </c>
      <c r="BH10" s="12">
        <f t="shared" si="13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4">SUM(BK7:BK9)</f>
        <v>-33546</v>
      </c>
      <c r="BL10" s="12">
        <f t="shared" si="14"/>
        <v>-5710</v>
      </c>
      <c r="BM10" s="12">
        <f t="shared" ref="BM10:BR10" si="15">SUM(BM7:BM9)</f>
        <v>-9182</v>
      </c>
      <c r="BN10" s="12">
        <f t="shared" si="15"/>
        <v>11686</v>
      </c>
      <c r="BO10" s="12">
        <f t="shared" si="15"/>
        <v>-20695</v>
      </c>
      <c r="BP10" s="12">
        <f t="shared" si="15"/>
        <v>-13318</v>
      </c>
      <c r="BQ10" s="12">
        <f t="shared" si="15"/>
        <v>13759</v>
      </c>
      <c r="BR10" s="12">
        <f t="shared" si="15"/>
        <v>28173</v>
      </c>
      <c r="BS10" s="2"/>
      <c r="BT10" s="12">
        <f>SUM(C10:F10)</f>
        <v>-61051</v>
      </c>
      <c r="BU10" s="12">
        <f>SUM(G10:J10)</f>
        <v>-10435</v>
      </c>
      <c r="BV10" s="12">
        <f>SUM(K10:N10)</f>
        <v>-27824</v>
      </c>
      <c r="BW10" s="12">
        <f>SUM(O10:R10)</f>
        <v>-18157</v>
      </c>
      <c r="BX10" s="12">
        <f>SUM(S10:V10)</f>
        <v>-12206</v>
      </c>
      <c r="BY10" s="12">
        <f>SUM(W10:Z10)</f>
        <v>-19410</v>
      </c>
      <c r="BZ10" s="12">
        <f>SUM(AA10:AD10)</f>
        <v>-11658</v>
      </c>
      <c r="CA10" s="12">
        <f>SUM(AE10:AH10)</f>
        <v>-17687</v>
      </c>
      <c r="CB10" s="12">
        <f>SUM(AI10:AL10)</f>
        <v>28281</v>
      </c>
      <c r="CC10" s="12">
        <f>SUM(AM10:AP10)</f>
        <v>-38626.453269999998</v>
      </c>
      <c r="CD10" s="12">
        <f>SUM(AQ10:AT10)</f>
        <v>-40712</v>
      </c>
      <c r="CE10" s="12">
        <f>SUM(AU10:AX10)</f>
        <v>-33847</v>
      </c>
      <c r="CF10" s="12">
        <f>SUM(AY10:BB10)</f>
        <v>-1851</v>
      </c>
      <c r="CG10" s="12">
        <f>SUM(BC10:BF10)</f>
        <v>-58754</v>
      </c>
      <c r="CH10" s="12">
        <f>SUM(BG10:BJ10)</f>
        <v>-181888</v>
      </c>
      <c r="CI10" s="12">
        <f>SUM(BK10:BN10)</f>
        <v>-36752</v>
      </c>
      <c r="CJ10" s="12">
        <f>SUM(BO10:BR10)</f>
        <v>7919</v>
      </c>
    </row>
    <row r="11" spans="2:91">
      <c r="B11" t="s">
        <v>112</v>
      </c>
      <c r="C11" s="4">
        <f>C10/C6</f>
        <v>-0.19850444544758689</v>
      </c>
      <c r="D11" s="4">
        <f t="shared" ref="D11:AB11" si="16">D10/D6</f>
        <v>-0.15746285867325305</v>
      </c>
      <c r="E11" s="4">
        <f t="shared" si="16"/>
        <v>-0.11015568969639015</v>
      </c>
      <c r="F11" s="4">
        <f t="shared" si="16"/>
        <v>-0.18856748447010102</v>
      </c>
      <c r="G11" s="4">
        <f t="shared" si="16"/>
        <v>-0.21607232187522332</v>
      </c>
      <c r="H11" s="4">
        <f t="shared" si="16"/>
        <v>-0.40427882683808758</v>
      </c>
      <c r="I11" s="4">
        <f t="shared" si="16"/>
        <v>1.3876860622462788</v>
      </c>
      <c r="J11" s="4">
        <f t="shared" si="16"/>
        <v>0.64848252016903574</v>
      </c>
      <c r="K11" s="4">
        <f t="shared" si="16"/>
        <v>-0.23555039209991285</v>
      </c>
      <c r="L11" s="4">
        <f t="shared" si="16"/>
        <v>-0.18935091277890467</v>
      </c>
      <c r="M11" s="4">
        <f t="shared" si="16"/>
        <v>-0.2036823210799236</v>
      </c>
      <c r="N11" s="4">
        <f t="shared" si="16"/>
        <v>-4.0226537216828478E-2</v>
      </c>
      <c r="O11" s="4">
        <f t="shared" si="16"/>
        <v>-0.19777486620328219</v>
      </c>
      <c r="P11" s="4">
        <f t="shared" si="16"/>
        <v>-0.20873044965786902</v>
      </c>
      <c r="Q11" s="4">
        <f t="shared" si="16"/>
        <v>-0.35430523099047279</v>
      </c>
      <c r="R11" s="4">
        <f t="shared" si="16"/>
        <v>0.23969549413620464</v>
      </c>
      <c r="S11" s="4">
        <f t="shared" si="16"/>
        <v>-0.24118889671274507</v>
      </c>
      <c r="T11" s="4">
        <f t="shared" si="16"/>
        <v>-0.27770383263369852</v>
      </c>
      <c r="U11" s="4">
        <f t="shared" si="16"/>
        <v>-0.13595747737394054</v>
      </c>
      <c r="V11" s="4">
        <f t="shared" si="16"/>
        <v>1.0765650803182705</v>
      </c>
      <c r="W11" s="4">
        <f t="shared" si="16"/>
        <v>-0.32024501335008637</v>
      </c>
      <c r="X11" s="4">
        <f t="shared" si="16"/>
        <v>-0.18750794525191744</v>
      </c>
      <c r="Y11" s="4">
        <f t="shared" si="16"/>
        <v>-0.21675466385075678</v>
      </c>
      <c r="Z11" s="4">
        <f t="shared" si="16"/>
        <v>-0.1672536451362964</v>
      </c>
      <c r="AA11" s="4">
        <f t="shared" si="16"/>
        <v>-0.14012293086660174</v>
      </c>
      <c r="AB11" s="4">
        <f t="shared" si="16"/>
        <v>-0.20500830105146653</v>
      </c>
      <c r="AC11" s="4">
        <f t="shared" ref="AC11:AD11" si="17">AC10/AC6</f>
        <v>-3.6512772439653153E-2</v>
      </c>
      <c r="AD11" s="4">
        <f t="shared" si="17"/>
        <v>8.7213769786383899E-2</v>
      </c>
      <c r="AE11" s="4">
        <f t="shared" ref="AE11:AF11" si="18">AE10/AE6</f>
        <v>-0.19511669142665453</v>
      </c>
      <c r="AF11" s="4">
        <f t="shared" si="18"/>
        <v>-0.13346217679944095</v>
      </c>
      <c r="AG11" s="4">
        <f t="shared" ref="AG11:AI11" si="19">AG10/AG6</f>
        <v>0.15550139854329945</v>
      </c>
      <c r="AH11" s="4">
        <f t="shared" si="19"/>
        <v>-8.1309368855410014E-2</v>
      </c>
      <c r="AI11" s="4">
        <f t="shared" si="19"/>
        <v>-0.40584292996035493</v>
      </c>
      <c r="AJ11" s="4">
        <f t="shared" ref="AJ11:AK11" si="20">AJ10/AJ6</f>
        <v>-0.28505723973545505</v>
      </c>
      <c r="AK11" s="4">
        <f t="shared" si="20"/>
        <v>-1.699978646166987</v>
      </c>
      <c r="AL11" s="4">
        <f t="shared" ref="AL11:AP11" si="21">AL10/AL6</f>
        <v>0.20824842147462666</v>
      </c>
      <c r="AM11" s="4">
        <f t="shared" si="21"/>
        <v>-0.21715469316372091</v>
      </c>
      <c r="AN11" s="4">
        <f t="shared" si="21"/>
        <v>-0.17496637003311258</v>
      </c>
      <c r="AO11" s="4">
        <f t="shared" si="21"/>
        <v>0.14174512828696562</v>
      </c>
      <c r="AP11" s="4">
        <f t="shared" si="21"/>
        <v>-0.14922081163838083</v>
      </c>
      <c r="AQ11" s="4">
        <f t="shared" ref="AQ11:AR11" si="22">AQ10/AQ6</f>
        <v>-0.21671868638892658</v>
      </c>
      <c r="AR11" s="4">
        <f t="shared" si="22"/>
        <v>-0.1270116846181083</v>
      </c>
      <c r="AS11" s="4">
        <f t="shared" ref="AS11:AT11" si="23">AS10/AS6</f>
        <v>-0.15342949026992383</v>
      </c>
      <c r="AT11" s="4">
        <f t="shared" si="23"/>
        <v>3.0166633206183495</v>
      </c>
      <c r="AU11" s="4">
        <f t="shared" ref="AU11" si="24">AU10/AU6</f>
        <v>-0.17070579762333454</v>
      </c>
      <c r="AV11" s="4">
        <f t="shared" ref="AV11:BA11" si="25">AV10/AV6</f>
        <v>-5.6818181818181816E-2</v>
      </c>
      <c r="AW11" s="4">
        <f t="shared" si="25"/>
        <v>-0.19393547740149189</v>
      </c>
      <c r="AX11" s="4">
        <f t="shared" si="25"/>
        <v>-0.92474003142066286</v>
      </c>
      <c r="AY11" s="4">
        <f t="shared" si="25"/>
        <v>-1.0763729591148292</v>
      </c>
      <c r="AZ11" s="4">
        <f t="shared" si="25"/>
        <v>-0.20976916584094829</v>
      </c>
      <c r="BA11" s="4">
        <f t="shared" si="25"/>
        <v>0.22914893617021276</v>
      </c>
      <c r="BB11" s="4">
        <f t="shared" ref="BB11:BC11" si="26">BB10/BB6</f>
        <v>0.34842654198885092</v>
      </c>
      <c r="BC11" s="4">
        <f t="shared" si="26"/>
        <v>-0.17352652946941061</v>
      </c>
      <c r="BD11" s="4">
        <f t="shared" ref="BD11" si="27">BD10/BD6</f>
        <v>-0.13677673775581897</v>
      </c>
      <c r="BE11" s="4">
        <f>BE10/BE6</f>
        <v>4.2886359873081793E-2</v>
      </c>
      <c r="BF11" s="4">
        <f t="shared" ref="BF11:BG11" si="28">BF10/BF6</f>
        <v>-0.1378844142545306</v>
      </c>
      <c r="BG11" s="4">
        <f t="shared" si="28"/>
        <v>-0.16227767225004316</v>
      </c>
      <c r="BH11" s="4">
        <f>BH10/BH6</f>
        <v>-0.13028378850461336</v>
      </c>
      <c r="BI11" s="4">
        <f t="shared" ref="BI11" si="29">BI10/BI6</f>
        <v>-0.1419571829486771</v>
      </c>
      <c r="BJ11" s="4">
        <f>BJ10/BJ6</f>
        <v>-0.16521853751771257</v>
      </c>
      <c r="BK11" s="4">
        <f t="shared" ref="BK11" si="30">BK10/BK6</f>
        <v>-0.20317856407398882</v>
      </c>
      <c r="BL11" s="4">
        <f>BL10/BL6</f>
        <v>-4.4789583088206457E-2</v>
      </c>
      <c r="BM11" s="4">
        <f t="shared" ref="BM11" si="31">BM10/BM6</f>
        <v>-0.11342523964818658</v>
      </c>
      <c r="BN11" s="4">
        <f>BN10/BN6</f>
        <v>0.25352540460797501</v>
      </c>
      <c r="BO11" s="4">
        <f>BO10/BO6</f>
        <v>-0.33432956381260098</v>
      </c>
      <c r="BP11" s="4">
        <f>BP10/BP6</f>
        <v>-0.19012405601793031</v>
      </c>
      <c r="BQ11" s="4">
        <f>BQ10/BQ6</f>
        <v>0.1964196491027709</v>
      </c>
      <c r="BR11" s="4">
        <f>BR10/BR6</f>
        <v>0.25224281493419287</v>
      </c>
      <c r="BT11" s="4">
        <f t="shared" ref="BT11" si="32">BT10/BT6</f>
        <v>-0.1530441627330407</v>
      </c>
      <c r="BU11" s="4">
        <f t="shared" ref="BU11" si="33">BU10/BU6</f>
        <v>-0.26710522947756421</v>
      </c>
      <c r="BV11" s="4">
        <f t="shared" ref="BV11" si="34">BV10/BV6</f>
        <v>-0.17197176656736343</v>
      </c>
      <c r="BW11" s="4">
        <f t="shared" ref="BW11" si="35">BW10/BW6</f>
        <v>-0.16652145601951632</v>
      </c>
      <c r="BX11" s="4">
        <f t="shared" ref="BX11" si="36">BX10/BX6</f>
        <v>-0.1248695652173913</v>
      </c>
      <c r="BY11" s="4">
        <f t="shared" ref="BY11" si="37">BY10/BY6</f>
        <v>-0.20840267562837542</v>
      </c>
      <c r="BZ11" s="4">
        <f t="shared" ref="BZ11:CB11" si="38">BZ10/BZ6</f>
        <v>-0.11279788685379234</v>
      </c>
      <c r="CA11" s="4">
        <f t="shared" si="38"/>
        <v>-8.6053051533551306E-2</v>
      </c>
      <c r="CB11" s="4">
        <f t="shared" si="38"/>
        <v>0.67494809193098015</v>
      </c>
      <c r="CC11" s="4">
        <f t="shared" ref="CC11" si="39">CC10/CC6</f>
        <v>-0.12505002871590998</v>
      </c>
      <c r="CD11" s="4">
        <f t="shared" ref="CD11:CI11" si="40">CD10/CD6</f>
        <v>-0.11635324378393827</v>
      </c>
      <c r="CE11" s="4">
        <f t="shared" si="40"/>
        <v>-0.13253582896076435</v>
      </c>
      <c r="CF11" s="4">
        <f t="shared" si="40"/>
        <v>-2.5756627008975162E-2</v>
      </c>
      <c r="CG11" s="4">
        <f t="shared" si="40"/>
        <v>-8.3735593114053652E-2</v>
      </c>
      <c r="CH11" s="4">
        <f t="shared" si="40"/>
        <v>-0.14616968374154787</v>
      </c>
      <c r="CI11" s="4">
        <f t="shared" si="40"/>
        <v>-8.7580456442115442E-2</v>
      </c>
      <c r="CJ11" s="4">
        <f t="shared" ref="CJ11" si="41">CJ10/CJ6</f>
        <v>2.5244829257096223E-2</v>
      </c>
    </row>
    <row r="13" spans="2:91" s="2" customFormat="1">
      <c r="B13" s="50"/>
    </row>
    <row r="14" spans="2:9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8"/>
      <c r="BT14" s="89"/>
    </row>
    <row r="15" spans="2:91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89"/>
      <c r="BU15" s="16"/>
      <c r="BV15" s="16"/>
      <c r="BW15" s="16"/>
      <c r="BX15" s="16"/>
    </row>
    <row r="16" spans="2:91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T16" s="89"/>
    </row>
    <row r="17" spans="15:70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</row>
    <row r="18" spans="15:70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</row>
    <row r="19" spans="15:70">
      <c r="AQ19" s="83"/>
    </row>
    <row r="20" spans="15:70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0" max="1048575" man="1"/>
  </colBreaks>
  <ignoredErrors>
    <ignoredError sqref="BT8:CC9 C10:AQ10 BT6:CC6 BT7:CB7 AT10:AZ10 BO10:BR11 BK10:BN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2025-03-07T14:12:36Z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