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2Q25\Fundamentos e Planilha\"/>
    </mc:Choice>
  </mc:AlternateContent>
  <xr:revisionPtr revIDLastSave="0" documentId="13_ncr:1_{20985AAA-BA8C-4A7C-82BF-781399382022}" xr6:coauthVersionLast="47" xr6:coauthVersionMax="47" xr10:uidLastSave="{00000000-0000-0000-0000-000000000000}"/>
  <bookViews>
    <workbookView xWindow="-120" yWindow="-120" windowWidth="20730" windowHeight="1104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36" l="1"/>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Y7" i="36"/>
  <c r="D34" i="36"/>
  <c r="D14" i="36"/>
  <c r="D56" i="35" l="1"/>
  <c r="D55" i="35"/>
  <c r="D70" i="33"/>
  <c r="D69" i="33"/>
  <c r="AH14" i="36"/>
  <c r="AG7" i="36"/>
  <c r="V7" i="36" l="1"/>
  <c r="AP7" i="35"/>
  <c r="AE7" i="35"/>
  <c r="AF7" i="34"/>
  <c r="AP7" i="33"/>
  <c r="AE7" i="33"/>
  <c r="U7" i="36"/>
  <c r="AD7" i="35"/>
  <c r="AI7" i="34"/>
  <c r="AD7" i="33"/>
  <c r="D19" i="36"/>
  <c r="D18" i="36"/>
  <c r="D17" i="36"/>
  <c r="AH7" i="33"/>
  <c r="T7" i="36"/>
  <c r="AC7" i="33"/>
  <c r="AC7" i="35"/>
  <c r="AD7" i="34"/>
  <c r="S7" i="36"/>
  <c r="AB7" i="35"/>
  <c r="AE7" i="34"/>
  <c r="AB7" i="33"/>
  <c r="D68" i="33"/>
  <c r="D54" i="35"/>
  <c r="D53" i="35"/>
  <c r="D67" i="33"/>
  <c r="AH7" i="36" l="1"/>
  <c r="R7" i="36"/>
  <c r="AQ7" i="35"/>
  <c r="AA7" i="35"/>
  <c r="AC7" i="34"/>
  <c r="AQ7" i="33"/>
  <c r="AA7" i="33"/>
  <c r="Q7" i="36"/>
  <c r="D43" i="34"/>
  <c r="D42" i="34"/>
  <c r="D41" i="34"/>
  <c r="D52" i="35" l="1"/>
  <c r="AH7" i="35"/>
  <c r="AB7" i="34"/>
  <c r="D66" i="33"/>
  <c r="Z7" i="33"/>
  <c r="D39" i="34"/>
  <c r="D51" i="35"/>
  <c r="P7" i="36" l="1"/>
  <c r="Y7" i="35"/>
  <c r="AA7" i="34"/>
  <c r="D65" i="33"/>
  <c r="Y7" i="33"/>
  <c r="D50" i="35"/>
  <c r="W7" i="36"/>
  <c r="D64" i="33"/>
  <c r="X7" i="35"/>
  <c r="Y7" i="34"/>
  <c r="X7" i="33"/>
  <c r="D63" i="33"/>
  <c r="D62" i="33"/>
  <c r="D61" i="33"/>
  <c r="D48" i="35"/>
  <c r="D49" i="35"/>
  <c r="D47" i="35"/>
  <c r="AF7" i="36" l="1"/>
  <c r="O7" i="36"/>
  <c r="AO7" i="35"/>
  <c r="W7" i="35"/>
  <c r="Z7" i="34"/>
  <c r="AO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N7" i="35"/>
  <c r="AM7" i="35"/>
  <c r="AL7" i="35"/>
  <c r="AK7" i="35"/>
  <c r="AJ7" i="35"/>
  <c r="AN7" i="33"/>
  <c r="AM7" i="33"/>
  <c r="AL7" i="33"/>
  <c r="AK7" i="33"/>
  <c r="AJ7" i="33"/>
  <c r="D42" i="35"/>
  <c r="D41" i="35"/>
  <c r="D40" i="35"/>
  <c r="D39" i="35"/>
  <c r="D38" i="35"/>
  <c r="D37" i="35"/>
  <c r="D36" i="35"/>
  <c r="D35" i="35"/>
  <c r="D34" i="35"/>
  <c r="D33" i="35"/>
  <c r="D57" i="33" l="1"/>
  <c r="D56" i="33"/>
  <c r="D55" i="33" l="1"/>
  <c r="B8" i="32" l="1"/>
  <c r="D4" i="35"/>
  <c r="U7" i="34"/>
  <c r="AE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A7" i="36"/>
  <c r="AB7" i="36"/>
  <c r="AC7" i="36"/>
  <c r="AD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<sst xmlns="http://schemas.openxmlformats.org/spreadsheetml/2006/main" count="1088" uniqueCount="645">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</sst>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732150</xdr:colOff>
      <xdr:row>4</xdr:row>
      <xdr:rowOff>141141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1284600</xdr:colOff>
      <xdr:row>5</xdr:row>
      <xdr:rowOff>96691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1285982</xdr:colOff>
      <xdr:row>4</xdr:row>
      <xdr:rowOff>139871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40625" defaultRowHeight="15"/>
  <sheetData>
    <row r="1" spans="1:25" s="135" customFormat="1">
      <c r="A1" s="156" t="s">
        <v>362</v>
      </c>
      <c r="Y1" s="135" t="s">
        <v>193</v>
      </c>
    </row>
    <row r="2" spans="1:25">
      <c r="Y2" s="135" t="s">
        <v>357</v>
      </c>
    </row>
    <row r="3" spans="1:25">
      <c r="J3" s="162"/>
    </row>
    <row r="4" spans="1:25">
      <c r="K4" s="152" t="s">
        <v>202</v>
      </c>
    </row>
    <row r="6" spans="1:25" ht="15.75">
      <c r="H6" s="171" t="str">
        <f>IF('Índice IFRS 16 | Index IFRS 16'!$K$6="Português","Idioma","Language")</f>
        <v>Language</v>
      </c>
      <c r="I6" s="172"/>
      <c r="J6" s="173"/>
      <c r="K6" s="174" t="s">
        <v>357</v>
      </c>
    </row>
    <row r="8" spans="1:25" s="146" customFormat="1" ht="24.95" customHeight="1">
      <c r="B8" s="148" t="str">
        <f>IF('Índice IFRS 16 | Index IFRS 16'!$K$6="Português","Fundamentos e Planilhas - IFRS  16","Fundamentals and Spreadsheets - IFRS 16")</f>
        <v>Fundamentals and Spreadsheets - IFRS 16</v>
      </c>
      <c r="C8" s="147"/>
      <c r="D8" s="147"/>
      <c r="E8" s="147"/>
      <c r="F8" s="147"/>
      <c r="G8" s="147"/>
      <c r="H8" s="147"/>
      <c r="I8" s="147"/>
      <c r="J8" s="147"/>
      <c r="K8" s="147"/>
      <c r="L8" s="161"/>
    </row>
    <row r="10" spans="1:25" s="140" customFormat="1" ht="23.1" customHeight="1">
      <c r="C10" s="146" t="str">
        <f>IF('Índice IFRS 16 | Index IFRS 16'!$K$6="Português","DRE","Income Statement")</f>
        <v>Income Statement</v>
      </c>
    </row>
    <row r="11" spans="1:25" s="140" customFormat="1" ht="23.1" customHeight="1">
      <c r="C11" s="146"/>
    </row>
    <row r="12" spans="1:25" s="140" customFormat="1" ht="23.1" customHeight="1">
      <c r="C12" s="146" t="str">
        <f>IF('Índice IFRS 16 | Index IFRS 16'!$K$6="Português","Balanço Patrimonial","Balance Sheet")</f>
        <v>Balance Sheet</v>
      </c>
    </row>
    <row r="13" spans="1:25" s="140" customFormat="1" ht="23.1" customHeight="1">
      <c r="C13" s="146"/>
    </row>
    <row r="14" spans="1:25" s="140" customFormat="1" ht="23.1" customHeight="1">
      <c r="C14" s="146" t="str">
        <f>IF('Índice IFRS 16 | Index IFRS 16'!$K$6="Português","Dados Operacionais","Operating Data")</f>
        <v>Operating Data</v>
      </c>
    </row>
    <row r="15" spans="1:25" s="140" customFormat="1" ht="23.1" customHeight="1">
      <c r="C15" s="146"/>
      <c r="M15" s="149"/>
    </row>
    <row r="16" spans="1:25" s="140" customFormat="1" ht="23.1" customHeight="1">
      <c r="C16" s="146" t="str">
        <f>IF('Índice IFRS 16 | Index IFRS 16'!$K$6="Português","Indicadores ESG","ESG Key Indicators")</f>
        <v>ESG Key Indicators</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Investor Relations Team</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S9" activePane="bottomRight" state="frozen"/>
      <selection activeCell="D6" sqref="D6"/>
      <selection pane="topRight" activeCell="D6" sqref="D6"/>
      <selection pane="bottomLeft" activeCell="D6" sqref="D6"/>
      <selection pane="bottomRight" activeCell="A2" sqref="A2"/>
    </sheetView>
  </sheetViews>
  <sheetFormatPr defaultRowHeight="15"/>
  <cols>
    <col min="1" max="1" width="4.140625" style="7" customWidth="1"/>
    <col min="2" max="3" width="4.140625" style="7" hidden="1" customWidth="1"/>
    <col min="4" max="4" width="66" customWidth="1"/>
    <col min="5" max="17" width="13.42578125" bestFit="1" customWidth="1"/>
    <col min="18" max="24" width="13.42578125" customWidth="1"/>
    <col min="25" max="27" width="13.42578125" bestFit="1" customWidth="1"/>
    <col min="28" max="30" width="13.8554687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Home</v>
      </c>
    </row>
    <row r="5" spans="1:32" ht="15.75" customHeight="1"/>
    <row r="6" spans="1:32" ht="15.75" customHeight="1"/>
    <row r="7" spans="1:32" ht="15.75" thickBot="1">
      <c r="B7" s="7" t="s">
        <v>255</v>
      </c>
      <c r="C7" s="7" t="s">
        <v>23</v>
      </c>
      <c r="D7" s="3" t="str">
        <f>IF('Índice IFRS 16 | Index IFRS 16'!$K$6="Português",$C7,$B7)</f>
        <v>Operating Data</v>
      </c>
      <c r="E7" s="25" t="s">
        <v>42</v>
      </c>
      <c r="F7" s="25" t="s">
        <v>43</v>
      </c>
      <c r="G7" s="25" t="str">
        <f>IF('Índice IFRS 16 | Index IFRS 16'!$K$6="Português",G$1,SUBSTITUTE(G$1,"T","Q"))</f>
        <v>1Q18¹</v>
      </c>
      <c r="H7" s="25" t="str">
        <f>IF('Índice IFRS 16 | Index IFRS 16'!$K$6="Português",H$1,SUBSTITUTE(H$1,"T","Q"))</f>
        <v>2Q18¹</v>
      </c>
      <c r="I7" s="25" t="str">
        <f>IF('Índice IFRS 16 | Index IFRS 16'!$K$6="Português",I$1,SUBSTITUTE(I$1,"T","Q"))</f>
        <v>3Q18¹</v>
      </c>
      <c r="J7" s="25" t="str">
        <f>IF('Índice IFRS 16 | Index IFRS 16'!$K$6="Português",J$1,SUBSTITUTE(J$1,"T","Q"))</f>
        <v>4Q18¹</v>
      </c>
      <c r="K7" s="25" t="str">
        <f>IF('Índice IFRS 16 | Index IFRS 16'!$K$6="Português",K$1,SUBSTITUTE(K$1,"T","Q"))</f>
        <v>1Q19²</v>
      </c>
      <c r="L7" s="25" t="str">
        <f>IF('Índice IFRS 16 | Index IFRS 16'!$K$6="Português",L$1,SUBSTITUTE(L$1,"T","Q"))</f>
        <v>2Q19²</v>
      </c>
      <c r="M7" s="25" t="str">
        <f>IF('Índice IFRS 16 | Index IFRS 16'!$K$6="Português",M$1,SUBSTITUTE(M$1,"T","Q"))</f>
        <v>3Q19²</v>
      </c>
      <c r="N7" s="25" t="str">
        <f>IF('Índice IFRS 16 | Index IFRS 16'!$K$6="Português",N$1,SUBSTITUTE(N$1,"T","Q"))</f>
        <v>4Q19²</v>
      </c>
      <c r="O7" s="25" t="str">
        <f>IF('Índice IFRS 16 | Index IFRS 16'!$K$6="Português",O$1,SUBSTITUTE(O$1,"T","Q"))</f>
        <v>1Q20³</v>
      </c>
      <c r="P7" s="42" t="str">
        <f>IF('Índice IFRS 16 | Index IFRS 16'!$K$6="Português",P$1,SUBSTITUTE(P$1,"T","Q"))</f>
        <v>2Q20⁴</v>
      </c>
      <c r="Q7" s="42" t="str">
        <f>IF('Índice IFRS 16 | Index IFRS 16'!$K$6="Português",Q$1,SUBSTITUTE(Q$1,"T","Q"))</f>
        <v>3Q20⁵</v>
      </c>
      <c r="R7" s="42" t="str">
        <f>IF('Índice IFRS 16 | Index IFRS 16'!$K$6="Português",R$1,SUBSTITUTE(R$1,"T","Q"))</f>
        <v>4Q20⁶</v>
      </c>
      <c r="S7" s="42" t="str">
        <f>IF('Índice IFRS 16 | Index IFRS 16'!$K$6="Português",S$1,SUBSTITUTE(S$1,"T","Q"))</f>
        <v>1Q21⁸</v>
      </c>
      <c r="T7" s="42" t="str">
        <f>IF('Índice IFRS 16 | Index IFRS 16'!$K$6="Português",T$1,SUBSTITUTE(T$1,"T","Q"))</f>
        <v>2Q21⁹</v>
      </c>
      <c r="U7" s="42" t="str">
        <f>IF('Índice IFRS 16 | Index IFRS 16'!$K$6="Português",U$1,SUBSTITUTE(U$1,"T","Q"))</f>
        <v>3Q21¹⁰</v>
      </c>
      <c r="V7" s="42" t="str">
        <f>IF('Índice IFRS 16 | Index IFRS 16'!$K$6="Português",V$1,SUBSTITUTE(V$1,"T","Q"))</f>
        <v>4Q21⁹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Passenger revenue (in R$ millions)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 xml:space="preserve">Operating aircraft at end of period </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Available seat kilometers (ASKs) (millions)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Domestic</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International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Revenue passenger kilometers (RPKs) (million)</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Domestic</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International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Load Factor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 xml:space="preserve">Passenger revenue per ASK (real cents) (PRASK) </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 xml:space="preserve">Operating revenue per ASK (real cents) (RASK) </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Yield (real cents)</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Departures total</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Block Hours</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Average fare (R$)</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Stage Length (KM)</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(real cents)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(real cents)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Full time employees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Fuel liters consumed (thousands)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Average fuel cost per liter</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75" thickBot="1">
      <c r="B30" s="7" t="s">
        <v>275</v>
      </c>
      <c r="C30" s="7" t="s">
        <v>115</v>
      </c>
      <c r="D30" s="61" t="str">
        <f>IF('Índice IFRS 16 | Index IFRS 16'!$K$6="Português",$C30,$B30)</f>
        <v>Passengers Total (thousands)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Adjusted for new accounting standards, including the new revenue recognition standard, IFRS 15.</v>
      </c>
    </row>
    <row r="33" spans="2:4">
      <c r="B33" s="7" t="s">
        <v>297</v>
      </c>
      <c r="C33" s="7" t="s">
        <v>294</v>
      </c>
      <c r="D33" s="77" t="str">
        <f>IF('Índice IFRS 16 | Index IFRS 16'!$K$6="Português",$C33,$B33)</f>
        <v>2 Adjusted for non-recurring items totalling R$283.3 million. For more information, please refer to Azul's 2Q18 earnings release.</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5"/>
  <sheetData>
    <row r="1" spans="2:25" s="135" customFormat="1"/>
    <row r="2" spans="2:25">
      <c r="Y2" s="135"/>
    </row>
    <row r="3" spans="2:25">
      <c r="K3" s="152" t="s">
        <v>201</v>
      </c>
    </row>
    <row r="8" spans="2:25" s="146" customFormat="1" ht="24.95" customHeight="1">
      <c r="B8" s="148" t="str">
        <f>IF('Índice IFRS 16 | Index IFRS 16'!$K$6="Português","Fundamentos e Planilha - 2014-2018 (IAS 17)","Fundamentals and Spreadsheets - IAS 17")</f>
        <v>Fundamentals and Spreadsheets - IAS 17</v>
      </c>
      <c r="C8" s="147"/>
      <c r="D8" s="147"/>
      <c r="E8" s="147"/>
      <c r="F8" s="147"/>
      <c r="G8" s="147"/>
      <c r="H8" s="147"/>
      <c r="I8" s="147"/>
      <c r="J8" s="147"/>
      <c r="K8" s="147"/>
      <c r="L8" s="161"/>
    </row>
    <row r="10" spans="2:25" s="140" customFormat="1" ht="23.1" customHeight="1">
      <c r="C10" s="146" t="str">
        <f>IF('Índice IFRS 16 | Index IFRS 16'!$K$6="Português","DRE - IAS 17","Income Statement - IAS 17")</f>
        <v>Income Statement - IAS 17</v>
      </c>
    </row>
    <row r="11" spans="2:25" s="140" customFormat="1" ht="23.1" customHeight="1">
      <c r="C11" s="146"/>
    </row>
    <row r="12" spans="2:25" s="140" customFormat="1" ht="23.1" customHeight="1">
      <c r="C12" s="146" t="str">
        <f>IF('Índice IFRS 16 | Index IFRS 16'!$K$6="Português","Balanço Patrimonial - IAS 17","Balance Sheet - IAS 17")</f>
        <v>Balance Sheet - IAS 17</v>
      </c>
    </row>
    <row r="13" spans="2:25" s="140" customFormat="1" ht="23.1" customHeight="1">
      <c r="C13" s="146"/>
    </row>
    <row r="14" spans="2:25" s="140" customFormat="1" ht="23.1" customHeight="1">
      <c r="C14" s="146" t="str">
        <f>IF('Índice IFRS 16 | Index IFRS 16'!$K$6="Português","Dados Operacionais - IAS 17","Operating Data - IAS 17")</f>
        <v>Operating Data - IAS 17</v>
      </c>
    </row>
    <row r="15" spans="2:25" s="140" customFormat="1" ht="23.1" customHeight="1">
      <c r="C15" s="146"/>
      <c r="M15" s="149"/>
    </row>
    <row r="16" spans="2:25" s="140" customFormat="1" ht="23.1"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L74"/>
  <sheetViews>
    <sheetView showGridLines="0" zoomScaleNormal="100" workbookViewId="0">
      <pane xSplit="4" ySplit="7" topLeftCell="AA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3.5703125" hidden="1" customWidth="1"/>
    <col min="4" max="4" width="48.85546875" bestFit="1" customWidth="1"/>
    <col min="5" max="5" width="10.7109375" customWidth="1"/>
    <col min="6" max="6" width="10.7109375" bestFit="1" customWidth="1"/>
    <col min="7" max="7" width="10.42578125" bestFit="1" customWidth="1"/>
    <col min="8" max="13" width="10.7109375" bestFit="1" customWidth="1"/>
    <col min="14" max="14" width="11.5703125" bestFit="1" customWidth="1"/>
    <col min="15" max="16" width="11.5703125" customWidth="1"/>
    <col min="17" max="18" width="11.5703125" bestFit="1" customWidth="1"/>
    <col min="19" max="19" width="12.42578125" style="2" bestFit="1" customWidth="1"/>
    <col min="20" max="23" width="12.42578125" style="2" customWidth="1"/>
    <col min="24" max="35" width="11.5703125" bestFit="1" customWidth="1"/>
  </cols>
  <sheetData>
    <row r="1" spans="1:35"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row>
    <row r="3" spans="1:35">
      <c r="S3"/>
      <c r="T3"/>
      <c r="U3"/>
      <c r="V3"/>
      <c r="W3"/>
    </row>
    <row r="4" spans="1:35">
      <c r="D4" s="166" t="str">
        <f>IF('Índice IFRS 16 | Index IFRS 16'!$K$6="Português","Menu","Home")</f>
        <v>Home</v>
      </c>
    </row>
    <row r="6" spans="1:35">
      <c r="B6" t="s">
        <v>203</v>
      </c>
      <c r="C6" s="56" t="s">
        <v>55</v>
      </c>
      <c r="D6" s="56" t="str">
        <f>IF('Índice IFRS 16 | Index IFRS 16'!$K$6="Português",$C6,$B6)</f>
        <v>Balance Sheet</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row>
    <row r="7" spans="1:35" ht="15.75" thickBot="1">
      <c r="B7" t="s">
        <v>96</v>
      </c>
      <c r="C7" t="s">
        <v>0</v>
      </c>
      <c r="D7" s="17" t="str">
        <f>IF('Índice IFRS 16 | Index IFRS 16'!$K$6="Português",$C7,$B7)</f>
        <v xml:space="preserve"> (R$000)</v>
      </c>
      <c r="E7" s="42" t="str">
        <f>IF('Índice IFRS 16 | Index IFRS 16'!$K$6="Português",E$1,SUBSTITUTE(E$1,"T","Q"))</f>
        <v>4Q17</v>
      </c>
      <c r="F7" s="42" t="str">
        <f>IF('Índice IFRS 16 | Index IFRS 16'!$K$6="Português",F$1,SUBSTITUTE(F$1,"T","Q"))</f>
        <v>1Q18</v>
      </c>
      <c r="G7" s="42" t="str">
        <f>IF('Índice IFRS 16 | Index IFRS 16'!$K$6="Português",G$1,SUBSTITUTE(G$1,"T","Q"))</f>
        <v>2Q18</v>
      </c>
      <c r="H7" s="42" t="str">
        <f>IF('Índice IFRS 16 | Index IFRS 16'!$K$6="Português",H$1,SUBSTITUTE(H$1,"T","Q"))</f>
        <v>3Q18</v>
      </c>
      <c r="I7" s="42" t="str">
        <f>IF('Índice IFRS 16 | Index IFRS 16'!$K$6="Português",I$1,SUBSTITUTE(I$1,"T","Q"))</f>
        <v>4Q18</v>
      </c>
      <c r="J7" s="42" t="str">
        <f>IF('Índice IFRS 16 | Index IFRS 16'!$K$6="Português",J$1,SUBSTITUTE(J$1,"T","Q"))</f>
        <v>1Q19</v>
      </c>
      <c r="K7" s="42" t="str">
        <f>IF('Índice IFRS 16 | Index IFRS 16'!$K$6="Português",K$1,SUBSTITUTE(K$1,"T","Q"))</f>
        <v>2Q19</v>
      </c>
      <c r="L7" s="42" t="str">
        <f>IF('Índice IFRS 16 | Index IFRS 16'!$K$6="Português",L$1,SUBSTITUTE(L$1,"T","Q"))</f>
        <v>3Q19</v>
      </c>
      <c r="M7" s="42" t="str">
        <f>IF('Índice IFRS 16 | Index IFRS 16'!$K$6="Português",M$1,SUBSTITUTE(M$1,"T","Q"))</f>
        <v>4Q19</v>
      </c>
      <c r="N7" s="42" t="str">
        <f>IF('Índice IFRS 16 | Index IFRS 16'!$K$6="Português",N$1,SUBSTITUTE(N$1,"T","Q"))</f>
        <v>1Q20</v>
      </c>
      <c r="O7" s="42" t="str">
        <f>IF('Índice IFRS 16 | Index IFRS 16'!$K$6="Português",O$1,SUBSTITUTE(O$1,"T","Q"))</f>
        <v>2Q20</v>
      </c>
      <c r="P7" s="42" t="str">
        <f>IF('Índice IFRS 16 | Index IFRS 16'!$K$6="Português",P$1,SUBSTITUTE(P$1,"T","Q"))</f>
        <v>3Q20</v>
      </c>
      <c r="Q7" s="42" t="str">
        <f>IF('Índice IFRS 16 | Index IFRS 16'!$K$6="Português",Q$1,SUBSTITUTE(Q$1,"T","Q"))</f>
        <v>4Q20</v>
      </c>
      <c r="R7" s="42" t="str">
        <f>IF('Índice IFRS 16 | Index IFRS 16'!$K$6="Português",R$1,SUBSTITUTE(R$1,"T","Q"))</f>
        <v>1Q21</v>
      </c>
      <c r="S7" s="42" t="str">
        <f>IF('Índice IFRS 16 | Index IFRS 16'!$K$6="Português",S$1,SUBSTITUTE(S$1,"T","Q"))</f>
        <v>2Q21</v>
      </c>
      <c r="T7" s="42" t="str">
        <f>IF('Índice IFRS 16 | Index IFRS 16'!$K$6="Português",T$1,SUBSTITUTE(T$1,"T","Q"))</f>
        <v>3Q21</v>
      </c>
      <c r="U7" s="42" t="str">
        <f>IF('Índice IFRS 16 | Index IFRS 16'!$K$6="Português",U$1,SUBSTITUTE(U$1,"T","Q"))</f>
        <v>4Q21</v>
      </c>
      <c r="V7" s="42" t="str">
        <f>IF('Índice IFRS 16 | Index IFRS 16'!$K$6="Português",V$1,SUBSTITUTE(V$1,"T","Q"))</f>
        <v>1Q22</v>
      </c>
      <c r="W7" s="42" t="str">
        <f>IF('Índice IFRS 16 | Index IFRS 16'!$K$6="Português",W$1,SUBSTITUTE(W$1,"T","Q"))</f>
        <v>2Q22</v>
      </c>
      <c r="X7" s="42" t="str">
        <f>IF('Índice IFRS 16 | Index IFRS 16'!$K$6="Português",X$1,SUBSTITUTE(X$1,"T","Q"))</f>
        <v>3Q22</v>
      </c>
      <c r="Y7" s="42" t="str">
        <f>IF('Índice IFRS 16 | Index IFRS 16'!$K$6="Português",Y$1,SUBSTITUTE(Y$1,"T","Q"))</f>
        <v>4Q22</v>
      </c>
      <c r="Z7" s="42" t="str">
        <f>IF('Índice IFRS 16 | Index IFRS 16'!$K$6="Português",Z$1,SUBSTITUTE(Z$1,"T","Q"))</f>
        <v>1Q23</v>
      </c>
      <c r="AA7" s="42" t="str">
        <f>IF('Índice IFRS 16 | Index IFRS 16'!$K$6="Português",AA$1,SUBSTITUTE(AA$1,"T","Q"))</f>
        <v>2Q23</v>
      </c>
      <c r="AB7" s="42" t="str">
        <f>IF('Índice IFRS 16 | Index IFRS 16'!$K$6="Português",AB$1,SUBSTITUTE(AB$1,"T","Q"))</f>
        <v>3Q23</v>
      </c>
      <c r="AC7" s="42" t="str">
        <f>IF('Índice IFRS 16 | Index IFRS 16'!$K$6="Português",AC$1,SUBSTITUTE(AC$1,"T","Q"))</f>
        <v>4Q23</v>
      </c>
      <c r="AD7" s="42" t="str">
        <f>IF('Índice IFRS 16 | Index IFRS 16'!$K$6="Português",AD$1,SUBSTITUTE(AD$1,"T","Q"))</f>
        <v>1Q24</v>
      </c>
      <c r="AE7" s="42" t="str">
        <f>IF('Índice IFRS 16 | Index IFRS 16'!$K$6="Português",AE$1,SUBSTITUTE(AE$1,"T","Q"))</f>
        <v>2Q24</v>
      </c>
      <c r="AF7" s="42" t="str">
        <f>IF('Índice IFRS 16 | Index IFRS 16'!$K$6="Português",AF$1,SUBSTITUTE(AF$1,"T","Q"))</f>
        <v>3Q24</v>
      </c>
      <c r="AG7" s="42" t="str">
        <f>IF('Índice IFRS 16 | Index IFRS 16'!$K$6="Português",AG$1,SUBSTITUTE(AG$1,"T","Q"))</f>
        <v>4Q24</v>
      </c>
      <c r="AH7" s="42" t="str">
        <f>IF('Índice IFRS 16 | Index IFRS 16'!$K$6="Português",AH$1,SUBSTITUTE(AH$1,"T","Q"))</f>
        <v>1Q25</v>
      </c>
      <c r="AI7" s="42" t="str">
        <f>IF('Índice IFRS 16 | Index IFRS 16'!$K$6="Português",AI$1,SUBSTITUTE(AI$1,"T","Q"))</f>
        <v>2Q25</v>
      </c>
    </row>
    <row r="8" spans="1:35" ht="6.75" customHeight="1">
      <c r="D8" s="18"/>
      <c r="E8" s="19"/>
      <c r="F8" s="19"/>
      <c r="G8" s="19"/>
      <c r="H8" s="19"/>
      <c r="I8" s="19"/>
      <c r="J8" s="2"/>
      <c r="K8" s="2"/>
      <c r="L8" s="2"/>
      <c r="M8" s="2"/>
      <c r="N8" s="2"/>
      <c r="O8" s="2"/>
      <c r="P8" s="2"/>
      <c r="Q8" s="2"/>
      <c r="R8" s="2"/>
    </row>
    <row r="9" spans="1:35" s="2" customFormat="1" ht="12" customHeight="1">
      <c r="A9" s="4"/>
      <c r="B9" s="4" t="s">
        <v>204</v>
      </c>
      <c r="C9" s="4" t="s">
        <v>56</v>
      </c>
      <c r="D9" s="18" t="str">
        <f>IF('Índice IFRS 16 | Index IFRS 16'!$K$6="Português",$C9,$B9)</f>
        <v>Assets</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row>
    <row r="10" spans="1:35" s="2" customFormat="1" ht="12" customHeight="1">
      <c r="A10" s="4"/>
      <c r="B10" s="4" t="s">
        <v>205</v>
      </c>
      <c r="C10" s="4" t="s">
        <v>57</v>
      </c>
      <c r="D10" s="22" t="str">
        <f>IF('Índice IFRS 16 | Index IFRS 16'!$K$6="Português",$C10,$B10)</f>
        <v>Current assets</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row>
    <row r="11" spans="1:35" s="2" customFormat="1" ht="12" customHeight="1">
      <c r="A11" s="4"/>
      <c r="B11" s="4" t="s">
        <v>206</v>
      </c>
      <c r="C11" s="4" t="s">
        <v>58</v>
      </c>
      <c r="D11" s="65" t="str">
        <f>IF('Índice IFRS 16 | Index IFRS 16'!$K$6="Português",$C11,$B11)</f>
        <v xml:space="preserve">  Cash and cash equivalents </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row>
    <row r="12" spans="1:35" s="2" customFormat="1" ht="12" customHeight="1">
      <c r="A12" s="4"/>
      <c r="B12" s="4" t="s">
        <v>207</v>
      </c>
      <c r="C12" s="4" t="s">
        <v>59</v>
      </c>
      <c r="D12" s="65" t="str">
        <f>IF('Índice IFRS 16 | Index IFRS 16'!$K$6="Português",$C12,$B12)</f>
        <v xml:space="preserve">  Short-term investments </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row>
    <row r="13" spans="1:35" s="2" customFormat="1" ht="12" customHeight="1">
      <c r="A13" s="4"/>
      <c r="B13" s="4" t="s">
        <v>208</v>
      </c>
      <c r="C13" s="4" t="s">
        <v>60</v>
      </c>
      <c r="D13" s="65" t="str">
        <f>IF('Índice IFRS 16 | Index IFRS 16'!$K$6="Português",$C13,$B13)</f>
        <v xml:space="preserve">  Restricted investments </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row>
    <row r="14" spans="1:35" s="2" customFormat="1" ht="12" customHeight="1">
      <c r="A14" s="4"/>
      <c r="B14" s="4" t="s">
        <v>209</v>
      </c>
      <c r="C14" s="4" t="s">
        <v>61</v>
      </c>
      <c r="D14" s="65" t="str">
        <f>IF('Índice IFRS 16 | Index IFRS 16'!$K$6="Português",$C14,$B14)</f>
        <v xml:space="preserve">  Trade and other receivables </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row>
    <row r="15" spans="1:35" s="2" customFormat="1" ht="12" customHeight="1">
      <c r="A15" s="4"/>
      <c r="B15" s="4" t="s">
        <v>210</v>
      </c>
      <c r="C15" s="4" t="s">
        <v>110</v>
      </c>
      <c r="D15" s="65" t="str">
        <f>IF('Índice IFRS 16 | Index IFRS 16'!$K$6="Português",$C15,$B15)</f>
        <v>Sublease receivables</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row>
    <row r="16" spans="1:35" s="2" customFormat="1" ht="12" customHeight="1">
      <c r="A16" s="4"/>
      <c r="B16" s="4" t="s">
        <v>211</v>
      </c>
      <c r="C16" s="4" t="s">
        <v>62</v>
      </c>
      <c r="D16" s="65" t="str">
        <f>IF('Índice IFRS 16 | Index IFRS 16'!$K$6="Português",$C16,$B16)</f>
        <v xml:space="preserve">  Inventories </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row>
    <row r="17" spans="1:35" s="2" customFormat="1" ht="12" customHeight="1">
      <c r="A17" s="4"/>
      <c r="B17" s="4" t="s">
        <v>212</v>
      </c>
      <c r="C17" s="4" t="s">
        <v>70</v>
      </c>
      <c r="D17" s="65" t="str">
        <f>IF('Índice IFRS 16 | Index IFRS 16'!$K$6="Português",$C17,$B17)</f>
        <v xml:space="preserve">  Security deposits and maintenance reserves</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row>
    <row r="18" spans="1:35" s="2" customFormat="1" ht="12" customHeight="1">
      <c r="A18" s="4"/>
      <c r="B18" s="4" t="s">
        <v>213</v>
      </c>
      <c r="C18" s="4" t="s">
        <v>102</v>
      </c>
      <c r="D18" s="65" t="str">
        <f>IF('Índice IFRS 16 | Index IFRS 16'!$K$6="Português",$C18,$B18)</f>
        <v xml:space="preserve">  Assets held for sale</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row>
    <row r="19" spans="1:35" s="2" customFormat="1" ht="12" customHeight="1">
      <c r="A19" s="4"/>
      <c r="B19" s="4" t="s">
        <v>214</v>
      </c>
      <c r="C19" s="4" t="s">
        <v>63</v>
      </c>
      <c r="D19" s="65" t="str">
        <f>IF('Índice IFRS 16 | Index IFRS 16'!$K$6="Português",$C19,$B19)</f>
        <v xml:space="preserve">  Taxes recoverable</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row>
    <row r="20" spans="1:35" s="2" customFormat="1" ht="12" customHeight="1">
      <c r="A20" s="4"/>
      <c r="B20" s="4" t="s">
        <v>215</v>
      </c>
      <c r="C20" s="4" t="s">
        <v>64</v>
      </c>
      <c r="D20" s="65" t="str">
        <f>IF('Índice IFRS 16 | Index IFRS 16'!$K$6="Português",$C20,$B20)</f>
        <v xml:space="preserve">  Derivative financial instruments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row>
    <row r="21" spans="1:35" s="2" customFormat="1" ht="12" customHeight="1">
      <c r="A21" s="4"/>
      <c r="B21" s="4" t="s">
        <v>216</v>
      </c>
      <c r="C21" s="4" t="s">
        <v>65</v>
      </c>
      <c r="D21" s="65" t="str">
        <f>IF('Índice IFRS 16 | Index IFRS 16'!$K$6="Português",$C21,$B21)</f>
        <v xml:space="preserve">  Prepaid expenses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row>
    <row r="22" spans="1:35" s="2" customFormat="1" ht="12" customHeight="1">
      <c r="A22" s="4"/>
      <c r="B22" s="4" t="s">
        <v>217</v>
      </c>
      <c r="C22" s="4" t="s">
        <v>66</v>
      </c>
      <c r="D22" s="66" t="str">
        <f>IF('Índice IFRS 16 | Index IFRS 16'!$K$6="Português",$C22,$B22)</f>
        <v xml:space="preserve">  Other current assets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row>
    <row r="23" spans="1:35" s="2" customFormat="1" ht="12" customHeight="1">
      <c r="A23" s="4"/>
      <c r="B23" s="4" t="s">
        <v>218</v>
      </c>
      <c r="C23" s="4" t="s">
        <v>67</v>
      </c>
      <c r="D23" s="22" t="str">
        <f>IF('Índice IFRS 16 | Index IFRS 16'!$K$6="Português",$C23,$B23)</f>
        <v>Non-current assets</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row>
    <row r="24" spans="1:35" s="2" customFormat="1" ht="12" customHeight="1">
      <c r="A24" s="4"/>
      <c r="B24" s="4" t="s">
        <v>219</v>
      </c>
      <c r="C24" s="4" t="s">
        <v>69</v>
      </c>
      <c r="D24" s="65" t="str">
        <f>IF('Índice IFRS 16 | Index IFRS 16'!$K$6="Português",$C24,$B24)</f>
        <v xml:space="preserve">  Long-term investments</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row>
    <row r="25" spans="1:35" s="2" customFormat="1" ht="12" customHeight="1">
      <c r="A25" s="4"/>
      <c r="B25" s="4" t="s">
        <v>210</v>
      </c>
      <c r="C25" s="4" t="s">
        <v>110</v>
      </c>
      <c r="D25" s="65" t="str">
        <f>IF('Índice IFRS 16 | Index IFRS 16'!$K$6="Português",$C25,$B25)</f>
        <v>Sublease receivables</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row>
    <row r="26" spans="1:35" s="2" customFormat="1" ht="12" customHeight="1">
      <c r="A26" s="4"/>
      <c r="B26" s="4" t="s">
        <v>220</v>
      </c>
      <c r="C26" s="4" t="s">
        <v>70</v>
      </c>
      <c r="D26" s="65" t="str">
        <f>IF('Índice IFRS 16 | Index IFRS 16'!$K$6="Português",$C26,$B26)</f>
        <v xml:space="preserve">  Security deposits and maintenance reserves </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row>
    <row r="27" spans="1:35" s="2" customFormat="1" ht="12" customHeight="1">
      <c r="A27" s="4"/>
      <c r="B27" s="4" t="s">
        <v>215</v>
      </c>
      <c r="C27" s="4" t="s">
        <v>64</v>
      </c>
      <c r="D27" s="65" t="str">
        <f>IF('Índice IFRS 16 | Index IFRS 16'!$K$6="Português",$C27,$B27)</f>
        <v xml:space="preserve">  Derivative financial instruments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row>
    <row r="28" spans="1:35" s="2" customFormat="1" ht="12" customHeight="1">
      <c r="A28" s="4"/>
      <c r="B28" s="4" t="s">
        <v>221</v>
      </c>
      <c r="C28" s="4" t="s">
        <v>65</v>
      </c>
      <c r="D28" s="65" t="str">
        <f>IF('Índice IFRS 16 | Index IFRS 16'!$K$6="Português",$C28,$B28)</f>
        <v xml:space="preserve">  Prepaid expenses </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row>
    <row r="29" spans="1:35" s="2" customFormat="1" ht="12" customHeight="1">
      <c r="A29" s="4"/>
      <c r="B29" s="4" t="s">
        <v>214</v>
      </c>
      <c r="C29" s="4" t="s">
        <v>116</v>
      </c>
      <c r="D29" s="65" t="str">
        <f>IF('Índice IFRS 16 | Index IFRS 16'!$K$6="Português",$C29,$B29)</f>
        <v xml:space="preserve">  Taxes recoverable</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row>
    <row r="30" spans="1:35" s="2" customFormat="1" ht="12" customHeight="1">
      <c r="A30" s="4"/>
      <c r="B30" s="4" t="s">
        <v>222</v>
      </c>
      <c r="C30" s="4" t="s">
        <v>130</v>
      </c>
      <c r="D30" s="65" t="str">
        <f>IF('Índice IFRS 16 | Index IFRS 16'!$K$6="Português",$C30,$B30)</f>
        <v xml:space="preserve">  Deferred income taxes</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row>
    <row r="31" spans="1:35" s="2" customFormat="1" ht="12" customHeight="1">
      <c r="A31" s="5"/>
      <c r="B31" s="5" t="s">
        <v>223</v>
      </c>
      <c r="C31" s="5" t="s">
        <v>66</v>
      </c>
      <c r="D31" s="65" t="str">
        <f>IF('Índice IFRS 16 | Index IFRS 16'!$K$6="Português",$C31,$B31)</f>
        <v xml:space="preserve">  Other non-current assets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row>
    <row r="32" spans="1:35" s="2" customFormat="1" ht="12" customHeight="1">
      <c r="A32" s="5"/>
      <c r="B32" s="5" t="s">
        <v>224</v>
      </c>
      <c r="C32" s="5" t="s">
        <v>111</v>
      </c>
      <c r="D32" s="65" t="str">
        <f>IF('Índice IFRS 16 | Index IFRS 16'!$K$6="Português",$C32,$B32)</f>
        <v>Right of use assets - leased aircraft and other assets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row>
    <row r="33" spans="1:38" s="2" customFormat="1" ht="12" customHeight="1">
      <c r="A33" s="5"/>
      <c r="B33" s="5" t="s">
        <v>225</v>
      </c>
      <c r="C33" s="5" t="s">
        <v>112</v>
      </c>
      <c r="D33" s="65" t="str">
        <f>IF('Índice IFRS 16 | Index IFRS 16'!$K$6="Português",$C33,$B33)</f>
        <v>Right of use assets - maintenance of leased aircraft</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row>
    <row r="34" spans="1:38" s="2" customFormat="1" ht="12" customHeight="1">
      <c r="A34" s="5"/>
      <c r="B34" s="5" t="s">
        <v>226</v>
      </c>
      <c r="C34" s="5" t="s">
        <v>71</v>
      </c>
      <c r="D34" s="65" t="str">
        <f>IF('Índice IFRS 16 | Index IFRS 16'!$K$6="Português",$C34,$B34)</f>
        <v xml:space="preserve">  Property and equipment </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row>
    <row r="35" spans="1:38" s="2" customFormat="1" ht="12" customHeight="1" thickBot="1">
      <c r="A35" s="5"/>
      <c r="B35" s="5" t="s">
        <v>227</v>
      </c>
      <c r="C35" s="5" t="s">
        <v>72</v>
      </c>
      <c r="D35" s="69" t="str">
        <f>IF('Índice IFRS 16 | Index IFRS 16'!$K$6="Português",$C35,$B35)</f>
        <v xml:space="preserve">  Intangible assets </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row>
    <row r="36" spans="1:38" s="2" customFormat="1" ht="12" customHeight="1">
      <c r="A36" s="5"/>
      <c r="B36" s="5" t="s">
        <v>228</v>
      </c>
      <c r="C36" s="5" t="s">
        <v>73</v>
      </c>
      <c r="D36" s="22" t="str">
        <f>IF('Índice IFRS 16 | Index IFRS 16'!$K$6="Português",$C36,$B36)</f>
        <v>Liabilities and equity</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row>
    <row r="37" spans="1:38" s="2" customFormat="1" ht="12" customHeight="1">
      <c r="A37" s="5"/>
      <c r="B37" s="5" t="s">
        <v>229</v>
      </c>
      <c r="C37" s="5" t="s">
        <v>74</v>
      </c>
      <c r="D37" s="22" t="str">
        <f>IF('Índice IFRS 16 | Index IFRS 16'!$K$6="Português",$C37,$B37)</f>
        <v>Current liabilities</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234"/>
      <c r="AK37" s="234"/>
      <c r="AL37" s="234"/>
    </row>
    <row r="38" spans="1:38">
      <c r="B38" t="s">
        <v>230</v>
      </c>
      <c r="C38" t="s">
        <v>75</v>
      </c>
      <c r="D38" s="65" t="str">
        <f>IF('Índice IFRS 16 | Index IFRS 16'!$K$6="Português",$C38,$B38)</f>
        <v xml:space="preserve">  Loans and financing</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234"/>
      <c r="AK38" s="234"/>
    </row>
    <row r="39" spans="1:38">
      <c r="B39" t="s">
        <v>591</v>
      </c>
      <c r="C39" t="s">
        <v>589</v>
      </c>
      <c r="D39" s="65" t="str">
        <f>IF('Índice IFRS 16 | Index IFRS 16'!$K$6="Português",$C39,$B39)</f>
        <v xml:space="preserve">  Convertible instruments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row>
    <row r="40" spans="1:38">
      <c r="B40" t="s">
        <v>598</v>
      </c>
      <c r="C40" t="s">
        <v>595</v>
      </c>
      <c r="D40" s="65" t="str">
        <f>IF('Índice IFRS 16 | Index IFRS 16'!$K$6="Português",$C40,$B40)</f>
        <v xml:space="preserve">  Leases</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row>
    <row r="41" spans="1:38">
      <c r="B41" t="s">
        <v>613</v>
      </c>
      <c r="C41" t="s">
        <v>596</v>
      </c>
      <c r="D41" s="65" t="str">
        <f>IF('Índice IFRS 16 | Index IFRS 16'!$K$6="Português",$C41,$B41)</f>
        <v xml:space="preserve">  Lease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row>
    <row r="42" spans="1:38">
      <c r="B42" t="s">
        <v>614</v>
      </c>
      <c r="C42" t="s">
        <v>597</v>
      </c>
      <c r="D42" s="65" t="str">
        <f>IF('Índice IFRS 16 | Index IFRS 16'!$K$6="Português",$C42,$B42)</f>
        <v xml:space="preserve">  Lease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row>
    <row r="43" spans="1:38">
      <c r="B43" t="s">
        <v>231</v>
      </c>
      <c r="C43" t="s">
        <v>76</v>
      </c>
      <c r="D43" s="65" t="str">
        <f>IF('Índice IFRS 16 | Index IFRS 16'!$K$6="Português",$C43,$B43)</f>
        <v xml:space="preserve">  Accounts payable</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row>
    <row r="44" spans="1:38">
      <c r="B44" t="s">
        <v>636</v>
      </c>
      <c r="C44" t="s">
        <v>637</v>
      </c>
      <c r="D44" s="65" t="str">
        <f>IF('Índice IFRS 16 | Index IFRS 16'!$K$6="Português",$C44,$B44)</f>
        <v xml:space="preserve"> Airport Fees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row>
    <row r="45" spans="1:38">
      <c r="B45" t="s">
        <v>232</v>
      </c>
      <c r="C45" t="s">
        <v>77</v>
      </c>
      <c r="D45" s="65" t="str">
        <f>IF('Índice IFRS 16 | Index IFRS 16'!$K$6="Português",$C45,$B45)</f>
        <v xml:space="preserve">  Air traffic liability </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row>
    <row r="46" spans="1:38">
      <c r="B46" t="s">
        <v>233</v>
      </c>
      <c r="C46" t="s">
        <v>78</v>
      </c>
      <c r="D46" s="65" t="str">
        <f>IF('Índice IFRS 16 | Index IFRS 16'!$K$6="Português",$C46,$B46)</f>
        <v xml:space="preserve">  Salaries, wages and benefits </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row>
    <row r="47" spans="1:38">
      <c r="B47" t="s">
        <v>234</v>
      </c>
      <c r="C47" t="s">
        <v>79</v>
      </c>
      <c r="D47" s="65" t="str">
        <f>IF('Índice IFRS 16 | Index IFRS 16'!$K$6="Português",$C47,$B47)</f>
        <v xml:space="preserve">  Insurance premiums payable</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row>
    <row r="48" spans="1:38">
      <c r="B48" t="s">
        <v>235</v>
      </c>
      <c r="C48" t="s">
        <v>80</v>
      </c>
      <c r="D48" s="65" t="str">
        <f>IF('Índice IFRS 16 | Index IFRS 16'!$K$6="Português",$C48,$B48)</f>
        <v xml:space="preserve">  Taxes payable</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row>
    <row r="49" spans="2:35">
      <c r="B49" t="s">
        <v>236</v>
      </c>
      <c r="C49" t="s">
        <v>81</v>
      </c>
      <c r="D49" s="65" t="str">
        <f>IF('Índice IFRS 16 | Index IFRS 16'!$K$6="Português",$C49,$B49)</f>
        <v xml:space="preserve">  Federal tax installment payment program</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row>
    <row r="50" spans="2:35">
      <c r="B50" t="s">
        <v>215</v>
      </c>
      <c r="C50" t="s">
        <v>64</v>
      </c>
      <c r="D50" s="65" t="str">
        <f>IF('Índice IFRS 16 | Index IFRS 16'!$K$6="Português",$C50,$B50)</f>
        <v xml:space="preserve">  Derivative financial instruments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row>
    <row r="51" spans="2:35">
      <c r="B51" t="s">
        <v>237</v>
      </c>
      <c r="C51" t="s">
        <v>150</v>
      </c>
      <c r="D51" s="65" t="str">
        <f>IF('Índice IFRS 16 | Index IFRS 16'!$K$6="Português",$C51,$B51)</f>
        <v xml:space="preserve">  Reimbursement to clients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row>
    <row r="52" spans="2:35">
      <c r="B52" t="s">
        <v>238</v>
      </c>
      <c r="C52" t="s">
        <v>117</v>
      </c>
      <c r="D52" s="65" t="str">
        <f>IF('Índice IFRS 16 | Index IFRS 16'!$K$6="Português",$C52,$B52)</f>
        <v xml:space="preserve">  Provisions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row>
    <row r="53" spans="2:35">
      <c r="B53" t="s">
        <v>239</v>
      </c>
      <c r="C53" t="s">
        <v>83</v>
      </c>
      <c r="D53" s="66" t="str">
        <f>IF('Índice IFRS 16 | Index IFRS 16'!$K$6="Português",$C53,$B53)</f>
        <v xml:space="preserve">  Other current liabilities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row>
    <row r="54" spans="2:35">
      <c r="B54" t="s">
        <v>240</v>
      </c>
      <c r="C54" t="s">
        <v>84</v>
      </c>
      <c r="D54" s="22" t="str">
        <f>IF('Índice IFRS 16 | Index IFRS 16'!$K$6="Português",$C54,$B54)</f>
        <v>Non-current liabilities</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row>
    <row r="55" spans="2:35">
      <c r="B55" t="s">
        <v>241</v>
      </c>
      <c r="C55" t="s">
        <v>75</v>
      </c>
      <c r="D55" s="65" t="str">
        <f>IF('Índice IFRS 16 | Index IFRS 16'!$K$6="Português",$C55,$B55)</f>
        <v>Loans and financing</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row>
    <row r="56" spans="2:35">
      <c r="B56" t="s">
        <v>590</v>
      </c>
      <c r="C56" t="s">
        <v>589</v>
      </c>
      <c r="D56" s="65" t="str">
        <f>IF('Índice IFRS 16 | Index IFRS 16'!$K$6="Português",$C56,$B56)</f>
        <v>Convertible instruments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row>
    <row r="57" spans="2:35">
      <c r="B57" t="s">
        <v>615</v>
      </c>
      <c r="C57" t="s">
        <v>595</v>
      </c>
      <c r="D57" s="65" t="str">
        <f>IF('Índice IFRS 16 | Index IFRS 16'!$K$6="Português",$C57,$B57)</f>
        <v>Leases</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row>
    <row r="58" spans="2:35">
      <c r="B58" t="s">
        <v>599</v>
      </c>
      <c r="C58" t="s">
        <v>596</v>
      </c>
      <c r="D58" s="65" t="str">
        <f>IF('Índice IFRS 16 | Index IFRS 16'!$K$6="Português",$C58,$B58)</f>
        <v>Lease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row>
    <row r="59" spans="2:35">
      <c r="B59" t="s">
        <v>600</v>
      </c>
      <c r="C59" t="s">
        <v>597</v>
      </c>
      <c r="D59" s="65" t="str">
        <f>IF('Índice IFRS 16 | Index IFRS 16'!$K$6="Português",$C59,$B59)</f>
        <v>Lease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row>
    <row r="60" spans="2:35">
      <c r="B60" t="s">
        <v>635</v>
      </c>
      <c r="C60" t="s">
        <v>638</v>
      </c>
      <c r="D60" s="65" t="str">
        <f>IF('Índice IFRS 16 | Index IFRS 16'!$K$6="Português",$C60,$B60)</f>
        <v>Airport Fees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row>
    <row r="61" spans="2:35">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row>
    <row r="62" spans="2:35">
      <c r="B62" t="s">
        <v>242</v>
      </c>
      <c r="C62" t="s">
        <v>150</v>
      </c>
      <c r="D62" s="65" t="str">
        <f>IF('Índice IFRS 16 | Index IFRS 16'!$K$6="Português",$C62,$B62)</f>
        <v>Reimbursement to clients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row>
    <row r="63" spans="2:35">
      <c r="B63" t="s">
        <v>243</v>
      </c>
      <c r="C63" t="s">
        <v>64</v>
      </c>
      <c r="D63" s="65" t="str">
        <f>IF('Índice IFRS 16 | Index IFRS 16'!$K$6="Português",$C63,$B63)</f>
        <v>Derivative financial instruments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row>
    <row r="64" spans="2:35">
      <c r="B64" t="s">
        <v>244</v>
      </c>
      <c r="C64" t="s">
        <v>85</v>
      </c>
      <c r="D64" s="65" t="str">
        <f>IF('Índice IFRS 16 | Index IFRS 16'!$K$6="Português",$C64,$B64)</f>
        <v>Deferred income taxes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row>
    <row r="65" spans="2:35">
      <c r="B65" t="s">
        <v>245</v>
      </c>
      <c r="C65" t="s">
        <v>81</v>
      </c>
      <c r="D65" s="65" t="str">
        <f>IF('Índice IFRS 16 | Index IFRS 16'!$K$6="Português",$C65,$B65)</f>
        <v>Federal tax installment payment program</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row>
    <row r="66" spans="2:35">
      <c r="B66" t="s">
        <v>246</v>
      </c>
      <c r="C66" t="s">
        <v>117</v>
      </c>
      <c r="D66" s="65" t="str">
        <f>IF('Índice IFRS 16 | Index IFRS 16'!$K$6="Português",$C66,$B66)</f>
        <v>Provision</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row>
    <row r="67" spans="2:35">
      <c r="B67" t="s">
        <v>247</v>
      </c>
      <c r="C67" t="s">
        <v>88</v>
      </c>
      <c r="D67" s="66" t="str">
        <f>IF('Índice IFRS 16 | Index IFRS 16'!$K$6="Português",$C67,$B67)</f>
        <v>Other non-current liabilities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row>
    <row r="68" spans="2:35">
      <c r="B68" t="s">
        <v>248</v>
      </c>
      <c r="C68" t="s">
        <v>89</v>
      </c>
      <c r="D68" s="22" t="str">
        <f>IF('Índice IFRS 16 | Index IFRS 16'!$K$6="Português",$C68,$B68)</f>
        <v>Equity</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row>
    <row r="69" spans="2:35">
      <c r="B69" t="s">
        <v>249</v>
      </c>
      <c r="C69" t="s">
        <v>90</v>
      </c>
      <c r="D69" s="65" t="str">
        <f>IF('Índice IFRS 16 | Index IFRS 16'!$K$6="Português",$C69,$B69)</f>
        <v xml:space="preserve"> Issued capital </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row>
    <row r="70" spans="2:35">
      <c r="B70" t="s">
        <v>250</v>
      </c>
      <c r="C70" t="s">
        <v>152</v>
      </c>
      <c r="D70" s="65" t="str">
        <f>IF('Índice IFRS 16 | Index IFRS 16'!$K$6="Português",$C70,$B70)</f>
        <v>Advance for future capital increase</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row>
    <row r="71" spans="2:35">
      <c r="B71" t="s">
        <v>251</v>
      </c>
      <c r="C71" t="s">
        <v>91</v>
      </c>
      <c r="D71" s="65" t="str">
        <f>IF('Índice IFRS 16 | Index IFRS 16'!$K$6="Português",$C71,$B71)</f>
        <v xml:space="preserve"> Capital reserve </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row>
    <row r="72" spans="2:35">
      <c r="B72" t="s">
        <v>252</v>
      </c>
      <c r="C72" t="s">
        <v>97</v>
      </c>
      <c r="D72" s="65" t="str">
        <f>IF('Índice IFRS 16 | Index IFRS 16'!$K$6="Português",$C72,$B72)</f>
        <v xml:space="preserve"> Treasury shares</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row>
    <row r="73" spans="2:35">
      <c r="B73" t="s">
        <v>253</v>
      </c>
      <c r="C73" t="s">
        <v>92</v>
      </c>
      <c r="D73" s="65" t="str">
        <f>IF('Índice IFRS 16 | Index IFRS 16'!$K$6="Português",$C73,$B73)</f>
        <v xml:space="preserve"> Accumulated other comprehensive income (loss) </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row>
    <row r="74" spans="2:35" ht="15.75" thickBot="1">
      <c r="B74" t="s">
        <v>254</v>
      </c>
      <c r="C74" t="s">
        <v>93</v>
      </c>
      <c r="D74" s="69" t="str">
        <f>IF('Índice IFRS 16 | Index IFRS 16'!$K$6="Português",$C74,$B74)</f>
        <v xml:space="preserve"> Accumulated losses</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U72"/>
  <sheetViews>
    <sheetView showGridLines="0" zoomScaleNormal="100" workbookViewId="0">
      <pane xSplit="4" ySplit="7" topLeftCell="AD8" activePane="bottomRight" state="frozen"/>
      <selection activeCell="F2" sqref="F2"/>
      <selection pane="topRight" activeCell="F2" sqref="F2"/>
      <selection pane="bottomLeft" activeCell="F2" sqref="F2"/>
      <selection pane="bottomRight" activeCell="A2" sqref="A2"/>
    </sheetView>
  </sheetViews>
  <sheetFormatPr defaultRowHeight="15"/>
  <cols>
    <col min="1" max="1" width="3.5703125" customWidth="1"/>
    <col min="2" max="3" width="4.140625" style="5" customWidth="1"/>
    <col min="4" max="4" width="42.42578125" customWidth="1"/>
    <col min="5" max="10" width="10.42578125" bestFit="1" customWidth="1"/>
    <col min="11" max="17" width="10.42578125" customWidth="1"/>
    <col min="18" max="22" width="12.7109375" style="2" customWidth="1"/>
    <col min="23" max="34" width="11.42578125" customWidth="1"/>
    <col min="36" max="43" width="11.5703125" customWidth="1"/>
  </cols>
  <sheetData>
    <row r="1" spans="1:47"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c r="AJ1" s="169" t="s">
        <v>118</v>
      </c>
      <c r="AK1" s="169" t="s">
        <v>114</v>
      </c>
      <c r="AL1" s="169" t="s">
        <v>126</v>
      </c>
      <c r="AM1" s="134" t="s">
        <v>323</v>
      </c>
      <c r="AN1" s="134" t="s">
        <v>577</v>
      </c>
      <c r="AO1" s="134" t="s">
        <v>578</v>
      </c>
      <c r="AP1" s="134" t="s">
        <v>605</v>
      </c>
      <c r="AQ1" s="134" t="s">
        <v>618</v>
      </c>
    </row>
    <row r="2" spans="1:47" ht="21" customHeight="1">
      <c r="AF2" s="255"/>
      <c r="AG2" s="255"/>
      <c r="AH2" s="255"/>
      <c r="AM2" s="135"/>
    </row>
    <row r="3" spans="1:47">
      <c r="AK3" s="140"/>
      <c r="AL3" s="140"/>
      <c r="AM3" s="140"/>
      <c r="AN3" s="140"/>
      <c r="AO3" s="140"/>
      <c r="AP3" s="140"/>
      <c r="AQ3" s="140"/>
      <c r="AR3" s="139"/>
    </row>
    <row r="4" spans="1:47">
      <c r="D4" s="167" t="str">
        <f>IF('Índice IFRS 16 | Index IFRS 16'!$K$6="Português","Menu","Home")</f>
        <v>Home</v>
      </c>
      <c r="P4" s="141"/>
      <c r="Q4" s="141"/>
      <c r="R4" s="142"/>
      <c r="T4" s="144"/>
      <c r="U4" s="144"/>
      <c r="V4" s="144"/>
      <c r="W4" s="145"/>
      <c r="X4" s="145"/>
      <c r="Y4" s="145"/>
      <c r="Z4" s="145"/>
      <c r="AA4" s="145"/>
      <c r="AB4" s="145"/>
      <c r="AC4" s="145"/>
      <c r="AD4" s="145"/>
      <c r="AE4" s="145"/>
      <c r="AF4" s="145"/>
      <c r="AG4" s="145"/>
      <c r="AH4" s="145"/>
      <c r="AI4" s="145"/>
      <c r="AJ4" s="143"/>
      <c r="AK4" s="143"/>
      <c r="AL4" s="143"/>
      <c r="AM4" s="143"/>
      <c r="AN4" s="143"/>
      <c r="AO4" s="143"/>
      <c r="AP4" s="143"/>
      <c r="AQ4" s="143"/>
      <c r="AR4" s="143"/>
      <c r="AS4" s="141"/>
      <c r="AT4" s="141"/>
      <c r="AU4" s="141"/>
    </row>
    <row r="5" spans="1:47">
      <c r="AJ5" s="139"/>
      <c r="AK5" s="139"/>
      <c r="AL5" s="139"/>
      <c r="AM5" s="139"/>
      <c r="AN5" s="139"/>
      <c r="AO5" s="139"/>
      <c r="AP5" s="139"/>
      <c r="AQ5" s="139"/>
      <c r="AR5" s="139"/>
    </row>
    <row r="6" spans="1:47" s="2" customFormat="1">
      <c r="A6" s="5"/>
      <c r="B6" s="5" t="s">
        <v>157</v>
      </c>
      <c r="C6" s="5" t="s">
        <v>44</v>
      </c>
      <c r="D6" s="56" t="str">
        <f>IF('Índice IFRS 16 | Index IFRS 16'!$K$6="Português",$C6,$B6)</f>
        <v>Income statement</v>
      </c>
      <c r="E6" s="9"/>
      <c r="F6" s="9"/>
      <c r="R6" s="9"/>
      <c r="S6" s="9"/>
      <c r="T6" s="9"/>
      <c r="U6" s="9"/>
      <c r="V6" s="9"/>
      <c r="X6"/>
      <c r="Y6"/>
      <c r="Z6"/>
      <c r="AA6"/>
      <c r="AB6"/>
      <c r="AC6"/>
      <c r="AD6"/>
      <c r="AE6"/>
      <c r="AF6"/>
      <c r="AG6"/>
      <c r="AH6"/>
      <c r="AJ6" s="138"/>
      <c r="AK6" s="138"/>
      <c r="AL6" s="138"/>
      <c r="AM6" s="138"/>
      <c r="AN6" s="138"/>
      <c r="AO6" s="138"/>
      <c r="AP6" s="138"/>
      <c r="AQ6" s="138"/>
      <c r="AR6" s="138"/>
    </row>
    <row r="7" spans="1:47" s="2" customFormat="1" ht="13.5" thickBot="1">
      <c r="A7" s="4"/>
      <c r="B7" s="4" t="s">
        <v>96</v>
      </c>
      <c r="C7" s="4" t="s">
        <v>0</v>
      </c>
      <c r="D7" s="17" t="str">
        <f>IF('Índice IFRS 16 | Index IFRS 16'!$K$6="Português",$C7,$B7)</f>
        <v xml:space="preserve"> (R$000)</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3"/>
      <c r="AJ7" s="42" t="str">
        <f>IF('Índice IFRS 16 | Index IFRS 16'!$K$6="Português",AJ$1,SUBSTITUTE(AJ$1,"T","Q"))</f>
        <v>2017</v>
      </c>
      <c r="AK7" s="42" t="str">
        <f>IF('Índice IFRS 16 | Index IFRS 16'!$K$6="Português",AK$1,SUBSTITUTE(AK$1,"T","Q"))</f>
        <v>2018¹</v>
      </c>
      <c r="AL7" s="42" t="str">
        <f>IF('Índice IFRS 16 | Index IFRS 16'!$K$6="Português",AL$1,SUBSTITUTE(AL$1,"T","Q"))</f>
        <v>2019²</v>
      </c>
      <c r="AM7" s="42" t="str">
        <f>IF('Índice IFRS 16 | Index IFRS 16'!$K$6="Português",AM$1,SUBSTITUTE(AM$1,"T","Q"))</f>
        <v>2020⁷</v>
      </c>
      <c r="AN7" s="42" t="str">
        <f>IF('Índice IFRS 16 | Index IFRS 16'!$K$6="Português",AN$1,SUBSTITUTE(AN$1,"T","Q"))</f>
        <v>2021¹⁶</v>
      </c>
      <c r="AO7" s="42" t="str">
        <f>IF('Índice IFRS 16 | Index IFRS 16'!$K$6="Português",AO$1,SUBSTITUTE(AO$1,"T","Q"))</f>
        <v>2022¹⁷</v>
      </c>
      <c r="AP7" s="42" t="str">
        <f>IF('Índice IFRS 16 | Index IFRS 16'!$K$6="Português",AP$1,SUBSTITUTE(AP$1,"T","Q"))</f>
        <v>2023²²</v>
      </c>
      <c r="AQ7" s="42" t="str">
        <f>IF('Índice IFRS 16 | Index IFRS 16'!$K$6="Português",AQ$1,SUBSTITUTE(AQ$1,"T","Q"))</f>
        <v>2024²⁴</v>
      </c>
    </row>
    <row r="8" spans="1:47"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7" s="2" customFormat="1"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47" s="2" customFormat="1" ht="12" customHeight="1">
      <c r="A10" s="4"/>
      <c r="B10" s="4" t="s">
        <v>159</v>
      </c>
      <c r="C10" s="4" t="s">
        <v>30</v>
      </c>
      <c r="D10" s="20" t="str">
        <f>IF('Índice IFRS 16 | Index IFRS 16'!$K$6="Português",$C10,$B10)</f>
        <v>Passenger revenue</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J10" s="11">
        <v>7399731</v>
      </c>
      <c r="AK10" s="11">
        <v>8670132</v>
      </c>
      <c r="AL10" s="11">
        <v>10907889</v>
      </c>
      <c r="AM10" s="11">
        <v>5088746.6092699999</v>
      </c>
      <c r="AN10" s="11">
        <v>8811044</v>
      </c>
      <c r="AO10" s="11">
        <v>14595579</v>
      </c>
      <c r="AP10" s="11">
        <v>17362895.540130001</v>
      </c>
      <c r="AQ10" s="11">
        <v>18123135</v>
      </c>
    </row>
    <row r="11" spans="1:47" s="2" customFormat="1" ht="12" customHeight="1">
      <c r="A11" s="4"/>
      <c r="B11" s="4" t="s">
        <v>160</v>
      </c>
      <c r="C11" s="4" t="s">
        <v>6</v>
      </c>
      <c r="D11" s="20" t="str">
        <f>IF('Índice IFRS 16 | Index IFRS 16'!$K$6="Português",$C11,$B11)</f>
        <v>Other revenue</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J11" s="11">
        <v>289075</v>
      </c>
      <c r="AK11" s="11">
        <v>386931.79327999998</v>
      </c>
      <c r="AL11" s="11">
        <v>534428</v>
      </c>
      <c r="AM11" s="11">
        <v>704519</v>
      </c>
      <c r="AN11" s="11">
        <v>1164685</v>
      </c>
      <c r="AO11" s="11">
        <v>1352488</v>
      </c>
      <c r="AP11" s="11">
        <v>1331680.6332399999</v>
      </c>
      <c r="AQ11" s="11">
        <v>1403073.39595</v>
      </c>
    </row>
    <row r="12" spans="1:47" s="2" customFormat="1" ht="12" customHeight="1">
      <c r="A12" s="4"/>
      <c r="B12" s="4" t="s">
        <v>161</v>
      </c>
      <c r="C12" s="4" t="s">
        <v>31</v>
      </c>
      <c r="D12" s="57" t="str">
        <f>IF('Índice IFRS 16 | Index IFRS 16'!$K$6="Português",$C12,$B12)</f>
        <v xml:space="preserve">Total Operating revenue </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J12" s="36">
        <v>7688806</v>
      </c>
      <c r="AK12" s="36">
        <v>9057063.7932799999</v>
      </c>
      <c r="AL12" s="36">
        <v>11442317</v>
      </c>
      <c r="AM12" s="36">
        <v>5793265.6092699999</v>
      </c>
      <c r="AN12" s="36">
        <v>9975729</v>
      </c>
      <c r="AO12" s="36">
        <v>15948067</v>
      </c>
      <c r="AP12" s="36">
        <v>18694576.17337</v>
      </c>
      <c r="AQ12" s="36">
        <v>19526208.395950001</v>
      </c>
    </row>
    <row r="13" spans="1:47" s="2" customFormat="1" ht="7.5" customHeight="1">
      <c r="A13" s="4"/>
      <c r="B13" s="4"/>
      <c r="C13" s="4"/>
      <c r="D13" s="22"/>
    </row>
    <row r="14" spans="1:47" s="2" customFormat="1" ht="12" customHeight="1">
      <c r="A14" s="4"/>
      <c r="B14" s="5" t="s">
        <v>162</v>
      </c>
      <c r="C14" s="5" t="s">
        <v>33</v>
      </c>
      <c r="D14" s="18" t="str">
        <f>IF('Índice IFRS 16 | Index IFRS 16'!$K$6="Português",$C14,$B14)</f>
        <v>Operating expenses</v>
      </c>
      <c r="AJ14" s="79"/>
      <c r="AK14" s="79"/>
      <c r="AL14" s="79"/>
      <c r="AM14" s="79"/>
      <c r="AN14" s="79"/>
      <c r="AO14" s="79"/>
      <c r="AP14" s="79"/>
      <c r="AQ14" s="79"/>
    </row>
    <row r="15" spans="1:47" s="2" customFormat="1" ht="12" customHeight="1">
      <c r="A15" s="4"/>
      <c r="B15" s="4" t="s">
        <v>163</v>
      </c>
      <c r="C15" s="4" t="s">
        <v>1</v>
      </c>
      <c r="D15" s="20" t="str">
        <f>IF('Índice IFRS 16 | Index IFRS 16'!$K$6="Português",$C15,$B15)</f>
        <v>Aircraft fuel</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J15" s="32">
        <v>-1848195</v>
      </c>
      <c r="AK15" s="32">
        <v>-2644261</v>
      </c>
      <c r="AL15" s="32">
        <v>-3085603</v>
      </c>
      <c r="AM15" s="32">
        <v>-1508750</v>
      </c>
      <c r="AN15" s="32">
        <v>-3257223</v>
      </c>
      <c r="AO15" s="32">
        <v>-6561288</v>
      </c>
      <c r="AP15" s="32">
        <v>-5890485</v>
      </c>
      <c r="AQ15" s="32">
        <v>-5583503</v>
      </c>
    </row>
    <row r="16" spans="1:47" s="2" customFormat="1" ht="12" customHeight="1">
      <c r="A16" s="4"/>
      <c r="B16" s="4" t="s">
        <v>164</v>
      </c>
      <c r="C16" s="4" t="s">
        <v>34</v>
      </c>
      <c r="D16" s="20" t="str">
        <f>IF('Índice IFRS 16 | Index IFRS 16'!$K$6="Português",$C16,$B16)</f>
        <v>Salaries, wages and benefits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J16" s="32">
        <v>-1296166</v>
      </c>
      <c r="AK16" s="32">
        <v>-1413017</v>
      </c>
      <c r="AL16" s="32">
        <v>-1868402</v>
      </c>
      <c r="AM16" s="32">
        <v>-1426636</v>
      </c>
      <c r="AN16" s="32">
        <v>-1748441</v>
      </c>
      <c r="AO16" s="32">
        <v>-1954568</v>
      </c>
      <c r="AP16" s="32">
        <v>-2397252.8888900001</v>
      </c>
      <c r="AQ16" s="32">
        <v>-2722872</v>
      </c>
    </row>
    <row r="17" spans="1:43" s="2" customFormat="1" ht="12" customHeight="1">
      <c r="A17" s="4"/>
      <c r="B17" s="2" t="s">
        <v>640</v>
      </c>
      <c r="C17" s="2" t="s">
        <v>641</v>
      </c>
      <c r="D17" s="20" t="str">
        <f>IF('Índice IFRS 16 | Index IFRS 16'!$K$6="Português",$C17,$B17)</f>
        <v>Other rent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0</v>
      </c>
      <c r="AF17" s="32">
        <v>0</v>
      </c>
      <c r="AG17" s="32">
        <v>0</v>
      </c>
      <c r="AH17" s="32">
        <v>-152417</v>
      </c>
      <c r="AJ17" s="32">
        <v>-35619</v>
      </c>
      <c r="AK17" s="32">
        <v>0</v>
      </c>
      <c r="AL17" s="32">
        <v>0</v>
      </c>
      <c r="AM17" s="32">
        <v>0</v>
      </c>
      <c r="AN17" s="32">
        <v>0</v>
      </c>
      <c r="AO17" s="32">
        <v>0</v>
      </c>
      <c r="AP17" s="32">
        <v>0</v>
      </c>
      <c r="AQ17" s="32">
        <v>0</v>
      </c>
    </row>
    <row r="18" spans="1:43" s="2" customFormat="1" ht="12" customHeight="1">
      <c r="A18" s="4"/>
      <c r="B18" s="4" t="s">
        <v>166</v>
      </c>
      <c r="C18" s="4" t="s">
        <v>2</v>
      </c>
      <c r="D18" s="20" t="str">
        <f>IF('Índice IFRS 16 | Index IFRS 16'!$K$6="Português",$C18,$B18)</f>
        <v>Landing fees</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J18" s="32">
        <v>-490569</v>
      </c>
      <c r="AK18" s="32">
        <v>-592100</v>
      </c>
      <c r="AL18" s="32">
        <v>-724971</v>
      </c>
      <c r="AM18" s="32">
        <v>-465606</v>
      </c>
      <c r="AN18" s="32">
        <v>-677653</v>
      </c>
      <c r="AO18" s="32">
        <v>-911246</v>
      </c>
      <c r="AP18" s="32">
        <v>-1056906.2432200001</v>
      </c>
      <c r="AQ18" s="32">
        <v>-1074818</v>
      </c>
    </row>
    <row r="19" spans="1:43" s="2" customFormat="1" ht="12" customHeight="1">
      <c r="A19" s="4"/>
      <c r="B19" s="4" t="s">
        <v>167</v>
      </c>
      <c r="C19" s="4" t="s">
        <v>36</v>
      </c>
      <c r="D19" s="20" t="str">
        <f>IF('Índice IFRS 16 | Index IFRS 16'!$K$6="Português",$C19,$B19)</f>
        <v>Traffic and customer servicing</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J19" s="32">
        <v>-357841</v>
      </c>
      <c r="AK19" s="32">
        <v>-395394</v>
      </c>
      <c r="AL19" s="32">
        <v>-476481</v>
      </c>
      <c r="AM19" s="32">
        <v>-288327</v>
      </c>
      <c r="AN19" s="32">
        <v>-389349</v>
      </c>
      <c r="AO19" s="32">
        <v>-641900</v>
      </c>
      <c r="AP19" s="32">
        <v>-807563</v>
      </c>
      <c r="AQ19" s="32">
        <v>-872481</v>
      </c>
    </row>
    <row r="20" spans="1:43" s="2" customFormat="1" ht="12" customHeight="1">
      <c r="A20" s="4"/>
      <c r="B20" s="4" t="s">
        <v>168</v>
      </c>
      <c r="C20" s="4" t="s">
        <v>169</v>
      </c>
      <c r="D20" s="20" t="str">
        <f>IF('Índice IFRS 16 | Index IFRS 16'!$K$6="Português",$C20,$B20)</f>
        <v>Sales and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J20" s="32">
        <v>-309540</v>
      </c>
      <c r="AK20" s="32">
        <v>-368663</v>
      </c>
      <c r="AL20" s="32">
        <v>-444079</v>
      </c>
      <c r="AM20" s="32">
        <v>-329829</v>
      </c>
      <c r="AN20" s="32">
        <v>-404137</v>
      </c>
      <c r="AO20" s="32">
        <v>-699003</v>
      </c>
      <c r="AP20" s="32">
        <v>-779264</v>
      </c>
      <c r="AQ20" s="32">
        <v>-889224</v>
      </c>
    </row>
    <row r="21" spans="1:43" s="2" customFormat="1" ht="12" customHeight="1">
      <c r="A21" s="4"/>
      <c r="B21" s="4" t="s">
        <v>170</v>
      </c>
      <c r="C21" s="4" t="s">
        <v>4</v>
      </c>
      <c r="D21" s="20" t="str">
        <f>IF('Índice IFRS 16 | Index IFRS 16'!$K$6="Português",$C21,$B21)</f>
        <v>Maintenance materials and repairs</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J21" s="32">
        <v>-484156</v>
      </c>
      <c r="AK21" s="32">
        <v>-238457.57485999999</v>
      </c>
      <c r="AL21" s="32">
        <v>-281560.16076</v>
      </c>
      <c r="AM21" s="32">
        <v>-449790</v>
      </c>
      <c r="AN21" s="32">
        <v>-546647</v>
      </c>
      <c r="AO21" s="32">
        <v>-592146.39812999999</v>
      </c>
      <c r="AP21" s="32">
        <v>-686199.65922666667</v>
      </c>
      <c r="AQ21" s="32">
        <v>-789222</v>
      </c>
    </row>
    <row r="22" spans="1:43" s="2" customFormat="1" ht="12" customHeight="1">
      <c r="A22" s="4"/>
      <c r="B22" s="4" t="s">
        <v>171</v>
      </c>
      <c r="C22" s="4" t="s">
        <v>5</v>
      </c>
      <c r="D22" s="20" t="str">
        <f>IF('Índice IFRS 16 | Index IFRS 16'!$K$6="Português",$C22,$B22)</f>
        <v>Depreciation and amortization</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J22" s="32">
        <v>-1060362</v>
      </c>
      <c r="AK22" s="32">
        <v>-1284050</v>
      </c>
      <c r="AL22" s="32">
        <v>-1591373.5797794599</v>
      </c>
      <c r="AM22" s="32">
        <v>-1726371.7417799996</v>
      </c>
      <c r="AN22" s="32">
        <v>-1544333</v>
      </c>
      <c r="AO22" s="32">
        <v>-2094448</v>
      </c>
      <c r="AP22" s="32">
        <v>-2314252.0646299999</v>
      </c>
      <c r="AQ22" s="32">
        <v>-2563982</v>
      </c>
    </row>
    <row r="23" spans="1:43" s="2" customFormat="1" ht="12" customHeight="1">
      <c r="A23" s="4"/>
      <c r="B23" s="4" t="s">
        <v>172</v>
      </c>
      <c r="C23" s="4" t="s">
        <v>37</v>
      </c>
      <c r="D23" s="20" t="str">
        <f>IF('Índice IFRS 16 | Index IFRS 16'!$K$6="Português",$C23,$B23)</f>
        <v>Other operating expenses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-393179</v>
      </c>
      <c r="AF23" s="32">
        <v>-461748</v>
      </c>
      <c r="AG23" s="32">
        <v>-716044</v>
      </c>
      <c r="AH23" s="32">
        <v>-651106</v>
      </c>
      <c r="AJ23" s="32">
        <v>-577205</v>
      </c>
      <c r="AK23" s="32">
        <v>-701237.82998416177</v>
      </c>
      <c r="AL23" s="32">
        <v>-938412.24058102211</v>
      </c>
      <c r="AM23" s="32">
        <v>-1059568.7085172608</v>
      </c>
      <c r="AN23" s="32">
        <v>-1360946.9889199859</v>
      </c>
      <c r="AO23" s="32">
        <v>-1357804.5508161911</v>
      </c>
      <c r="AP23" s="32">
        <v>-1862741.585579809</v>
      </c>
      <c r="AQ23" s="32">
        <v>-1522414.6402</v>
      </c>
    </row>
    <row r="24" spans="1:43" s="2" customFormat="1" ht="12" customHeight="1">
      <c r="A24" s="4"/>
      <c r="B24" s="4" t="s">
        <v>173</v>
      </c>
      <c r="C24" s="4" t="s">
        <v>38</v>
      </c>
      <c r="D24" s="57" t="str">
        <f>IF('Índice IFRS 16 | Index IFRS 16'!$K$6="Português",$C24,$B24)</f>
        <v>Total Operating expenses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J24" s="34">
        <v>-6459653</v>
      </c>
      <c r="AK24" s="34">
        <v>-7637180.4048441621</v>
      </c>
      <c r="AL24" s="34">
        <v>-9410881.9811204821</v>
      </c>
      <c r="AM24" s="34">
        <v>-7254878.4502972607</v>
      </c>
      <c r="AN24" s="34">
        <v>-9928729.9889199864</v>
      </c>
      <c r="AO24" s="34">
        <v>-14812403.948946191</v>
      </c>
      <c r="AP24" s="34">
        <v>-15794664.441546476</v>
      </c>
      <c r="AQ24" s="34">
        <v>-16018516.6402</v>
      </c>
    </row>
    <row r="25" spans="1:43" s="2" customFormat="1" ht="10.5" customHeight="1">
      <c r="A25" s="4"/>
      <c r="D25" s="22"/>
    </row>
    <row r="26" spans="1:43" s="2" customFormat="1" ht="12" customHeight="1">
      <c r="A26" s="4"/>
      <c r="B26" s="4" t="s">
        <v>174</v>
      </c>
      <c r="C26" s="4" t="s">
        <v>41</v>
      </c>
      <c r="D26" s="18" t="str">
        <f>IF('Índice IFRS 16 | Index IFRS 16'!$K$6="Português",$C26,$B26)</f>
        <v>Income (loss) for the period</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J26" s="1">
        <v>1229153</v>
      </c>
      <c r="AK26" s="1">
        <v>1419883.3884358378</v>
      </c>
      <c r="AL26" s="1">
        <v>2031435.0188795179</v>
      </c>
      <c r="AM26" s="1">
        <v>-1461612.8410272608</v>
      </c>
      <c r="AN26" s="1">
        <v>46999.011080013588</v>
      </c>
      <c r="AO26" s="1">
        <v>1135663.051053809</v>
      </c>
      <c r="AP26" s="1">
        <v>2899911.7318235245</v>
      </c>
      <c r="AQ26" s="1">
        <v>3507691.7557500005</v>
      </c>
    </row>
    <row r="27" spans="1:43" s="2" customFormat="1" ht="12" customHeight="1">
      <c r="A27" s="4"/>
      <c r="B27" s="4" t="s">
        <v>175</v>
      </c>
      <c r="C27" s="4" t="s">
        <v>7</v>
      </c>
      <c r="D27" s="10" t="str">
        <f>IF('Índice IFRS 16 | Index IFRS 16'!$K$6="Português",$C27,$B27)</f>
        <v xml:space="preserve">EBIT Margin </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J27" s="78">
        <v>0.15986266268130578</v>
      </c>
      <c r="AK27" s="78">
        <v>0.15677082781390342</v>
      </c>
      <c r="AL27" s="78">
        <v>0.17753703370388341</v>
      </c>
      <c r="AM27" s="78">
        <v>-0.25229515434066835</v>
      </c>
      <c r="AN27" s="78">
        <v>4.7113359915865382E-3</v>
      </c>
      <c r="AO27" s="78">
        <v>7.1210075243213419E-2</v>
      </c>
      <c r="AP27" s="78">
        <v>0.1551204854782631</v>
      </c>
      <c r="AQ27" s="78">
        <v>0.17964018843912077</v>
      </c>
    </row>
    <row r="28" spans="1:43"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J28" s="24"/>
      <c r="AK28" s="24"/>
      <c r="AL28" s="24"/>
      <c r="AM28" s="24"/>
      <c r="AN28" s="24"/>
      <c r="AO28" s="24"/>
      <c r="AP28" s="24"/>
      <c r="AQ28" s="24"/>
    </row>
    <row r="29" spans="1:43" s="2" customFormat="1" ht="12" customHeight="1">
      <c r="A29" s="4"/>
      <c r="B29" s="5" t="s">
        <v>633</v>
      </c>
      <c r="C29" s="5" t="s">
        <v>634</v>
      </c>
      <c r="D29" s="18" t="str">
        <f>IF('Índice IFRS 16 | Index IFRS 16'!$K$6="Português",$C29,$B29)</f>
        <v>Financial result¹³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J29" s="1"/>
      <c r="AK29" s="1"/>
      <c r="AL29" s="1"/>
      <c r="AM29" s="1"/>
      <c r="AN29" s="1"/>
      <c r="AO29" s="1"/>
      <c r="AP29" s="1"/>
      <c r="AQ29" s="1"/>
    </row>
    <row r="30" spans="1:43" s="2" customFormat="1" ht="12" customHeight="1">
      <c r="A30" s="4"/>
      <c r="B30" s="4" t="s">
        <v>177</v>
      </c>
      <c r="C30" s="4" t="s">
        <v>9</v>
      </c>
      <c r="D30" s="20" t="str">
        <f>IF('Índice IFRS 16 | Index IFRS 16'!$K$6="Português",$C30,$B30)</f>
        <v xml:space="preserve">Financial income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J30" s="11">
        <v>128272</v>
      </c>
      <c r="AK30" s="11">
        <v>74522</v>
      </c>
      <c r="AL30" s="11">
        <v>72071</v>
      </c>
      <c r="AM30" s="11">
        <v>60298</v>
      </c>
      <c r="AN30" s="11">
        <v>154280</v>
      </c>
      <c r="AO30" s="11">
        <v>277289</v>
      </c>
      <c r="AP30" s="11">
        <v>220141</v>
      </c>
      <c r="AQ30" s="11">
        <v>239058</v>
      </c>
    </row>
    <row r="31" spans="1:43" s="2" customFormat="1" ht="12" customHeight="1">
      <c r="A31" s="4"/>
      <c r="B31" s="4" t="s">
        <v>178</v>
      </c>
      <c r="C31" s="4" t="s">
        <v>10</v>
      </c>
      <c r="D31" s="20" t="str">
        <f>IF('Índice IFRS 16 | Index IFRS 16'!$K$6="Português",$C31,$B31)</f>
        <v xml:space="preserve">Financial expense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J31" s="32">
        <v>-1037158</v>
      </c>
      <c r="AK31" s="32">
        <v>-1094828</v>
      </c>
      <c r="AL31" s="32">
        <v>-1329524</v>
      </c>
      <c r="AM31" s="32">
        <v>-2470034</v>
      </c>
      <c r="AN31" s="32">
        <v>-3633184</v>
      </c>
      <c r="AO31" s="32">
        <v>-4558144.994821067</v>
      </c>
      <c r="AP31" s="32">
        <v>-5363540.412719069</v>
      </c>
      <c r="AQ31" s="32">
        <v>-4741167.0451999996</v>
      </c>
    </row>
    <row r="32" spans="1:43" s="2" customFormat="1" ht="12" customHeight="1">
      <c r="A32" s="4"/>
      <c r="B32" s="4" t="s">
        <v>179</v>
      </c>
      <c r="C32" s="4" t="s">
        <v>11</v>
      </c>
      <c r="D32" s="20" t="str">
        <f>IF('Índice IFRS 16 | Index IFRS 16'!$K$6="Português",$C32,$B32)</f>
        <v xml:space="preserve">Derivative financial instruments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J32" s="32">
        <v>-90171</v>
      </c>
      <c r="AK32" s="11">
        <v>298094</v>
      </c>
      <c r="AL32" s="32">
        <v>325451</v>
      </c>
      <c r="AM32" s="32">
        <v>-1452116</v>
      </c>
      <c r="AN32" s="32">
        <v>34971</v>
      </c>
      <c r="AO32" s="32">
        <v>438190.31670999998</v>
      </c>
      <c r="AP32" s="32">
        <v>19858.326640000043</v>
      </c>
      <c r="AQ32" s="32">
        <v>-119306.22007999988</v>
      </c>
    </row>
    <row r="33" spans="1:43" s="2" customFormat="1" ht="12" customHeight="1">
      <c r="A33" s="4"/>
      <c r="B33" s="4" t="s">
        <v>180</v>
      </c>
      <c r="C33" s="4" t="s">
        <v>12</v>
      </c>
      <c r="D33" s="20" t="str">
        <f>IF('Índice IFRS 16 | Index IFRS 16'!$K$6="Português",$C33,$B33)</f>
        <v xml:space="preserve">Foreign currency exchange, net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J33" s="32">
        <v>-9595</v>
      </c>
      <c r="AK33" s="32">
        <v>-1306064</v>
      </c>
      <c r="AL33" s="32">
        <v>-391905</v>
      </c>
      <c r="AM33" s="32">
        <v>-4384898</v>
      </c>
      <c r="AN33" s="32">
        <v>-1365595</v>
      </c>
      <c r="AO33" s="32">
        <v>1327353.2574036173</v>
      </c>
      <c r="AP33" s="32">
        <v>1562831.6621711119</v>
      </c>
      <c r="AQ33" s="32">
        <v>-7160074.4504499994</v>
      </c>
    </row>
    <row r="34" spans="1:43"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J34" s="21">
        <v>-1008652</v>
      </c>
      <c r="AK34" s="21">
        <v>-2028276</v>
      </c>
      <c r="AL34" s="21">
        <v>-1323907</v>
      </c>
      <c r="AM34" s="21">
        <v>-8246750</v>
      </c>
      <c r="AN34" s="21">
        <v>-4809528</v>
      </c>
      <c r="AO34" s="21">
        <v>-2515312.4207074498</v>
      </c>
      <c r="AP34" s="21">
        <v>-3560709.4239079575</v>
      </c>
      <c r="AQ34" s="21">
        <v>-11781489.715729998</v>
      </c>
    </row>
    <row r="35" spans="1:43" s="2" customFormat="1" ht="12" customHeight="1">
      <c r="A35" s="4"/>
      <c r="B35" s="4" t="s">
        <v>181</v>
      </c>
      <c r="C35" s="4" t="s">
        <v>28</v>
      </c>
      <c r="D35" s="22" t="str">
        <f>IF('Índice IFRS 16 | Index IFRS 16'!$K$6="Português",$C35,$B35)</f>
        <v>Related parties result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J35" s="11">
        <v>176975</v>
      </c>
      <c r="AK35" s="11">
        <v>381725</v>
      </c>
      <c r="AL35" s="32">
        <v>-16958</v>
      </c>
      <c r="AM35" s="32">
        <v>-713833</v>
      </c>
      <c r="AN35" s="32">
        <v>-5173.39815</v>
      </c>
      <c r="AO35" s="32">
        <v>0</v>
      </c>
      <c r="AP35" s="32">
        <v>0</v>
      </c>
      <c r="AQ35" s="32">
        <v>0</v>
      </c>
    </row>
    <row r="36" spans="1:43"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J36" s="11"/>
      <c r="AK36" s="11"/>
      <c r="AL36" s="11"/>
      <c r="AM36" s="11"/>
      <c r="AN36" s="11"/>
      <c r="AO36" s="11"/>
      <c r="AP36" s="11"/>
      <c r="AQ36" s="11"/>
    </row>
    <row r="37" spans="1:43" s="2" customFormat="1" ht="12" customHeight="1">
      <c r="A37" s="4"/>
      <c r="B37" s="4" t="s">
        <v>182</v>
      </c>
      <c r="C37" s="4" t="s">
        <v>40</v>
      </c>
      <c r="D37" s="58" t="str">
        <f>IF('Índice IFRS 16 | Index IFRS 16'!$K$6="Português",$C37,$B37)</f>
        <v>Loss before income tax</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J37" s="21">
        <v>397476</v>
      </c>
      <c r="AK37" s="21">
        <v>-226667.61156416219</v>
      </c>
      <c r="AL37" s="21">
        <v>690570.01887951791</v>
      </c>
      <c r="AM37" s="21">
        <v>-10422195.84102726</v>
      </c>
      <c r="AN37" s="21">
        <v>-4767702.3870699862</v>
      </c>
      <c r="AO37" s="21">
        <v>-1379649.3696536408</v>
      </c>
      <c r="AP37" s="21">
        <v>-660797.69208443258</v>
      </c>
      <c r="AQ37" s="21">
        <v>-8273797.9599799979</v>
      </c>
    </row>
    <row r="38" spans="1:43" s="2" customFormat="1" ht="12" customHeight="1">
      <c r="A38" s="4"/>
      <c r="B38" s="4" t="s">
        <v>183</v>
      </c>
      <c r="C38" s="4" t="s">
        <v>13</v>
      </c>
      <c r="D38" s="20" t="str">
        <f>IF('Índice IFRS 16 | Index IFRS 16'!$K$6="Português",$C38,$B38)</f>
        <v>Income tax and social contribution</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J38" s="32">
        <v>2875</v>
      </c>
      <c r="AK38" s="32">
        <v>-11224</v>
      </c>
      <c r="AL38" s="32">
        <v>-2228</v>
      </c>
      <c r="AM38" s="32">
        <v>-10.577400000000125</v>
      </c>
      <c r="AN38" s="32">
        <v>0</v>
      </c>
      <c r="AO38" s="32">
        <v>1</v>
      </c>
      <c r="AP38" s="32">
        <v>0</v>
      </c>
      <c r="AQ38" s="32">
        <v>-723</v>
      </c>
    </row>
    <row r="39" spans="1:43" s="2" customFormat="1" ht="12" customHeight="1">
      <c r="A39" s="4"/>
      <c r="B39" s="4" t="s">
        <v>184</v>
      </c>
      <c r="C39" s="4" t="s">
        <v>14</v>
      </c>
      <c r="D39" s="20" t="str">
        <f>IF('Índice IFRS 16 | Index IFRS 16'!$K$6="Português",$C39,$B39)</f>
        <v>Deferred income tax and social contribution</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J39" s="32">
        <v>11473</v>
      </c>
      <c r="AK39" s="32">
        <v>-171581</v>
      </c>
      <c r="AL39" s="32">
        <v>135407</v>
      </c>
      <c r="AM39" s="32">
        <v>242515.63683000003</v>
      </c>
      <c r="AN39" s="32">
        <v>0</v>
      </c>
      <c r="AO39" s="32">
        <v>0</v>
      </c>
      <c r="AP39" s="32">
        <v>-39526</v>
      </c>
      <c r="AQ39" s="32">
        <v>39526</v>
      </c>
    </row>
    <row r="40" spans="1:43" s="2" customFormat="1" ht="6" customHeight="1">
      <c r="A40" s="4"/>
      <c r="B40" s="5"/>
      <c r="C40" s="5"/>
      <c r="D40" s="20"/>
    </row>
    <row r="41" spans="1:43" s="2" customFormat="1" ht="12" customHeight="1">
      <c r="A41" s="4"/>
      <c r="B41" s="4" t="s">
        <v>174</v>
      </c>
      <c r="C41" s="4" t="s">
        <v>39</v>
      </c>
      <c r="D41" s="15" t="str">
        <f>IF('Índice IFRS 16 | Index IFRS 16'!$K$6="Português",$C41,$B41)</f>
        <v>Income (loss) for the period</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J41" s="21">
        <v>411824</v>
      </c>
      <c r="AK41" s="21">
        <v>-409472.61156416219</v>
      </c>
      <c r="AL41" s="21">
        <v>823749.01887951791</v>
      </c>
      <c r="AM41" s="21">
        <v>-10179690.78159726</v>
      </c>
      <c r="AN41" s="21">
        <v>-4767702.3870699862</v>
      </c>
      <c r="AO41" s="21">
        <v>-1379648.3696536408</v>
      </c>
      <c r="AP41" s="21">
        <v>-700323.69208443258</v>
      </c>
      <c r="AQ41" s="21">
        <v>-8234994.9599799979</v>
      </c>
    </row>
    <row r="42" spans="1:43" s="2" customFormat="1" ht="12" customHeight="1">
      <c r="A42" s="4"/>
      <c r="B42" s="4" t="s">
        <v>185</v>
      </c>
      <c r="C42" s="4" t="s">
        <v>15</v>
      </c>
      <c r="D42" s="89" t="str">
        <f>IF('Índice IFRS 16 | Index IFRS 16'!$K$6="Português",$C42,$B42)</f>
        <v>Net Margin</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J42" s="92">
        <v>5.3561502267062015E-2</v>
      </c>
      <c r="AK42" s="92">
        <v>-4.521030445517845E-2</v>
      </c>
      <c r="AL42" s="92">
        <v>7.1991452332557992E-2</v>
      </c>
      <c r="AM42" s="92">
        <v>-1.757159341237245</v>
      </c>
      <c r="AN42" s="92">
        <v>-0.47793022315160988</v>
      </c>
      <c r="AO42" s="92">
        <v>-8.6508814494799954E-2</v>
      </c>
      <c r="AP42" s="92">
        <v>-3.7461330259095565E-2</v>
      </c>
      <c r="AQ42" s="92">
        <v>-0.42174060590729162</v>
      </c>
    </row>
    <row r="43" spans="1:43"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J43" s="24"/>
      <c r="AK43" s="24"/>
      <c r="AL43" s="91"/>
      <c r="AM43" s="91"/>
      <c r="AN43" s="91"/>
      <c r="AO43" s="91"/>
      <c r="AP43" s="91"/>
      <c r="AQ43" s="91"/>
    </row>
    <row r="44" spans="1:43"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J44" s="21">
        <v>2289515</v>
      </c>
      <c r="AK44" s="21">
        <v>2703933.3884358378</v>
      </c>
      <c r="AL44" s="21">
        <v>3622808.598658978</v>
      </c>
      <c r="AM44" s="21">
        <v>264758.90075273882</v>
      </c>
      <c r="AN44" s="21">
        <v>1591332.0110800136</v>
      </c>
      <c r="AO44" s="21">
        <v>3230111.051053809</v>
      </c>
      <c r="AP44" s="21">
        <v>5214163.7964535244</v>
      </c>
      <c r="AQ44" s="21">
        <v>6071673.7557500005</v>
      </c>
    </row>
    <row r="45" spans="1:43"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J45" s="33">
        <v>0.2977725019983597</v>
      </c>
      <c r="AK45" s="33">
        <v>0.2985441474357346</v>
      </c>
      <c r="AL45" s="33">
        <v>0.31661494771198684</v>
      </c>
      <c r="AM45" s="33">
        <v>4.5701150026522031E-2</v>
      </c>
      <c r="AN45" s="33">
        <v>0.15952037300532257</v>
      </c>
      <c r="AO45" s="33">
        <v>0.20253934543000157</v>
      </c>
      <c r="AP45" s="33">
        <v>0.27891318573357027</v>
      </c>
      <c r="AQ45" s="33">
        <v>0.31094996184765433</v>
      </c>
    </row>
    <row r="47" spans="1:43">
      <c r="A47" s="7"/>
      <c r="B47" s="5" t="s">
        <v>186</v>
      </c>
      <c r="C47" s="5" t="s">
        <v>127</v>
      </c>
      <c r="D47" s="77" t="str">
        <f>IF('Índice IFRS 16 | Index IFRS 16'!$K$6="Português",$C47,$B47)</f>
        <v>¹ 2018 adjusted for non-recurring items related to aircraft sale losses totaling R$226.3 million.</v>
      </c>
    </row>
    <row r="48" spans="1:43">
      <c r="A48" s="7"/>
      <c r="B48" s="5" t="s">
        <v>187</v>
      </c>
      <c r="C48" s="5" t="s">
        <v>128</v>
      </c>
      <c r="D48" s="77" t="str">
        <f>IF('Índice IFRS 16 | Index IFRS 16'!$K$6="Português",$C48,$B48)</f>
        <v xml:space="preserve">² 2019 adjusted for non-recurring items totaling R$3.2 billion mostly due to an impairment charge associated with the sublease of E1s. </v>
      </c>
    </row>
    <row r="49" spans="1:4">
      <c r="A49" s="7"/>
      <c r="B49" s="5" t="s">
        <v>188</v>
      </c>
      <c r="C49" s="5" t="s">
        <v>348</v>
      </c>
      <c r="D49" s="77" t="str">
        <f>IF('Índice IFRS 16 | Index IFRS 16'!$K$6="Português",$C49,$B49)</f>
        <v xml:space="preserve">³ Adjusted for non-recurring items totaling R$14.8 million in 1Q20. </v>
      </c>
    </row>
    <row r="50" spans="1:4">
      <c r="B50" s="5" t="s">
        <v>189</v>
      </c>
      <c r="C50" s="5" t="s">
        <v>153</v>
      </c>
      <c r="D50" s="77" t="str">
        <f>IF('Índice IFRS 16 | Index IFRS 16'!$K$6="Português",$C50,$B50)</f>
        <v>⁴ Adjusted for non-recurring items totaling R$203.6 million in 2Q20 recorded under other expenses consisting of severance payments, passenger accommodation costs, and consulting fees, resulting from the COVID-19 crisis.</v>
      </c>
    </row>
    <row r="51" spans="1:4">
      <c r="B51" s="5" t="s">
        <v>190</v>
      </c>
      <c r="C51" s="133" t="s">
        <v>349</v>
      </c>
      <c r="D51" s="77" t="str">
        <f>IF('Índice IFRS 16 | Index IFRS 16'!$K$6="Português",$C51,$B51)</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row>
    <row r="52" spans="1:4">
      <c r="B52" s="5" t="s">
        <v>580</v>
      </c>
      <c r="C52" s="133" t="s">
        <v>350</v>
      </c>
      <c r="D52" s="77" t="str">
        <f>IF('Índice IFRS 16 | Index IFRS 16'!$K$6="Português",$C52,$B52)</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row>
    <row r="53" spans="1:4">
      <c r="B53" s="5" t="s">
        <v>584</v>
      </c>
      <c r="C53" s="133" t="s">
        <v>351</v>
      </c>
      <c r="D53" s="77" t="str">
        <f>IF('Índice IFRS 16 | Index IFRS 16'!$K$6="Português",$C53,$B53)</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row>
    <row r="54" spans="1:4">
      <c r="B54" s="5" t="s">
        <v>191</v>
      </c>
      <c r="C54" s="133" t="s">
        <v>345</v>
      </c>
      <c r="D54" s="77" t="str">
        <f>IF('Índice IFRS 16 | Index IFRS 16'!$K$6="Português",$C54,$B54)</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row>
    <row r="55" spans="1:4">
      <c r="B55" s="5" t="s">
        <v>192</v>
      </c>
      <c r="C55" s="5" t="s">
        <v>346</v>
      </c>
      <c r="D55" s="77" t="str">
        <f>IF('Índice IFRS 16 | Index IFRS 16'!$K$6="Português",$C55,$B55)</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row>
    <row r="56" spans="1:4">
      <c r="B56" s="5" t="s">
        <v>352</v>
      </c>
      <c r="C56" s="5" t="s">
        <v>347</v>
      </c>
      <c r="D56" s="77" t="str">
        <f>IF('Índice IFRS 16 | Index IFRS 16'!$K$6="Português",$C56,$B56)</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row>
    <row r="57" spans="1:4">
      <c r="B57" s="5" t="s">
        <v>355</v>
      </c>
      <c r="C57" s="5" t="s">
        <v>356</v>
      </c>
      <c r="D57" s="77" t="str">
        <f>IF('Índice IFRS 16 | Index IFRS 16'!$K$6="Português",$C57,$B57)</f>
        <v xml:space="preserve">¹¹Adjusted for non-recurring items totaling a net gain of R$104.5 million in 4Q21 from the partial reversal of the E1 impairment and other aircraft related items, partially offset by revised non-cash provisions and other expenses. </v>
      </c>
    </row>
    <row r="58" spans="1:4">
      <c r="B58" s="5" t="s">
        <v>360</v>
      </c>
      <c r="C58" s="5" t="s">
        <v>361</v>
      </c>
      <c r="D58" s="77" t="str">
        <f>IF('Índice IFRS 16 | Index IFRS 16'!$K$6="Português",$C58,$B58)</f>
        <v>¹²Operating results were adjusted for non-recurring items totaling R$220.5 million in 1Q22.</v>
      </c>
    </row>
    <row r="59" spans="1:4">
      <c r="B59" s="5" t="s">
        <v>560</v>
      </c>
      <c r="C59" s="5" t="s">
        <v>561</v>
      </c>
      <c r="D59" s="77" t="str">
        <f>IF('Índice IFRS 16 | Index IFRS 16'!$K$6="Português",$C59,$B59)</f>
        <v>¹³Financial results adjusted for convertible debentures expenses</v>
      </c>
    </row>
    <row r="60" spans="1:4">
      <c r="B60" s="5" t="s">
        <v>567</v>
      </c>
      <c r="C60" s="5" t="s">
        <v>568</v>
      </c>
      <c r="D60" s="77" t="str">
        <f>IF('Índice IFRS 16 | Index IFRS 16'!$K$6="Português",$C60,$B60)</f>
        <v>¹⁴ Operating results were adjusted in 3Q22 for non-recurring items recorded under other expenses netting R$52.6 million.</v>
      </c>
    </row>
    <row r="61" spans="1:4">
      <c r="B61" s="5" t="s">
        <v>570</v>
      </c>
      <c r="C61" s="5" t="s">
        <v>572</v>
      </c>
      <c r="D61" s="77" t="str">
        <f>IF('Índice IFRS 16 | Index IFRS 16'!$K$6="Português",$C61,$B61)</f>
        <v xml:space="preserve">¹⁵ Operating results were adjusted for non-recurring items totaling a net gain of  R$567.0 million in 4Q22 mainly from the partial reversal of the E1 impairment and other aircraft related items. </v>
      </c>
    </row>
    <row r="62" spans="1:4">
      <c r="B62" s="5" t="s">
        <v>574</v>
      </c>
      <c r="C62" s="5" t="s">
        <v>573</v>
      </c>
      <c r="D62" s="77" t="str">
        <f>IF('Índice IFRS 16 | Index IFRS 16'!$K$6="Português",$C62,$B62)</f>
        <v>¹⁶ Operating results in 2021 were adjusted for non-recurring items totaling a net gain of R$7.8 million.</v>
      </c>
    </row>
    <row r="63" spans="1:4">
      <c r="B63" s="5" t="s">
        <v>575</v>
      </c>
      <c r="C63" s="5" t="s">
        <v>576</v>
      </c>
      <c r="D63" s="77" t="str">
        <f>IF('Índice IFRS 16 | Index IFRS 16'!$K$6="Português",$C63,$B63)</f>
        <v>¹⁷ Operating results were adjusted for non-recurring items totaling a net gain of R$293.9 million in 2022 from the partial reversal of the impairment loss of E1s and other aircraft related items, partially offset by revised non-cash provisions and other expenses.</v>
      </c>
    </row>
    <row r="64" spans="1:4">
      <c r="B64" s="5" t="s">
        <v>582</v>
      </c>
      <c r="C64" s="5" t="s">
        <v>583</v>
      </c>
      <c r="D64" s="77" t="str">
        <f>IF('Índice IFRS 16 | Index IFRS 16'!$K$6="Português",$C64,$B64)</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row>
    <row r="65" spans="2:4">
      <c r="B65" s="5" t="s">
        <v>587</v>
      </c>
      <c r="C65" s="5" t="s">
        <v>588</v>
      </c>
      <c r="D65" s="77" t="str">
        <f>IF('Índice IFRS 16 | Index IFRS 16'!$K$6="Português",$C65,$B65)</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row>
    <row r="66" spans="2:4">
      <c r="B66" s="5" t="s">
        <v>593</v>
      </c>
      <c r="C66" s="5" t="s">
        <v>604</v>
      </c>
      <c r="D66" s="77" t="str">
        <f>IF('Índice IFRS 16 | Index IFRS 16'!$K$6="Português",$C66,$B66)</f>
        <v>²⁰ Operating results were adjusted for non-recurring items totaling R$290.6 million related to the capital optimization plan in addition to other restructuring-related expenses.</v>
      </c>
    </row>
    <row r="67" spans="2:4">
      <c r="B67" s="5" t="s">
        <v>606</v>
      </c>
      <c r="C67" s="5" t="s">
        <v>607</v>
      </c>
      <c r="D67" s="77" t="str">
        <f>IF('Índice IFRS 16 | Index IFRS 16'!$K$6="Português",$C67,$B67)</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68" spans="2:4">
      <c r="B68" s="5" t="s">
        <v>609</v>
      </c>
      <c r="C68" s="5" t="s">
        <v>608</v>
      </c>
      <c r="D68" s="77" t="str">
        <f>IF('Índice IFRS 16 | Index IFRS 16'!$K$6="Português",$C68,$B68)</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69" spans="2:4">
      <c r="B69" s="5" t="s">
        <v>619</v>
      </c>
      <c r="C69" s="5" t="s">
        <v>621</v>
      </c>
      <c r="D69" s="77" t="str">
        <f>IF('Índice IFRS 16 | Index IFRS 16'!$K$6="Português",$C69,$B69)</f>
        <v>²³ Operating results were adjusted for non-recurring items totaling R$117.1 million, mainly due to fees related to our capital optimization plan and other accounting adjustments due to the final terms negotiated with lessors and OEMs.</v>
      </c>
    </row>
    <row r="70" spans="2:4">
      <c r="B70" s="5" t="s">
        <v>620</v>
      </c>
      <c r="C70" s="5" t="s">
        <v>622</v>
      </c>
      <c r="D70" s="77" t="str">
        <f>IF('Índice IFRS 16 | Index IFRS 16'!$K$6="Português",$C70,$B70)</f>
        <v>²⁴ Operating results were adjusted for non-recurring items totaling R$117.1 million, mainly due to fees related to our capital optimization plan and other accounting adjustments due to the final terms negotiated with lessors and OEMs.</v>
      </c>
    </row>
    <row r="71" spans="2:4">
      <c r="B71" s="5" t="s">
        <v>632</v>
      </c>
      <c r="C71" t="s">
        <v>631</v>
      </c>
      <c r="D71" s="77" t="str">
        <f>IF('Índice IFRS 16 | Index IFRS 16'!$K$6="Português",$C71,$B71)</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72" spans="2:4">
      <c r="B72" s="5" t="s">
        <v>642</v>
      </c>
      <c r="C72" s="5" t="s">
        <v>643</v>
      </c>
      <c r="D72" s="77" t="str">
        <f>IF('Índice IFRS 16 | Index IFRS 16'!$K$6="Português",$C72,$B72)</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S58"/>
  <sheetViews>
    <sheetView showGridLines="0" workbookViewId="0">
      <pane xSplit="4" ySplit="8" topLeftCell="Z9" activePane="bottomRight" state="frozen"/>
      <selection activeCell="A2" sqref="A2"/>
      <selection pane="topRight" activeCell="E2" sqref="E2"/>
      <selection pane="bottomLeft" activeCell="A9" sqref="A9"/>
      <selection pane="bottomRight" activeCell="A2" sqref="A2"/>
    </sheetView>
  </sheetViews>
  <sheetFormatPr defaultRowHeight="15"/>
  <cols>
    <col min="1" max="1" width="4.140625" customWidth="1"/>
    <col min="2" max="2" width="4.42578125" hidden="1" customWidth="1"/>
    <col min="3" max="3" width="4.140625" hidden="1" customWidth="1"/>
    <col min="4" max="4" width="54.85546875" customWidth="1"/>
    <col min="30" max="30" width="8.7109375" customWidth="1"/>
    <col min="37" max="39" width="10" bestFit="1" customWidth="1"/>
    <col min="44" max="44" width="13.28515625" bestFit="1" customWidth="1"/>
  </cols>
  <sheetData>
    <row r="1" spans="1:45"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c r="AJ1" s="169" t="s">
        <v>118</v>
      </c>
      <c r="AK1" s="169" t="s">
        <v>114</v>
      </c>
      <c r="AL1" s="169" t="s">
        <v>126</v>
      </c>
      <c r="AM1" s="134" t="s">
        <v>323</v>
      </c>
      <c r="AN1" s="134" t="s">
        <v>577</v>
      </c>
      <c r="AO1" s="134" t="s">
        <v>578</v>
      </c>
      <c r="AP1" s="134" t="s">
        <v>605</v>
      </c>
      <c r="AQ1" s="134" t="s">
        <v>618</v>
      </c>
    </row>
    <row r="2" spans="1:45">
      <c r="AM2" s="135"/>
    </row>
    <row r="4" spans="1:45">
      <c r="D4" s="166" t="str">
        <f>IF('Índice IFRS 16 | Index IFRS 16'!$K$6="Português","Menu","Home")</f>
        <v>Home</v>
      </c>
    </row>
    <row r="7" spans="1:45" ht="15.75" thickBot="1">
      <c r="A7" s="7"/>
      <c r="B7" s="7" t="s">
        <v>255</v>
      </c>
      <c r="C7" s="7" t="s">
        <v>23</v>
      </c>
      <c r="D7" s="3" t="str">
        <f>IF('Índice IFRS 16 | Index IFRS 16'!$K$6="Português",$C7,$B7)</f>
        <v>Operating Data</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3"/>
      <c r="AJ7" s="42" t="str">
        <f>IF('Índice IFRS 16 | Index IFRS 16'!$K$6="Português",AJ$1,SUBSTITUTE(AJ$1,"T","Q"))</f>
        <v>2017</v>
      </c>
      <c r="AK7" s="42" t="str">
        <f>IF('Índice IFRS 16 | Index IFRS 16'!$K$6="Português",AK$1,SUBSTITUTE(AK$1,"T","Q"))</f>
        <v>2018¹</v>
      </c>
      <c r="AL7" s="42" t="str">
        <f>IF('Índice IFRS 16 | Index IFRS 16'!$K$6="Português",AL$1,SUBSTITUTE(AL$1,"T","Q"))</f>
        <v>2019²</v>
      </c>
      <c r="AM7" s="42" t="str">
        <f>IF('Índice IFRS 16 | Index IFRS 16'!$K$6="Português",AM$1,SUBSTITUTE(AM$1,"T","Q"))</f>
        <v>2020⁷</v>
      </c>
      <c r="AN7" s="42" t="str">
        <f>IF('Índice IFRS 16 | Index IFRS 16'!$K$6="Português",AN$1,SUBSTITUTE(AN$1,"T","Q"))</f>
        <v>2021¹⁶</v>
      </c>
      <c r="AO7" s="42" t="str">
        <f>IF('Índice IFRS 16 | Index IFRS 16'!$K$6="Português",AO$1,SUBSTITUTE(AO$1,"T","Q"))</f>
        <v>2022¹⁷</v>
      </c>
      <c r="AP7" s="42" t="str">
        <f>IF('Índice IFRS 16 | Index IFRS 16'!$K$6="Português",AP$1,SUBSTITUTE(AP$1,"T","Q"))</f>
        <v>2023²²</v>
      </c>
      <c r="AQ7" s="42" t="str">
        <f>IF('Índice IFRS 16 | Index IFRS 16'!$K$6="Português",AQ$1,SUBSTITUTE(AQ$1,"T","Q"))</f>
        <v>2024²⁴</v>
      </c>
    </row>
    <row r="8" spans="1:45"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6"/>
      <c r="AK8" s="6"/>
      <c r="AL8" s="6"/>
      <c r="AM8" s="6"/>
      <c r="AN8" s="6"/>
      <c r="AO8" s="6"/>
      <c r="AP8" s="6"/>
      <c r="AQ8" s="6"/>
    </row>
    <row r="9" spans="1:45">
      <c r="A9" s="12"/>
      <c r="B9" s="12" t="s">
        <v>256</v>
      </c>
      <c r="C9" s="12" t="s">
        <v>16</v>
      </c>
      <c r="D9" s="20" t="str">
        <f>IF('Índice IFRS 16 | Index IFRS 16'!$K$6="Português",$C9,$B9)</f>
        <v xml:space="preserve">Passenger revenue (in R$ millions)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4579</v>
      </c>
      <c r="AI9" s="11"/>
      <c r="AJ9" s="11">
        <v>7399.7309999999998</v>
      </c>
      <c r="AK9" s="11">
        <v>8670.1319999999996</v>
      </c>
      <c r="AL9" s="11">
        <v>10907.888999999999</v>
      </c>
      <c r="AM9" s="11">
        <v>5088.7466092699997</v>
      </c>
      <c r="AN9" s="11">
        <v>8811.0439999999999</v>
      </c>
      <c r="AO9" s="11">
        <v>14595.579</v>
      </c>
      <c r="AP9" s="11">
        <v>17362.895540130001</v>
      </c>
      <c r="AQ9" s="11">
        <v>18123.134999999998</v>
      </c>
      <c r="AR9" s="86"/>
      <c r="AS9" s="86"/>
    </row>
    <row r="10" spans="1:45">
      <c r="A10" s="12"/>
      <c r="B10" s="12" t="s">
        <v>257</v>
      </c>
      <c r="C10" s="12" t="s">
        <v>149</v>
      </c>
      <c r="D10" s="20" t="str">
        <f>IF('Índice IFRS 16 | Index IFRS 16'!$K$6="Português",$C10,$B10)</f>
        <v xml:space="preserve">Operating passenger aircraft at end of period </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J10" s="11">
        <v>122</v>
      </c>
      <c r="AK10" s="11">
        <v>125</v>
      </c>
      <c r="AL10" s="11">
        <v>142</v>
      </c>
      <c r="AM10" s="11">
        <v>145</v>
      </c>
      <c r="AN10" s="11">
        <v>161</v>
      </c>
      <c r="AO10" s="11">
        <v>177</v>
      </c>
      <c r="AP10" s="11">
        <v>183</v>
      </c>
      <c r="AQ10" s="11">
        <v>183</v>
      </c>
      <c r="AR10" s="86"/>
      <c r="AS10" s="86"/>
    </row>
    <row r="11" spans="1:45">
      <c r="A11" s="7"/>
      <c r="B11" s="7" t="s">
        <v>258</v>
      </c>
      <c r="C11" s="7" t="s">
        <v>17</v>
      </c>
      <c r="D11" s="20" t="str">
        <f>IF('Índice IFRS 16 | Index IFRS 16'!$K$6="Português",$C11,$B11)</f>
        <v xml:space="preserve">Available seat kilometers (ASKs) (millions)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J11" s="11">
        <v>25299.973300999998</v>
      </c>
      <c r="AK11" s="11">
        <v>29352.992834000001</v>
      </c>
      <c r="AL11" s="28">
        <v>35868.255697000008</v>
      </c>
      <c r="AM11" s="28">
        <v>20394.652486699997</v>
      </c>
      <c r="AN11" s="11">
        <v>31386.4183873</v>
      </c>
      <c r="AO11" s="11">
        <v>39579.444082000002</v>
      </c>
      <c r="AP11" s="11">
        <v>44006.092320000011</v>
      </c>
      <c r="AQ11" s="11">
        <v>46292.382957000002</v>
      </c>
      <c r="AR11" s="86"/>
      <c r="AS11" s="86"/>
    </row>
    <row r="12" spans="1:45">
      <c r="A12" s="7"/>
      <c r="B12" s="7" t="s">
        <v>259</v>
      </c>
      <c r="C12" s="7" t="s">
        <v>52</v>
      </c>
      <c r="D12" s="63" t="str">
        <f>IF('Índice IFRS 16 | Index IFRS 16'!$K$6="Português",$C12,$B12)</f>
        <v>Domestic</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J12" s="97">
        <v>20457.690465</v>
      </c>
      <c r="AK12" s="97">
        <v>22103.242879000001</v>
      </c>
      <c r="AL12" s="59">
        <v>27520.686533</v>
      </c>
      <c r="AM12" s="59">
        <v>17157.800475699998</v>
      </c>
      <c r="AN12" s="11">
        <v>29379.916025300001</v>
      </c>
      <c r="AO12" s="11">
        <v>33605.459822999997</v>
      </c>
      <c r="AP12" s="11">
        <v>34367.197417000003</v>
      </c>
      <c r="AQ12" s="11">
        <v>37177.133472999994</v>
      </c>
      <c r="AR12" s="86"/>
      <c r="AS12" s="86"/>
    </row>
    <row r="13" spans="1:45">
      <c r="A13" s="7"/>
      <c r="B13" s="7" t="s">
        <v>260</v>
      </c>
      <c r="C13" s="7" t="s">
        <v>53</v>
      </c>
      <c r="D13" s="63" t="str">
        <f>IF('Índice IFRS 16 | Index IFRS 16'!$K$6="Português",$C13,$B13)</f>
        <v>International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J13" s="97">
        <v>4842.2829250000004</v>
      </c>
      <c r="AK13" s="97">
        <v>7249.7499550000002</v>
      </c>
      <c r="AL13" s="59">
        <v>8347.5691640000005</v>
      </c>
      <c r="AM13" s="59">
        <v>3236.8520109999999</v>
      </c>
      <c r="AN13" s="11">
        <v>2006.5023620000002</v>
      </c>
      <c r="AO13" s="11">
        <v>5973.9842589999998</v>
      </c>
      <c r="AP13" s="11">
        <v>9638.8949029999985</v>
      </c>
      <c r="AQ13" s="11">
        <v>9115.2494839999999</v>
      </c>
      <c r="AR13" s="86"/>
      <c r="AS13" s="86"/>
    </row>
    <row r="14" spans="1:45">
      <c r="A14" s="7"/>
      <c r="B14" s="7" t="s">
        <v>261</v>
      </c>
      <c r="C14" s="7" t="s">
        <v>54</v>
      </c>
      <c r="D14" s="20" t="str">
        <f>IF('Índice IFRS 16 | Index IFRS 16'!$K$6="Português",$C14,$B14)</f>
        <v>Revenue passenger kilometers (RPKs) (million)</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J14" s="11">
        <v>20760.118310999998</v>
      </c>
      <c r="AK14" s="11">
        <v>24155.700836</v>
      </c>
      <c r="AL14" s="28">
        <v>29940.665909000003</v>
      </c>
      <c r="AM14" s="28">
        <v>16310.904362400001</v>
      </c>
      <c r="AN14" s="11">
        <v>24850.707612000002</v>
      </c>
      <c r="AO14" s="11">
        <v>31561.019474000001</v>
      </c>
      <c r="AP14" s="11">
        <v>35398.821577000002</v>
      </c>
      <c r="AQ14" s="11">
        <v>37777.838531999994</v>
      </c>
      <c r="AR14" s="86"/>
      <c r="AS14" s="86"/>
    </row>
    <row r="15" spans="1:45">
      <c r="A15" s="7"/>
      <c r="B15" s="7" t="s">
        <v>259</v>
      </c>
      <c r="C15" s="7" t="s">
        <v>52</v>
      </c>
      <c r="D15" s="63" t="str">
        <f>IF('Índice IFRS 16 | Index IFRS 16'!$K$6="Português",$C15,$B15)</f>
        <v>Domestic</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J15" s="97">
        <v>16423.885675000001</v>
      </c>
      <c r="AK15" s="97">
        <v>17855.714610999999</v>
      </c>
      <c r="AL15" s="59">
        <v>22789.686604000002</v>
      </c>
      <c r="AM15" s="59">
        <v>13788.4722654</v>
      </c>
      <c r="AN15" s="11">
        <v>23431.368376999999</v>
      </c>
      <c r="AO15" s="11">
        <v>26516.737335999995</v>
      </c>
      <c r="AP15" s="11">
        <v>27179.567005999997</v>
      </c>
      <c r="AQ15" s="11">
        <v>29919.994303999996</v>
      </c>
      <c r="AR15" s="86"/>
      <c r="AS15" s="86"/>
    </row>
    <row r="16" spans="1:45">
      <c r="A16" s="7"/>
      <c r="B16" s="7" t="s">
        <v>260</v>
      </c>
      <c r="C16" s="7" t="s">
        <v>53</v>
      </c>
      <c r="D16" s="63" t="str">
        <f>IF('Índice IFRS 16 | Index IFRS 16'!$K$6="Português",$C16,$B16)</f>
        <v>International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J16" s="97">
        <v>4336.2325999999994</v>
      </c>
      <c r="AK16" s="97">
        <v>6299.9862249999996</v>
      </c>
      <c r="AL16" s="59">
        <v>7150.9793049999998</v>
      </c>
      <c r="AM16" s="59">
        <v>2522.4320969999999</v>
      </c>
      <c r="AN16" s="11">
        <v>1419.3392349999999</v>
      </c>
      <c r="AO16" s="11">
        <v>5044.2821379999996</v>
      </c>
      <c r="AP16" s="11">
        <v>8219.2545710000013</v>
      </c>
      <c r="AQ16" s="11">
        <v>7857.8442279999999</v>
      </c>
      <c r="AR16" s="86"/>
      <c r="AS16" s="86"/>
    </row>
    <row r="17" spans="1:45">
      <c r="A17" s="7"/>
      <c r="B17" s="7" t="s">
        <v>262</v>
      </c>
      <c r="C17" s="7" t="s">
        <v>18</v>
      </c>
      <c r="D17" s="20" t="str">
        <f>IF('Índice IFRS 16 | Index IFRS 16'!$K$6="Português",$C17,$B17)</f>
        <v xml:space="preserve">Load Factor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J17" s="31">
        <v>0.82055890194079528</v>
      </c>
      <c r="AK17" s="31">
        <v>0.82293825957059141</v>
      </c>
      <c r="AL17" s="31">
        <v>0.83473994838015553</v>
      </c>
      <c r="AM17" s="31">
        <v>0.79976377989460035</v>
      </c>
      <c r="AN17" s="131">
        <v>0.79176627627112217</v>
      </c>
      <c r="AO17" s="131">
        <v>0.79740936756495195</v>
      </c>
      <c r="AP17" s="131">
        <v>0.80440729250826593</v>
      </c>
      <c r="AQ17" s="131">
        <v>0.81607029318605218</v>
      </c>
      <c r="AR17" s="86"/>
      <c r="AS17" s="86"/>
    </row>
    <row r="18" spans="1:45">
      <c r="A18" s="7"/>
      <c r="B18" s="7" t="s">
        <v>263</v>
      </c>
      <c r="C18" s="7" t="s">
        <v>45</v>
      </c>
      <c r="D18" s="20" t="str">
        <f>IF('Índice IFRS 16 | Index IFRS 16'!$K$6="Português",$C18,$B18)</f>
        <v xml:space="preserve">Passenger revenue per ASK (real cents) (PRASK) </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J18" s="39">
        <v>29.247979481889498</v>
      </c>
      <c r="AK18" s="39">
        <v>29.537471865414894</v>
      </c>
      <c r="AL18" s="39">
        <v>30.410982602960328</v>
      </c>
      <c r="AM18" s="39">
        <v>24.951376899354052</v>
      </c>
      <c r="AN18" s="39">
        <v>28.072792158933446</v>
      </c>
      <c r="AO18" s="39">
        <v>36.876664992467134</v>
      </c>
      <c r="AP18" s="39">
        <v>39.455663124714356</v>
      </c>
      <c r="AQ18" s="39">
        <v>39.149280815451192</v>
      </c>
      <c r="AR18" s="86"/>
      <c r="AS18" s="86"/>
    </row>
    <row r="19" spans="1:45">
      <c r="A19" s="7"/>
      <c r="B19" s="7" t="s">
        <v>264</v>
      </c>
      <c r="C19" s="7" t="s">
        <v>46</v>
      </c>
      <c r="D19" s="20" t="str">
        <f>IF('Índice IFRS 16 | Index IFRS 16'!$K$6="Português",$C19,$B19)</f>
        <v xml:space="preserve">Operating revenue per ASK (real cents) (RASK) </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J19" s="27">
        <v>30.390569620467129</v>
      </c>
      <c r="AK19" s="27">
        <v>30.855674051707162</v>
      </c>
      <c r="AL19" s="27">
        <v>31.900957483575166</v>
      </c>
      <c r="AM19" s="27">
        <v>28.405806929281948</v>
      </c>
      <c r="AN19" s="27">
        <v>31.783585106469221</v>
      </c>
      <c r="AO19" s="27">
        <v>40.293812532988262</v>
      </c>
      <c r="AP19" s="27">
        <v>42.481791015271845</v>
      </c>
      <c r="AQ19" s="27">
        <v>42.180175546563412</v>
      </c>
      <c r="AR19" s="86"/>
      <c r="AS19" s="86"/>
    </row>
    <row r="20" spans="1:45" s="86" customFormat="1">
      <c r="A20" s="237"/>
      <c r="B20" s="237" t="s">
        <v>265</v>
      </c>
      <c r="C20" s="237" t="s">
        <v>131</v>
      </c>
      <c r="D20" s="238" t="str">
        <f>IF('Índice IFRS 16 | Index IFRS 16'!$K$6="Português",$C20,$B20)</f>
        <v>Yield (real cents)</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J20" s="29">
        <v>35.643973165987042</v>
      </c>
      <c r="AK20" s="29">
        <v>35.892694891628352</v>
      </c>
      <c r="AL20" s="29">
        <v>36.431684696502181</v>
      </c>
      <c r="AM20" s="29">
        <v>31.19843324567956</v>
      </c>
      <c r="AN20" s="239">
        <v>35.455907886282034</v>
      </c>
      <c r="AO20" s="239">
        <v>46.245587890542808</v>
      </c>
      <c r="AP20" s="239">
        <v>49.049360308116448</v>
      </c>
      <c r="AQ20" s="239">
        <v>47.972927261703084</v>
      </c>
    </row>
    <row r="21" spans="1:45">
      <c r="A21" s="7"/>
      <c r="B21" s="7" t="s">
        <v>266</v>
      </c>
      <c r="C21" s="7" t="s">
        <v>19</v>
      </c>
      <c r="D21" s="20" t="str">
        <f>IF('Índice IFRS 16 | Index IFRS 16'!$K$6="Português",$C21,$B21)</f>
        <v>Departures total</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J21" s="11">
        <v>259966</v>
      </c>
      <c r="AK21" s="11">
        <v>262312</v>
      </c>
      <c r="AL21" s="30">
        <v>295354</v>
      </c>
      <c r="AM21" s="30">
        <v>158070</v>
      </c>
      <c r="AN21" s="11">
        <v>245102</v>
      </c>
      <c r="AO21" s="11">
        <v>304429</v>
      </c>
      <c r="AP21" s="11">
        <v>316896</v>
      </c>
      <c r="AQ21" s="11">
        <v>322082</v>
      </c>
      <c r="AR21" s="86"/>
      <c r="AS21" s="86"/>
    </row>
    <row r="22" spans="1:45">
      <c r="A22" s="7"/>
      <c r="B22" s="7" t="s">
        <v>267</v>
      </c>
      <c r="C22" s="7" t="s">
        <v>20</v>
      </c>
      <c r="D22" s="20" t="str">
        <f>IF('Índice IFRS 16 | Index IFRS 16'!$K$6="Português",$C22,$B22)</f>
        <v>Block Hours</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J22" s="30">
        <v>407415.49999999994</v>
      </c>
      <c r="AK22" s="30">
        <v>433945.06666666677</v>
      </c>
      <c r="AL22" s="30">
        <v>495361.76666666701</v>
      </c>
      <c r="AM22" s="30">
        <v>266881.06666633353</v>
      </c>
      <c r="AN22" s="11">
        <v>409423.68333333329</v>
      </c>
      <c r="AO22" s="11">
        <v>518813.18333333323</v>
      </c>
      <c r="AP22" s="11">
        <v>550842.78333333391</v>
      </c>
      <c r="AQ22" s="11">
        <v>567773.71666666679</v>
      </c>
      <c r="AR22" s="86"/>
      <c r="AS22" s="86"/>
    </row>
    <row r="23" spans="1:45">
      <c r="A23" s="7"/>
      <c r="B23" s="7" t="s">
        <v>268</v>
      </c>
      <c r="C23" s="7" t="s">
        <v>21</v>
      </c>
      <c r="D23" s="20" t="str">
        <f>IF('Índice IFRS 16 | Index IFRS 16'!$K$6="Português",$C23,$B23)</f>
        <v>Average fare (R$)</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J23" s="30">
        <v>336.1373659836334</v>
      </c>
      <c r="AK23" s="30">
        <v>374.96613679179188</v>
      </c>
      <c r="AL23" s="30">
        <v>394.15305500453178</v>
      </c>
      <c r="AM23" s="30">
        <v>343.92616088935665</v>
      </c>
      <c r="AN23" s="11">
        <v>377.97120518118675</v>
      </c>
      <c r="AO23" s="11">
        <v>531.030854997799</v>
      </c>
      <c r="AP23" s="11">
        <v>593.04108365683294</v>
      </c>
      <c r="AQ23" s="11">
        <v>587.060395117241</v>
      </c>
      <c r="AR23" s="86"/>
      <c r="AS23" s="86"/>
    </row>
    <row r="24" spans="1:45">
      <c r="A24" s="12"/>
      <c r="B24" s="12" t="s">
        <v>269</v>
      </c>
      <c r="C24" s="12" t="s">
        <v>22</v>
      </c>
      <c r="D24" s="20" t="str">
        <f>IF('Índice IFRS 16 | Index IFRS 16'!$K$6="Português",$C24,$B24)</f>
        <v>Stage Length (KM)</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J24" s="30">
        <v>905.17820401578979</v>
      </c>
      <c r="AK24" s="30">
        <v>1006.4185067904208</v>
      </c>
      <c r="AL24" s="30">
        <v>1049.6013792614256</v>
      </c>
      <c r="AM24" s="30">
        <v>680.92223337283599</v>
      </c>
      <c r="AN24" s="11">
        <v>1057.382228820582</v>
      </c>
      <c r="AO24" s="11">
        <v>1105.1551326573897</v>
      </c>
      <c r="AP24" s="11">
        <v>1158.6732747646026</v>
      </c>
      <c r="AQ24" s="11">
        <v>1182.1162713600886</v>
      </c>
      <c r="AR24" s="86"/>
      <c r="AS24" s="86"/>
    </row>
    <row r="25" spans="1:45">
      <c r="A25" s="12"/>
      <c r="B25" s="12" t="s">
        <v>270</v>
      </c>
      <c r="C25" s="12" t="s">
        <v>47</v>
      </c>
      <c r="D25" s="20" t="str">
        <f>IF('Índice IFRS 16 | Index IFRS 16'!$K$6="Português",$C25,$B25)</f>
        <v>CASK (real cents)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J25" s="62">
        <v>-25.532252240537652</v>
      </c>
      <c r="AK25" s="62">
        <v>-26.018404487865048</v>
      </c>
      <c r="AL25" s="62">
        <v>-26.237356119627531</v>
      </c>
      <c r="AM25" s="62">
        <v>-35.572454372676354</v>
      </c>
      <c r="AN25" s="132">
        <v>31.633841958015456</v>
      </c>
      <c r="AO25" s="132">
        <v>37.424487110678236</v>
      </c>
      <c r="AP25" s="132">
        <v>35.891994968996762</v>
      </c>
      <c r="AQ25" s="132">
        <v>34.602920862983559</v>
      </c>
      <c r="AR25" s="86"/>
      <c r="AS25" s="86"/>
    </row>
    <row r="26" spans="1:45">
      <c r="A26" s="12"/>
      <c r="B26" s="12" t="s">
        <v>271</v>
      </c>
      <c r="C26" s="12" t="s">
        <v>48</v>
      </c>
      <c r="D26" s="20" t="str">
        <f>IF('Índice IFRS 16 | Index IFRS 16'!$K$6="Português",$C26,$B26)</f>
        <v>CASK ex-fuel (real cents)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J26" s="62">
        <v>-18.227125954388772</v>
      </c>
      <c r="AK26" s="62">
        <v>-17.009915932867976</v>
      </c>
      <c r="AL26" s="62">
        <v>-17.634754905713255</v>
      </c>
      <c r="AM26" s="62">
        <v>-28.174681838999192</v>
      </c>
      <c r="AN26" s="132">
        <v>21.256031531203647</v>
      </c>
      <c r="AO26" s="132">
        <v>20.846972817131217</v>
      </c>
      <c r="AP26" s="132">
        <v>22.506382456151865</v>
      </c>
      <c r="AQ26" s="132">
        <v>22.541534856593707</v>
      </c>
      <c r="AR26" s="86"/>
      <c r="AS26" s="86"/>
    </row>
    <row r="27" spans="1:45">
      <c r="A27" s="12"/>
      <c r="B27" s="12" t="s">
        <v>272</v>
      </c>
      <c r="C27" s="12" t="s">
        <v>94</v>
      </c>
      <c r="D27" s="20" t="str">
        <f>IF('Índice IFRS 16 | Index IFRS 16'!$K$6="Português",$C27,$B27)</f>
        <v>Full time Employees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J27" s="32">
        <v>10878</v>
      </c>
      <c r="AK27" s="32">
        <v>11807</v>
      </c>
      <c r="AL27" s="32">
        <v>13189</v>
      </c>
      <c r="AM27" s="32">
        <v>11107.8744239631</v>
      </c>
      <c r="AN27" s="11">
        <v>12485</v>
      </c>
      <c r="AO27" s="11">
        <v>13542.980000000009</v>
      </c>
      <c r="AP27" s="11">
        <v>15248</v>
      </c>
      <c r="AQ27" s="11">
        <v>15366.776666666667</v>
      </c>
      <c r="AR27" s="86"/>
      <c r="AS27" s="86"/>
    </row>
    <row r="28" spans="1:45">
      <c r="A28" s="12"/>
      <c r="B28" s="12" t="s">
        <v>273</v>
      </c>
      <c r="C28" s="12" t="s">
        <v>51</v>
      </c>
      <c r="D28" s="20" t="str">
        <f>IF('Índice IFRS 16 | Index IFRS 16'!$K$6="Português",$C28,$B28)</f>
        <v>Fuel liters consumed (thousands)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J28" s="98">
        <v>939908.05538894481</v>
      </c>
      <c r="AK28" s="98">
        <v>1035816.31932764</v>
      </c>
      <c r="AL28" s="32">
        <v>1203485.7993027482</v>
      </c>
      <c r="AM28" s="32">
        <v>650535.91474057012</v>
      </c>
      <c r="AN28" s="11">
        <v>979761.53857623099</v>
      </c>
      <c r="AO28" s="11">
        <v>1206925.1601266372</v>
      </c>
      <c r="AP28" s="11">
        <v>1291296.659</v>
      </c>
      <c r="AQ28" s="11">
        <v>1324981.6170000001</v>
      </c>
      <c r="AR28" s="86"/>
      <c r="AS28" s="86"/>
    </row>
    <row r="29" spans="1:45">
      <c r="A29" s="12"/>
      <c r="B29" s="12" t="s">
        <v>274</v>
      </c>
      <c r="C29" s="12" t="s">
        <v>50</v>
      </c>
      <c r="D29" s="20" t="str">
        <f>IF('Índice IFRS 16 | Index IFRS 16'!$K$6="Português",$C29,$B29)</f>
        <v>Average fuel cost per liter</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36"/>
      <c r="AJ29" s="62">
        <v>1.96635722973477</v>
      </c>
      <c r="AK29" s="62">
        <v>2.55282809380375</v>
      </c>
      <c r="AL29" s="62">
        <v>2.5638881670125899</v>
      </c>
      <c r="AM29" s="62">
        <v>2.3192416680048802</v>
      </c>
      <c r="AN29" s="27">
        <v>3.3245058840882122</v>
      </c>
      <c r="AO29" s="27">
        <v>5.4363669072169758</v>
      </c>
      <c r="AP29" s="27">
        <v>4.5616822121739879</v>
      </c>
      <c r="AQ29" s="27">
        <v>4.2140229934978786</v>
      </c>
      <c r="AR29" s="86"/>
      <c r="AS29" s="86"/>
    </row>
    <row r="30" spans="1:45">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J30" s="218"/>
      <c r="AK30" s="218"/>
      <c r="AL30" s="218"/>
      <c r="AM30" s="218"/>
      <c r="AN30" s="219"/>
      <c r="AO30" s="219"/>
      <c r="AP30" s="219"/>
      <c r="AQ30" s="219"/>
      <c r="AR30" s="86"/>
      <c r="AS30" s="86"/>
    </row>
    <row r="31" spans="1:45" ht="15.75" thickBot="1">
      <c r="A31" s="7"/>
      <c r="B31" s="7" t="s">
        <v>275</v>
      </c>
      <c r="C31" s="7" t="s">
        <v>115</v>
      </c>
      <c r="D31" s="61" t="str">
        <f>IF('Índice IFRS 16 | Index IFRS 16'!$K$6="Português",$C31,$B31)</f>
        <v>Passengers Total (thousands)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J31" s="76">
        <v>22014.008999999998</v>
      </c>
      <c r="AK31" s="76">
        <v>23122.44</v>
      </c>
      <c r="AL31" s="76">
        <v>27674.246999999999</v>
      </c>
      <c r="AM31" s="76">
        <v>14796.044</v>
      </c>
      <c r="AN31" s="76">
        <v>23311.416000000001</v>
      </c>
      <c r="AO31" s="76">
        <v>27485.368999999999</v>
      </c>
      <c r="AP31" s="76">
        <v>29277.727999999999</v>
      </c>
      <c r="AQ31" s="76">
        <v>30870.989000000001</v>
      </c>
      <c r="AR31" s="86"/>
      <c r="AS31" s="86"/>
    </row>
    <row r="32" spans="1:45">
      <c r="R32" s="75"/>
      <c r="S32" s="75"/>
      <c r="AR32" s="86"/>
      <c r="AS32" s="86"/>
    </row>
    <row r="33" spans="1:45">
      <c r="A33" s="7"/>
      <c r="B33" s="5" t="s">
        <v>186</v>
      </c>
      <c r="C33" s="5" t="s">
        <v>127</v>
      </c>
      <c r="D33" s="77" t="str">
        <f>IF('Índice IFRS 16 | Index IFRS 16'!$K$6="Português",$C33,$B33)</f>
        <v>¹ 2018 adjusted for non-recurring items related to aircraft sale losses totaling R$226.3 million.</v>
      </c>
      <c r="AR33" s="86"/>
      <c r="AS33" s="86"/>
    </row>
    <row r="34" spans="1:45">
      <c r="A34" s="7"/>
      <c r="B34" s="5" t="s">
        <v>187</v>
      </c>
      <c r="C34" s="5" t="s">
        <v>128</v>
      </c>
      <c r="D34" s="77" t="str">
        <f>IF('Índice IFRS 16 | Index IFRS 16'!$K$6="Português",$C34,$B34)</f>
        <v xml:space="preserve">² 2019 adjusted for non-recurring items totaling R$3.2 billion mostly due to an impairment charge associated with the sublease of E1s. </v>
      </c>
      <c r="AR34" s="86"/>
      <c r="AS34" s="86"/>
    </row>
    <row r="35" spans="1:45">
      <c r="A35" s="7"/>
      <c r="B35" s="5" t="s">
        <v>188</v>
      </c>
      <c r="C35" s="5" t="s">
        <v>348</v>
      </c>
      <c r="D35" s="77" t="str">
        <f>IF('Índice IFRS 16 | Index IFRS 16'!$K$6="Português",$C35,$B35)</f>
        <v xml:space="preserve">³ Adjusted for non-recurring items totaling R$14.8 million in 1Q20. </v>
      </c>
      <c r="AR35" s="86"/>
    </row>
    <row r="36" spans="1:45">
      <c r="B36" s="5" t="s">
        <v>189</v>
      </c>
      <c r="C36" s="5" t="s">
        <v>153</v>
      </c>
      <c r="D36" s="77" t="str">
        <f>IF('Índice IFRS 16 | Index IFRS 16'!$K$6="Português",$C36,$B36)</f>
        <v>⁴ Adjusted for non-recurring items totaling R$203.6 million in 2Q20 recorded under other expenses consisting of severance payments, passenger accommodation costs, and consulting fees, resulting from the COVID-19 crisis.</v>
      </c>
      <c r="AR36" s="86"/>
    </row>
    <row r="37" spans="1:45">
      <c r="B37" s="5" t="s">
        <v>190</v>
      </c>
      <c r="C37" s="133" t="s">
        <v>349</v>
      </c>
      <c r="D37" s="77" t="str">
        <f>IF('Índice IFRS 16 | Index IFRS 16'!$K$6="Português",$C37,$B37)</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c r="AR37" s="86"/>
    </row>
    <row r="38" spans="1:45">
      <c r="B38" s="5" t="s">
        <v>580</v>
      </c>
      <c r="C38" s="133" t="s">
        <v>350</v>
      </c>
      <c r="D38" s="77" t="str">
        <f>IF('Índice IFRS 16 | Index IFRS 16'!$K$6="Português",$C38,$B38)</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c r="AR38" s="86"/>
    </row>
    <row r="39" spans="1:45">
      <c r="B39" s="5" t="s">
        <v>584</v>
      </c>
      <c r="C39" s="133" t="s">
        <v>351</v>
      </c>
      <c r="D39" s="77" t="str">
        <f>IF('Índice IFRS 16 | Index IFRS 16'!$K$6="Português",$C39,$B39)</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c r="AR39" s="86"/>
    </row>
    <row r="40" spans="1:45">
      <c r="B40" s="5" t="s">
        <v>191</v>
      </c>
      <c r="C40" s="133" t="s">
        <v>345</v>
      </c>
      <c r="D40" s="77" t="str">
        <f>IF('Índice IFRS 16 | Index IFRS 16'!$K$6="Português",$C40,$B40)</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c r="AR40" s="86"/>
    </row>
    <row r="41" spans="1:45">
      <c r="B41" s="5" t="s">
        <v>192</v>
      </c>
      <c r="C41" s="5" t="s">
        <v>346</v>
      </c>
      <c r="D41" s="77" t="str">
        <f>IF('Índice IFRS 16 | Index IFRS 16'!$K$6="Português",$C41,$B41)</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c r="AR41" s="86"/>
    </row>
    <row r="42" spans="1:45">
      <c r="B42" s="5" t="s">
        <v>352</v>
      </c>
      <c r="C42" s="5" t="s">
        <v>347</v>
      </c>
      <c r="D42" s="77" t="str">
        <f>IF('Índice IFRS 16 | Index IFRS 16'!$K$6="Português",$C42,$B42)</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c r="AR42" s="86"/>
    </row>
    <row r="43" spans="1:45">
      <c r="B43" s="5" t="s">
        <v>355</v>
      </c>
      <c r="C43" s="5" t="s">
        <v>356</v>
      </c>
      <c r="D43" s="77" t="str">
        <f>IF('Índice IFRS 16 | Index IFRS 16'!$K$6="Português",$C43,$B43)</f>
        <v xml:space="preserve">¹¹Adjusted for non-recurring items totaling a net gain of R$104.5 million in 4Q21 from the partial reversal of the E1 impairment and other aircraft related items, partially offset by revised non-cash provisions and other expenses. </v>
      </c>
      <c r="AR43" s="86"/>
    </row>
    <row r="44" spans="1:45">
      <c r="B44" s="5" t="s">
        <v>360</v>
      </c>
      <c r="C44" s="5" t="s">
        <v>361</v>
      </c>
      <c r="D44" s="77" t="str">
        <f>IF('Índice IFRS 16 | Index IFRS 16'!$K$6="Português",$C44,$B44)</f>
        <v>¹²Operating results were adjusted for non-recurring items totaling R$220.5 million in 1Q22.</v>
      </c>
      <c r="AR44" s="86"/>
    </row>
    <row r="45" spans="1:45">
      <c r="B45" s="5" t="s">
        <v>563</v>
      </c>
      <c r="C45" s="5" t="s">
        <v>564</v>
      </c>
      <c r="D45" s="77" t="str">
        <f>IF('Índice IFRS 16 | Index IFRS 16'!$K$6="Português",$C45,$B45)</f>
        <v>¹³Operating results were adjusted for non-recurring items</v>
      </c>
    </row>
    <row r="46" spans="1:45">
      <c r="B46" t="s">
        <v>567</v>
      </c>
      <c r="C46" t="s">
        <v>568</v>
      </c>
      <c r="D46" s="77" t="str">
        <f>IF('Índice IFRS 16 | Index IFRS 16'!$K$6="Português",$C46,$B46)</f>
        <v>¹⁴ Operating results were adjusted in 3Q22 for non-recurring items recorded under other expenses netting R$52.6 million.</v>
      </c>
    </row>
    <row r="47" spans="1:45">
      <c r="B47" s="5" t="s">
        <v>570</v>
      </c>
      <c r="C47" s="5" t="s">
        <v>572</v>
      </c>
      <c r="D47" s="77" t="str">
        <f>IF('Índice IFRS 16 | Index IFRS 16'!$K$6="Português",$C47,$B47)</f>
        <v xml:space="preserve">¹⁵ Operating results were adjusted for non-recurring items totaling a net gain of  R$567.0 million in 4Q22 mainly from the partial reversal of the E1 impairment and other aircraft related items. </v>
      </c>
    </row>
    <row r="48" spans="1:45">
      <c r="B48" s="5" t="s">
        <v>574</v>
      </c>
      <c r="C48" s="5" t="s">
        <v>573</v>
      </c>
      <c r="D48" s="77" t="str">
        <f>IF('Índice IFRS 16 | Index IFRS 16'!$K$6="Português",$C48,$B48)</f>
        <v>¹⁶ Operating results in 2021 were adjusted for non-recurring items totaling a net gain of R$7.8 million.</v>
      </c>
    </row>
    <row r="49" spans="2:22">
      <c r="B49" s="5" t="s">
        <v>575</v>
      </c>
      <c r="C49" s="5" t="s">
        <v>576</v>
      </c>
      <c r="D49" s="77" t="str">
        <f>IF('Índice IFRS 16 | Index IFRS 16'!$K$6="Português",$C49,$B49)</f>
        <v>¹⁷ Operating results were adjusted for non-recurring items totaling a net gain of R$293.9 million in 2022 from the partial reversal of the impairment loss of E1s and other aircraft related items, partially offset by revised non-cash provisions and other expenses.</v>
      </c>
    </row>
    <row r="50" spans="2:22">
      <c r="B50" s="5" t="s">
        <v>582</v>
      </c>
      <c r="C50" s="5" t="s">
        <v>583</v>
      </c>
      <c r="D50" s="77" t="str">
        <f>IF('Índice IFRS 16 | Index IFRS 16'!$K$6="Português",$C50,$B50)</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c r="R50" s="2"/>
      <c r="S50" s="2"/>
      <c r="T50" s="2"/>
      <c r="U50" s="2"/>
      <c r="V50" s="2"/>
    </row>
    <row r="51" spans="2:22">
      <c r="B51" s="5" t="s">
        <v>587</v>
      </c>
      <c r="C51" s="5" t="s">
        <v>588</v>
      </c>
      <c r="D51" s="77" t="str">
        <f>IF('Índice IFRS 16 | Index IFRS 16'!$K$6="Português",$C51,$B51)</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c r="R51" s="2"/>
      <c r="S51" s="2"/>
      <c r="T51" s="2"/>
      <c r="U51" s="2"/>
      <c r="V51" s="2"/>
    </row>
    <row r="52" spans="2:22">
      <c r="B52" s="5" t="s">
        <v>593</v>
      </c>
      <c r="C52" s="5" t="s">
        <v>604</v>
      </c>
      <c r="D52" s="77" t="str">
        <f>IF('Índice IFRS 16 | Index IFRS 16'!$K$6="Português",$C52,$B52)</f>
        <v>²⁰ Operating results were adjusted for non-recurring items totaling R$290.6 million related to the capital optimization plan in addition to other restructuring-related expenses.</v>
      </c>
      <c r="R52" s="2"/>
      <c r="S52" s="2"/>
      <c r="T52" s="2"/>
      <c r="U52" s="2"/>
      <c r="V52" s="2"/>
    </row>
    <row r="53" spans="2:22">
      <c r="B53" s="5" t="s">
        <v>606</v>
      </c>
      <c r="C53" s="5" t="s">
        <v>607</v>
      </c>
      <c r="D53" s="77" t="str">
        <f>IF('Índice IFRS 16 | Index IFRS 16'!$K$6="Português",$C53,$B53)</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54" spans="2:22">
      <c r="B54" s="5" t="s">
        <v>609</v>
      </c>
      <c r="C54" s="5" t="s">
        <v>608</v>
      </c>
      <c r="D54" s="77" t="str">
        <f>IF('Índice IFRS 16 | Index IFRS 16'!$K$6="Português",$C54,$B54)</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55" spans="2:22">
      <c r="B55" s="5" t="s">
        <v>619</v>
      </c>
      <c r="C55" s="5" t="s">
        <v>621</v>
      </c>
      <c r="D55" s="77" t="str">
        <f>IF('Índice IFRS 16 | Index IFRS 16'!$K$6="Português",$C55,$B55)</f>
        <v>²³ Operating results were adjusted for non-recurring items totaling R$117.1 million, mainly due to fees related to our capital optimization plan and other accounting adjustments due to the final terms negotiated with lessors and OEMs.</v>
      </c>
    </row>
    <row r="56" spans="2:22">
      <c r="B56" s="5" t="s">
        <v>620</v>
      </c>
      <c r="C56" s="5" t="s">
        <v>622</v>
      </c>
      <c r="D56" s="77" t="str">
        <f>IF('Índice IFRS 16 | Index IFRS 16'!$K$6="Português",$C56,$B56)</f>
        <v>²⁴ Operating results were adjusted for non-recurring items totaling R$117.1 million, mainly due to fees related to our capital optimization plan and other accounting adjustments due to the final terms negotiated with lessors and OEMs.</v>
      </c>
    </row>
    <row r="57" spans="2:22">
      <c r="B57" s="5" t="s">
        <v>632</v>
      </c>
      <c r="C57" t="s">
        <v>631</v>
      </c>
      <c r="D57" s="77" t="str">
        <f>IF('Índice IFRS 16 | Index IFRS 16'!$K$6="Português",$C57,$B57)</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58" spans="2:22">
      <c r="B58" s="5" t="s">
        <v>642</v>
      </c>
      <c r="C58" s="5" t="s">
        <v>643</v>
      </c>
      <c r="D58" s="77" t="str">
        <f>IF('Índice IFRS 16 | Index IFRS 16'!$K$6="Português",$C58,$B58)</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K34"/>
  <sheetViews>
    <sheetView showGridLines="0" zoomScaleNormal="100" workbookViewId="0">
      <pane xSplit="4" ySplit="7" topLeftCell="U8" activePane="bottomRight" state="frozen"/>
      <selection activeCell="F2" sqref="F2"/>
      <selection pane="topRight" activeCell="F2" sqref="F2"/>
      <selection pane="bottomLeft" activeCell="F2" sqref="F2"/>
      <selection pane="bottomRight" activeCell="A2" sqref="A2"/>
    </sheetView>
  </sheetViews>
  <sheetFormatPr defaultColWidth="8.7109375" defaultRowHeight="15"/>
  <cols>
    <col min="1" max="1" width="3.5703125" style="99" customWidth="1"/>
    <col min="2" max="2" width="1.140625" style="99" hidden="1" customWidth="1"/>
    <col min="3" max="3" width="2.28515625" style="99" hidden="1" customWidth="1"/>
    <col min="4" max="4" width="67" style="99" customWidth="1"/>
    <col min="5" max="23" width="9.28515625" style="99" customWidth="1"/>
    <col min="24" max="25" width="9.28515625" style="245" customWidth="1"/>
    <col min="26" max="26" width="8.7109375" style="99" customWidth="1"/>
    <col min="27" max="27" width="9.42578125" style="99" bestFit="1" customWidth="1"/>
    <col min="28" max="29" width="9.28515625" style="99" bestFit="1" customWidth="1"/>
    <col min="30" max="30" width="9.7109375" style="99" bestFit="1" customWidth="1"/>
    <col min="31" max="34" width="11.42578125" style="99" bestFit="1" customWidth="1"/>
    <col min="35" max="35" width="8.7109375" style="99"/>
    <col min="36" max="37" width="9.28515625" style="99" customWidth="1"/>
    <col min="38" max="16384" width="8.7109375" style="99"/>
  </cols>
  <sheetData>
    <row r="1" spans="2:37" s="158" customFormat="1" ht="15.7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119"/>
      <c r="AA1" s="118">
        <v>2017</v>
      </c>
      <c r="AB1" s="104">
        <v>2018</v>
      </c>
      <c r="AC1" s="104">
        <v>2019</v>
      </c>
      <c r="AD1" s="104">
        <v>2020</v>
      </c>
      <c r="AE1" s="104">
        <v>2021</v>
      </c>
      <c r="AF1" s="104">
        <v>2022</v>
      </c>
      <c r="AG1" s="104">
        <v>2023</v>
      </c>
      <c r="AH1" s="104">
        <v>2024</v>
      </c>
    </row>
    <row r="2" spans="2:37">
      <c r="D2" s="101"/>
      <c r="E2" s="100"/>
      <c r="F2" s="100"/>
      <c r="G2" s="100"/>
      <c r="AK2" s="158"/>
    </row>
    <row r="3" spans="2:37">
      <c r="D3" s="101"/>
      <c r="E3" s="100"/>
      <c r="F3" s="100"/>
      <c r="G3" s="100"/>
    </row>
    <row r="4" spans="2:37">
      <c r="D4" s="165" t="str">
        <f>IF('Índice IFRS 16 | Index IFRS 16'!$K$6="Português","Menu","Home")</f>
        <v>Home</v>
      </c>
      <c r="E4" s="100"/>
      <c r="F4" s="100"/>
      <c r="G4" s="100"/>
    </row>
    <row r="5" spans="2:37">
      <c r="D5" s="101"/>
      <c r="E5" s="100"/>
      <c r="F5" s="100"/>
      <c r="G5" s="100"/>
    </row>
    <row r="6" spans="2:37">
      <c r="D6" s="101"/>
      <c r="E6" s="101"/>
      <c r="F6" s="101"/>
      <c r="G6" s="101"/>
      <c r="H6" s="102"/>
      <c r="I6" s="102"/>
      <c r="J6" s="102"/>
      <c r="K6" s="102"/>
      <c r="L6" s="102"/>
      <c r="M6" s="102"/>
      <c r="N6" s="102"/>
      <c r="O6" s="102"/>
      <c r="P6" s="102"/>
      <c r="Q6" s="102"/>
      <c r="R6" s="102"/>
      <c r="S6" s="102"/>
      <c r="T6" s="102"/>
      <c r="U6" s="102"/>
      <c r="V6" s="102"/>
      <c r="W6" s="102"/>
    </row>
    <row r="7" spans="2:37" ht="15.75" thickBot="1">
      <c r="B7" s="99" t="s">
        <v>630</v>
      </c>
      <c r="C7" s="99" t="s">
        <v>629</v>
      </c>
      <c r="D7" s="103" t="str">
        <f>IF('Índice IFRS 16 | Index IFRS 16'!$K$6="Português",$C7,$B7)</f>
        <v>ESG Key Indicators</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1Q21</v>
      </c>
      <c r="K7" s="118" t="str">
        <f>IF('Índice IFRS 16 | Index IFRS 16'!$K$6="Português",K$1,SUBSTITUTE(K$1,"T","Q"))</f>
        <v>1S21</v>
      </c>
      <c r="L7" s="118" t="str">
        <f>IF('Índice IFRS 16 | Index IFRS 16'!$K$6="Português",L$1,SUBSTITUTE(L$1,"T","Q"))</f>
        <v>9M21</v>
      </c>
      <c r="M7" s="118" t="str">
        <f>IF('Índice IFRS 16 | Index IFRS 16'!$K$6="Português",M$1,SUBSTITUTE(M$1,"T","Q"))</f>
        <v>1Q22</v>
      </c>
      <c r="N7" s="118" t="str">
        <f>IF('Índice IFRS 16 | Index IFRS 16'!$K$6="Português",N$1,SUBSTITUTE(N$1,"T","Q"))</f>
        <v>2Q22</v>
      </c>
      <c r="O7" s="118" t="str">
        <f>IF('Índice IFRS 16 | Index IFRS 16'!$K$6="Português",O$1,SUBSTITUTE(O$1,"T","Q"))</f>
        <v>3Q22</v>
      </c>
      <c r="P7" s="118" t="str">
        <f>IF('Índice IFRS 16 | Index IFRS 16'!$K$6="Português",P$1,SUBSTITUTE(P$1,"T","Q"))</f>
        <v>1Q23</v>
      </c>
      <c r="Q7" s="118" t="str">
        <f>IF('Índice IFRS 16 | Index IFRS 16'!$K$6="Português",Q$1,SUBSTITUTE(Q$1,"T","Q"))</f>
        <v>2Q23</v>
      </c>
      <c r="R7" s="118" t="str">
        <f>IF('Índice IFRS 16 | Index IFRS 16'!$K$6="Português",R$1,SUBSTITUTE(R$1,"T","Q"))</f>
        <v>3Q23</v>
      </c>
      <c r="S7" s="118" t="str">
        <f>IF('Índice IFRS 16 | Index IFRS 16'!$K$6="Português",S$1,SUBSTITUTE(S$1,"T","Q"))</f>
        <v>4Q23</v>
      </c>
      <c r="T7" s="118" t="str">
        <f>IF('Índice IFRS 16 | Index IFRS 16'!$K$6="Português",T$1,SUBSTITUTE(T$1,"T","Q"))</f>
        <v>1Q24</v>
      </c>
      <c r="U7" s="118" t="str">
        <f>IF('Índice IFRS 16 | Index IFRS 16'!$K$6="Português",U$1,SUBSTITUTE(U$1,"T","Q"))</f>
        <v>2Q24</v>
      </c>
      <c r="V7" s="118" t="str">
        <f>IF('Índice IFRS 16 | Index IFRS 16'!$K$6="Português",V$1,SUBSTITUTE(V$1,"T","Q"))</f>
        <v>3Q24</v>
      </c>
      <c r="W7" s="118" t="str">
        <f>IF('Índice IFRS 16 | Index IFRS 16'!$K$6="Português",W$1,SUBSTITUTE(W$1,"T","Q"))</f>
        <v>4Q24</v>
      </c>
      <c r="X7" s="118" t="str">
        <f>IF('Índice IFRS 16 | Index IFRS 16'!$K$6="Português",X$1,SUBSTITUTE(X$1,"T","Q"))</f>
        <v>1Q25</v>
      </c>
      <c r="Y7" s="118" t="str">
        <f>IF('Índice IFRS 16 | Index IFRS 16'!$K$6="Português",Y$1,SUBSTITUTE(Y$1,"T","Q"))</f>
        <v>2Q25</v>
      </c>
      <c r="Z7" s="119"/>
      <c r="AA7" s="118" t="str">
        <f>IF('Índice IFRS 16 | Index IFRS 16'!$K$6="Português",AA$1,SUBSTITUTE(AA$1,"T","Q"))</f>
        <v>2017</v>
      </c>
      <c r="AB7" s="104" t="str">
        <f>IF('Índice IFRS 16 | Index IFRS 16'!$K$6="Português",AB$1,SUBSTITUTE(AB$1,"T","Q"))</f>
        <v>2018</v>
      </c>
      <c r="AC7" s="104" t="str">
        <f>IF('Índice IFRS 16 | Index IFRS 16'!$K$6="Português",AC$1,SUBSTITUTE(AC$1,"T","Q"))</f>
        <v>2019</v>
      </c>
      <c r="AD7" s="104" t="str">
        <f>IF('Índice IFRS 16 | Index IFRS 16'!$K$6="Português",AD$1,SUBSTITUTE(AD$1,"T","Q"))</f>
        <v>2020</v>
      </c>
      <c r="AE7" s="104" t="str">
        <f>IF('Índice IFRS 16 | Index IFRS 16'!$K$6="Português",AE$1,SUBSTITUTE(AE$1,"T","Q"))</f>
        <v>2021</v>
      </c>
      <c r="AF7" s="104" t="str">
        <f>IF('Índice IFRS 16 | Index IFRS 16'!$K$6="Português",AF$1,SUBSTITUTE(AF$1,"T","Q"))</f>
        <v>2022</v>
      </c>
      <c r="AG7" s="104" t="str">
        <f>IF('Índice IFRS 16 | Index IFRS 16'!$K$6="Português",AG$1,SUBSTITUTE(AG$1,"T","Q"))</f>
        <v>2023</v>
      </c>
      <c r="AH7" s="104" t="str">
        <f>IF('Índice IFRS 16 | Index IFRS 16'!$K$6="Português",AH$1,SUBSTITUTE(AH$1,"T","Q"))</f>
        <v>2024</v>
      </c>
    </row>
    <row r="8" spans="2:37">
      <c r="B8" s="190" t="s">
        <v>276</v>
      </c>
      <c r="C8" s="190" t="s">
        <v>132</v>
      </c>
      <c r="D8" s="105" t="str">
        <f>IF('Índice IFRS 16 | Index IFRS 16'!$K$6="Português",$C8,$B8)</f>
        <v>Environmental</v>
      </c>
      <c r="E8" s="106"/>
      <c r="F8" s="106"/>
      <c r="G8" s="106"/>
      <c r="H8" s="106"/>
      <c r="I8" s="106"/>
      <c r="J8" s="106"/>
      <c r="K8" s="106"/>
      <c r="L8" s="106"/>
      <c r="M8" s="106"/>
      <c r="N8" s="106"/>
      <c r="O8" s="106"/>
      <c r="P8" s="106"/>
      <c r="Q8" s="106"/>
      <c r="R8" s="106"/>
      <c r="S8" s="106"/>
      <c r="T8" s="106"/>
      <c r="U8" s="106"/>
      <c r="V8" s="106"/>
      <c r="W8" s="106"/>
      <c r="X8" s="246"/>
      <c r="Y8" s="246"/>
      <c r="Z8" s="119"/>
      <c r="AA8" s="106"/>
      <c r="AB8" s="106"/>
      <c r="AC8" s="106"/>
      <c r="AD8" s="106"/>
      <c r="AE8" s="106"/>
      <c r="AF8" s="106"/>
      <c r="AG8" s="106"/>
      <c r="AH8" s="106"/>
    </row>
    <row r="9" spans="2:37" ht="3.95"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119"/>
      <c r="AA9" s="101"/>
      <c r="AB9" s="101"/>
      <c r="AC9" s="101"/>
      <c r="AD9" s="101"/>
      <c r="AE9" s="101"/>
      <c r="AF9" s="101"/>
      <c r="AG9" s="101"/>
      <c r="AH9" s="101"/>
    </row>
    <row r="10" spans="2:37">
      <c r="B10" s="190" t="s">
        <v>277</v>
      </c>
      <c r="C10" s="190" t="s">
        <v>133</v>
      </c>
      <c r="D10" s="108" t="str">
        <f>IF('Índice IFRS 16 | Index IFRS 16'!$K$6="Português",$C10,$B10)</f>
        <v>Fuel</v>
      </c>
      <c r="E10" s="109"/>
      <c r="F10" s="109"/>
      <c r="G10" s="109"/>
      <c r="H10" s="109"/>
      <c r="I10" s="109"/>
      <c r="J10" s="109"/>
      <c r="K10" s="109"/>
      <c r="L10" s="109"/>
      <c r="M10" s="109"/>
      <c r="N10" s="109"/>
      <c r="O10" s="109"/>
      <c r="P10" s="109"/>
      <c r="Q10" s="109"/>
      <c r="R10" s="109"/>
      <c r="S10" s="109"/>
      <c r="T10" s="109"/>
      <c r="U10" s="109"/>
      <c r="V10" s="109"/>
      <c r="W10" s="109"/>
      <c r="X10" s="248"/>
      <c r="Y10" s="248"/>
      <c r="Z10" s="120"/>
      <c r="AA10" s="109"/>
      <c r="AB10" s="109"/>
      <c r="AC10" s="109"/>
      <c r="AD10" s="109"/>
      <c r="AE10" s="109"/>
      <c r="AF10" s="109"/>
      <c r="AG10" s="109"/>
      <c r="AH10" s="109"/>
    </row>
    <row r="11" spans="2:37">
      <c r="B11" s="190" t="s">
        <v>278</v>
      </c>
      <c r="C11" s="190" t="s">
        <v>134</v>
      </c>
      <c r="D11" s="111" t="str">
        <f>IF('Índice IFRS 16 | Index IFRS 16'!$K$6="Português",$C11,$B11)</f>
        <v>Total fuel consumed per ASK (GJ / ASK, million)</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0"/>
      <c r="AA11" s="112">
        <v>1397.5904076785096</v>
      </c>
      <c r="AB11" s="112">
        <v>1325.5357172654367</v>
      </c>
      <c r="AC11" s="112">
        <v>1260.6261692854096</v>
      </c>
      <c r="AD11" s="112">
        <v>1198.4000000000001</v>
      </c>
      <c r="AE11" s="112">
        <v>1172.4563321179926</v>
      </c>
      <c r="AF11" s="112">
        <v>1145.5053386207649</v>
      </c>
      <c r="AG11" s="112">
        <v>1102.2996981368817</v>
      </c>
      <c r="AH11" s="112">
        <v>1075.19</v>
      </c>
      <c r="AI11" s="240"/>
    </row>
    <row r="12" spans="2:37">
      <c r="B12" s="190" t="s">
        <v>279</v>
      </c>
      <c r="C12" s="190" t="s">
        <v>135</v>
      </c>
      <c r="D12" s="121" t="str">
        <f>IF('Índice IFRS 16 | Index IFRS 16'!$K$6="Português",$C12,$B12)</f>
        <v>Total fuel consumed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0"/>
      <c r="AA12" s="112">
        <v>35359</v>
      </c>
      <c r="AB12" s="112">
        <v>38908.440410103416</v>
      </c>
      <c r="AC12" s="112">
        <v>45216.461778258687</v>
      </c>
      <c r="AD12" s="112">
        <v>24441</v>
      </c>
      <c r="AE12" s="112">
        <v>36798</v>
      </c>
      <c r="AF12" s="112">
        <v>45338.46449557304</v>
      </c>
      <c r="AG12" s="112">
        <v>48507.90228051976</v>
      </c>
      <c r="AH12" s="112">
        <v>49773.29</v>
      </c>
      <c r="AI12" s="240"/>
    </row>
    <row r="13" spans="2:37">
      <c r="B13" s="190" t="s">
        <v>280</v>
      </c>
      <c r="C13" s="190" t="s">
        <v>136</v>
      </c>
      <c r="D13" s="108" t="str">
        <f>IF('Índice IFRS 16 | Index IFRS 16'!$K$6="Português",$C13,$B13)</f>
        <v>Fleet</v>
      </c>
      <c r="E13" s="109"/>
      <c r="F13" s="109"/>
      <c r="G13" s="109"/>
      <c r="H13" s="109"/>
      <c r="I13" s="109"/>
      <c r="J13" s="109"/>
      <c r="K13" s="125"/>
      <c r="L13" s="125"/>
      <c r="M13" s="125"/>
      <c r="N13" s="125"/>
      <c r="O13" s="125"/>
      <c r="P13" s="125"/>
      <c r="Q13" s="125"/>
      <c r="R13" s="125"/>
      <c r="S13" s="125"/>
      <c r="T13" s="125"/>
      <c r="U13" s="125"/>
      <c r="V13" s="125"/>
      <c r="W13" s="125"/>
      <c r="X13" s="249"/>
      <c r="Y13" s="249"/>
      <c r="Z13" s="120"/>
      <c r="AA13" s="109"/>
      <c r="AB13" s="109"/>
      <c r="AC13" s="109"/>
      <c r="AD13" s="109"/>
      <c r="AE13" s="109"/>
      <c r="AF13" s="109"/>
      <c r="AG13" s="109"/>
      <c r="AH13" s="109"/>
    </row>
    <row r="14" spans="2:37">
      <c r="B14" s="190" t="s">
        <v>626</v>
      </c>
      <c r="C14" s="190" t="s">
        <v>627</v>
      </c>
      <c r="D14" s="111" t="str">
        <f>IF('Índice IFRS 16 | Index IFRS 16'!$K$6="Português",$C14,$B14)</f>
        <v>Average age of operating fleet¹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7.18</v>
      </c>
      <c r="X14" s="250">
        <v>7.23</v>
      </c>
      <c r="Y14" s="250">
        <v>7.1</v>
      </c>
      <c r="Z14" s="240"/>
      <c r="AA14" s="112">
        <v>5.6110303752233452</v>
      </c>
      <c r="AB14" s="112">
        <v>5.8670676021828703</v>
      </c>
      <c r="AC14" s="112">
        <v>5.8132255839164282</v>
      </c>
      <c r="AD14" s="112">
        <v>6.9</v>
      </c>
      <c r="AE14" s="112">
        <v>6.6</v>
      </c>
      <c r="AF14" s="112">
        <v>7.1</v>
      </c>
      <c r="AG14" s="112">
        <v>7.4</v>
      </c>
      <c r="AH14" s="112">
        <f>ROUND(AG14,2)</f>
        <v>7.4</v>
      </c>
    </row>
    <row r="15" spans="2:37" ht="3.95"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119"/>
      <c r="AA15" s="190"/>
      <c r="AB15" s="190"/>
      <c r="AC15" s="190"/>
      <c r="AD15" s="190"/>
      <c r="AE15" s="190"/>
      <c r="AF15" s="190"/>
      <c r="AG15" s="190"/>
      <c r="AH15" s="190"/>
    </row>
    <row r="16" spans="2:37">
      <c r="B16" s="190" t="s">
        <v>281</v>
      </c>
      <c r="C16" s="190" t="s">
        <v>137</v>
      </c>
      <c r="D16" s="108" t="str">
        <f>IF('Índice IFRS 16 | Index IFRS 16'!$K$6="Português",$C16,$B16)</f>
        <v>Labor Relations</v>
      </c>
      <c r="E16" s="109"/>
      <c r="F16" s="109"/>
      <c r="G16" s="109"/>
      <c r="H16" s="109"/>
      <c r="I16" s="109"/>
      <c r="J16" s="109"/>
      <c r="K16" s="125"/>
      <c r="L16" s="125"/>
      <c r="M16" s="125"/>
      <c r="N16" s="125"/>
      <c r="O16" s="125"/>
      <c r="P16" s="125"/>
      <c r="Q16" s="125"/>
      <c r="R16" s="125"/>
      <c r="S16" s="125"/>
      <c r="T16" s="125"/>
      <c r="U16" s="125"/>
      <c r="V16" s="125"/>
      <c r="W16" s="125"/>
      <c r="X16" s="249"/>
      <c r="Y16" s="249"/>
      <c r="Z16" s="120"/>
      <c r="AA16" s="109"/>
      <c r="AB16" s="109"/>
      <c r="AC16" s="109"/>
      <c r="AD16" s="109"/>
      <c r="AE16" s="109"/>
      <c r="AF16" s="109"/>
      <c r="AG16" s="109"/>
      <c r="AH16" s="109"/>
    </row>
    <row r="17" spans="1:34">
      <c r="B17" s="190" t="s">
        <v>282</v>
      </c>
      <c r="C17" s="190" t="s">
        <v>138</v>
      </c>
      <c r="D17" s="111" t="str">
        <f>IF('Índice IFRS 16 | Index IFRS 16'!$K$6="Português",$C17,$B17)</f>
        <v>Employee monthly turnover (%)</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114"/>
      <c r="AA17" s="110">
        <v>1.08</v>
      </c>
      <c r="AB17" s="110">
        <v>0.95</v>
      </c>
      <c r="AC17" s="110">
        <v>1.2</v>
      </c>
      <c r="AD17" s="110">
        <v>1.4</v>
      </c>
      <c r="AE17" s="110">
        <v>1.1000000000000001</v>
      </c>
      <c r="AF17" s="235">
        <v>0.9</v>
      </c>
      <c r="AG17" s="235">
        <v>0.8</v>
      </c>
      <c r="AH17" s="126">
        <v>0.9</v>
      </c>
    </row>
    <row r="18" spans="1:34">
      <c r="B18" s="190" t="s">
        <v>283</v>
      </c>
      <c r="C18" s="190" t="s">
        <v>139</v>
      </c>
      <c r="D18" s="111" t="str">
        <f>IF('Índice IFRS 16 | Index IFRS 16'!$K$6="Português",$C18,$B18)</f>
        <v xml:space="preserve">% of employee covered under collective bargaining agreements </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114"/>
      <c r="AA18" s="113">
        <v>100</v>
      </c>
      <c r="AB18" s="113">
        <v>100</v>
      </c>
      <c r="AC18" s="113">
        <v>100</v>
      </c>
      <c r="AD18" s="113">
        <v>100</v>
      </c>
      <c r="AE18" s="113">
        <v>100</v>
      </c>
      <c r="AF18" s="113">
        <v>100</v>
      </c>
      <c r="AG18" s="113">
        <v>100</v>
      </c>
      <c r="AH18" s="124">
        <v>100</v>
      </c>
    </row>
    <row r="19" spans="1:34">
      <c r="B19" s="190" t="s">
        <v>284</v>
      </c>
      <c r="C19" s="190" t="s">
        <v>154</v>
      </c>
      <c r="D19" s="111" t="str">
        <f>IF('Índice IFRS 16 | Index IFRS 16'!$K$6="Português",$C19,$B19)</f>
        <v>Volunteers</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1">
        <v>7363</v>
      </c>
      <c r="Y19" s="241">
        <v>7380</v>
      </c>
      <c r="Z19" s="114"/>
      <c r="AA19" s="113">
        <v>1499</v>
      </c>
      <c r="AB19" s="113">
        <v>1914</v>
      </c>
      <c r="AC19" s="113">
        <v>2193</v>
      </c>
      <c r="AD19" s="113">
        <v>1804</v>
      </c>
      <c r="AE19" s="113">
        <v>2754</v>
      </c>
      <c r="AF19" s="113">
        <v>4324</v>
      </c>
      <c r="AG19" s="113">
        <v>4602</v>
      </c>
      <c r="AH19" s="124">
        <v>6987</v>
      </c>
    </row>
    <row r="20" spans="1:34">
      <c r="B20" s="190" t="s">
        <v>365</v>
      </c>
      <c r="C20" s="190" t="s">
        <v>364</v>
      </c>
      <c r="D20" s="108" t="str">
        <f>IF('Índice IFRS 16 | Index IFRS 16'!$K$6="Português",$C20,$B20)</f>
        <v xml:space="preserve">Gender and Diversity: </v>
      </c>
      <c r="E20" s="109"/>
      <c r="F20" s="109"/>
      <c r="G20" s="109"/>
      <c r="H20" s="109"/>
      <c r="I20" s="109"/>
      <c r="J20" s="109"/>
      <c r="K20" s="125"/>
      <c r="L20" s="125"/>
      <c r="M20" s="125"/>
      <c r="N20" s="125"/>
      <c r="O20" s="125"/>
      <c r="P20" s="125"/>
      <c r="Q20" s="125"/>
      <c r="R20" s="125"/>
      <c r="S20" s="125"/>
      <c r="T20" s="125"/>
      <c r="U20" s="125"/>
      <c r="V20" s="125"/>
      <c r="W20" s="125"/>
      <c r="X20" s="249"/>
      <c r="Y20" s="249"/>
      <c r="Z20" s="120"/>
      <c r="AA20" s="109"/>
      <c r="AB20" s="109"/>
      <c r="AC20" s="109"/>
      <c r="AD20" s="109"/>
      <c r="AE20" s="109"/>
      <c r="AF20" s="109"/>
      <c r="AG20" s="109"/>
      <c r="AH20" s="109"/>
    </row>
    <row r="21" spans="1:34">
      <c r="A21" s="177"/>
      <c r="B21" s="220" t="s">
        <v>367</v>
      </c>
      <c r="C21" s="220" t="s">
        <v>366</v>
      </c>
      <c r="D21" s="190" t="str">
        <f>IF('Índice IFRS 16 | Index IFRS 16'!$K$6="Português",$C21,$B21)</f>
        <v>% Male</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114"/>
      <c r="AA21" s="110">
        <v>57</v>
      </c>
      <c r="AB21" s="110">
        <v>58</v>
      </c>
      <c r="AC21" s="110">
        <v>59</v>
      </c>
      <c r="AD21" s="110">
        <v>58.6</v>
      </c>
      <c r="AE21" s="110">
        <v>59</v>
      </c>
      <c r="AF21" s="110">
        <v>59.4</v>
      </c>
      <c r="AG21" s="110">
        <v>59.4</v>
      </c>
      <c r="AH21" s="126">
        <v>59.3</v>
      </c>
    </row>
    <row r="22" spans="1:34">
      <c r="A22" s="177"/>
      <c r="B22" s="220" t="s">
        <v>369</v>
      </c>
      <c r="C22" s="220" t="s">
        <v>368</v>
      </c>
      <c r="D22" s="190" t="str">
        <f>IF('Índice IFRS 16 | Index IFRS 16'!$K$6="Português",$C22,$B22)</f>
        <v>% Female</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116"/>
      <c r="AA22" s="110">
        <v>43</v>
      </c>
      <c r="AB22" s="110">
        <v>42</v>
      </c>
      <c r="AC22" s="110">
        <v>41</v>
      </c>
      <c r="AD22" s="110">
        <v>41.4</v>
      </c>
      <c r="AE22" s="110">
        <v>41</v>
      </c>
      <c r="AF22" s="110">
        <v>40.6</v>
      </c>
      <c r="AG22" s="110">
        <v>40.6</v>
      </c>
      <c r="AH22" s="126">
        <v>40.799999999999997</v>
      </c>
    </row>
    <row r="23" spans="1:34" ht="3.95"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Z23" s="114"/>
      <c r="AA23" s="116"/>
      <c r="AB23" s="116"/>
      <c r="AC23" s="116"/>
      <c r="AD23" s="116"/>
      <c r="AE23" s="116"/>
      <c r="AF23" s="116"/>
      <c r="AG23" s="116"/>
      <c r="AH23" s="116"/>
    </row>
    <row r="24" spans="1:34">
      <c r="B24" s="190" t="s">
        <v>285</v>
      </c>
      <c r="C24" s="190" t="s">
        <v>140</v>
      </c>
      <c r="D24" s="105" t="str">
        <f>IF('Índice IFRS 16 | Index IFRS 16'!$K$6="Português",$C24,$B24)</f>
        <v>Governance</v>
      </c>
      <c r="E24" s="122"/>
      <c r="F24" s="122"/>
      <c r="G24" s="122"/>
      <c r="H24" s="122"/>
      <c r="I24" s="122"/>
      <c r="J24" s="122"/>
      <c r="K24" s="125"/>
      <c r="L24" s="125"/>
      <c r="M24" s="125"/>
      <c r="N24" s="125"/>
      <c r="O24" s="125"/>
      <c r="P24" s="125"/>
      <c r="Q24" s="125"/>
      <c r="R24" s="125"/>
      <c r="S24" s="125"/>
      <c r="T24" s="125"/>
      <c r="U24" s="125"/>
      <c r="V24" s="125"/>
      <c r="W24" s="125"/>
      <c r="X24" s="249"/>
      <c r="Y24" s="249"/>
      <c r="Z24" s="119"/>
      <c r="AA24" s="122"/>
      <c r="AB24" s="122"/>
      <c r="AC24" s="122"/>
      <c r="AD24" s="122"/>
      <c r="AE24" s="122"/>
      <c r="AF24" s="122"/>
      <c r="AG24" s="122"/>
      <c r="AH24" s="122"/>
    </row>
    <row r="25" spans="1:34" ht="3.95"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119"/>
      <c r="AA25" s="190"/>
      <c r="AB25" s="190"/>
      <c r="AC25" s="190"/>
      <c r="AD25" s="190"/>
      <c r="AE25" s="190"/>
      <c r="AF25" s="190"/>
      <c r="AG25" s="190"/>
      <c r="AH25" s="190"/>
    </row>
    <row r="26" spans="1:34">
      <c r="B26" s="190" t="s">
        <v>286</v>
      </c>
      <c r="C26" s="190" t="s">
        <v>141</v>
      </c>
      <c r="D26" s="108" t="str">
        <f>IF('Índice IFRS 16 | Index IFRS 16'!$K$6="Português",$C26,$B26)</f>
        <v>Management</v>
      </c>
      <c r="E26" s="109"/>
      <c r="F26" s="109"/>
      <c r="G26" s="109"/>
      <c r="H26" s="109"/>
      <c r="I26" s="109"/>
      <c r="J26" s="109"/>
      <c r="K26" s="125"/>
      <c r="L26" s="125"/>
      <c r="M26" s="125"/>
      <c r="N26" s="125"/>
      <c r="O26" s="125"/>
      <c r="P26" s="125"/>
      <c r="Q26" s="125"/>
      <c r="R26" s="125"/>
      <c r="S26" s="125"/>
      <c r="T26" s="125"/>
      <c r="U26" s="125"/>
      <c r="V26" s="125"/>
      <c r="W26" s="125"/>
      <c r="X26" s="249"/>
      <c r="Y26" s="249"/>
      <c r="Z26" s="120"/>
      <c r="AA26" s="109"/>
      <c r="AB26" s="109"/>
      <c r="AC26" s="109"/>
      <c r="AD26" s="109"/>
      <c r="AE26" s="109"/>
      <c r="AF26" s="109"/>
      <c r="AG26" s="109"/>
      <c r="AH26" s="109"/>
    </row>
    <row r="27" spans="1:34">
      <c r="B27" s="190" t="s">
        <v>287</v>
      </c>
      <c r="C27" s="190" t="s">
        <v>142</v>
      </c>
      <c r="D27" s="111" t="str">
        <f>IF('Índice IFRS 16 | Index IFRS 16'!$K$6="Português",$C27,$B27)</f>
        <v>Independent directors (%)</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4"/>
      <c r="AA27" s="115">
        <v>85</v>
      </c>
      <c r="AB27" s="115">
        <v>82</v>
      </c>
      <c r="AC27" s="110">
        <v>82</v>
      </c>
      <c r="AD27" s="110">
        <v>90</v>
      </c>
      <c r="AE27" s="110">
        <v>90.9</v>
      </c>
      <c r="AF27" s="110">
        <v>90.909090909090907</v>
      </c>
      <c r="AG27" s="110">
        <v>91.7</v>
      </c>
      <c r="AH27" s="115">
        <v>91.666666666666657</v>
      </c>
    </row>
    <row r="28" spans="1:34">
      <c r="B28" s="190" t="s">
        <v>288</v>
      </c>
      <c r="C28" s="190" t="s">
        <v>143</v>
      </c>
      <c r="D28" s="111" t="str">
        <f>IF('Índice IFRS 16 | Index IFRS 16'!$K$6="Português",$C28,$B28)</f>
        <v>Percent of board members that are women</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4"/>
      <c r="AA28" s="115">
        <v>7.69</v>
      </c>
      <c r="AB28" s="115">
        <v>9</v>
      </c>
      <c r="AC28" s="110">
        <v>9</v>
      </c>
      <c r="AD28" s="110">
        <v>10</v>
      </c>
      <c r="AE28" s="110">
        <v>9.1</v>
      </c>
      <c r="AF28" s="110">
        <v>18.18</v>
      </c>
      <c r="AG28" s="110">
        <v>25</v>
      </c>
      <c r="AH28" s="128">
        <v>25</v>
      </c>
    </row>
    <row r="29" spans="1:34">
      <c r="B29" s="190" t="s">
        <v>289</v>
      </c>
      <c r="C29" s="190" t="s">
        <v>144</v>
      </c>
      <c r="D29" s="111" t="str">
        <f>IF('Índice IFRS 16 | Index IFRS 16'!$K$6="Português",$C29,$B29)</f>
        <v>Board of directors average age</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4"/>
      <c r="AA29" s="115">
        <v>54.07692307692308</v>
      </c>
      <c r="AB29" s="115">
        <v>56.090909090909093</v>
      </c>
      <c r="AC29" s="110">
        <v>57.090909090909093</v>
      </c>
      <c r="AD29" s="110">
        <v>59</v>
      </c>
      <c r="AE29" s="110">
        <v>59.920735071453748</v>
      </c>
      <c r="AF29" s="110">
        <v>58.386161408748698</v>
      </c>
      <c r="AG29" s="128">
        <v>58.1</v>
      </c>
      <c r="AH29" s="128">
        <v>59.12</v>
      </c>
    </row>
    <row r="30" spans="1:34">
      <c r="B30" s="190" t="s">
        <v>290</v>
      </c>
      <c r="C30" s="190" t="s">
        <v>145</v>
      </c>
      <c r="D30" s="111" t="str">
        <f>IF('Índice IFRS 16 | Index IFRS 16'!$K$6="Português",$C30,$B30)</f>
        <v>Director meeting attendance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4"/>
      <c r="AA30" s="115">
        <v>94.87</v>
      </c>
      <c r="AB30" s="115">
        <v>98.99</v>
      </c>
      <c r="AC30" s="110">
        <v>87.9</v>
      </c>
      <c r="AD30" s="110">
        <v>88.2</v>
      </c>
      <c r="AE30" s="110">
        <v>98.9</v>
      </c>
      <c r="AF30" s="110">
        <v>96.14</v>
      </c>
      <c r="AG30" s="110">
        <v>99.4</v>
      </c>
      <c r="AH30" s="128">
        <v>99.4</v>
      </c>
    </row>
    <row r="31" spans="1:34">
      <c r="B31" s="190" t="s">
        <v>291</v>
      </c>
      <c r="C31" s="190" t="s">
        <v>146</v>
      </c>
      <c r="D31" s="111" t="str">
        <f>IF('Índice IFRS 16 | Index IFRS 16'!$K$6="Português",$C31,$B31)</f>
        <v>Board size</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4"/>
      <c r="AA31" s="117">
        <v>13</v>
      </c>
      <c r="AB31" s="117">
        <v>11</v>
      </c>
      <c r="AC31" s="113">
        <v>11</v>
      </c>
      <c r="AD31" s="113">
        <v>10</v>
      </c>
      <c r="AE31" s="113">
        <v>11</v>
      </c>
      <c r="AF31" s="113">
        <v>11</v>
      </c>
      <c r="AG31" s="113">
        <v>12</v>
      </c>
      <c r="AH31" s="128">
        <v>12</v>
      </c>
    </row>
    <row r="32" spans="1:34">
      <c r="B32" s="190" t="s">
        <v>292</v>
      </c>
      <c r="C32" s="190" t="s">
        <v>147</v>
      </c>
      <c r="D32" s="111" t="str">
        <f>IF('Índice IFRS 16 | Index IFRS 16'!$K$6="Português",$C32,$B32)</f>
        <v>Participation of woman in leadership positions (%)</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4"/>
      <c r="AA32" s="110">
        <v>41</v>
      </c>
      <c r="AB32" s="110">
        <v>32</v>
      </c>
      <c r="AC32" s="110">
        <v>39.4</v>
      </c>
      <c r="AD32" s="110">
        <v>37.6</v>
      </c>
      <c r="AE32" s="110">
        <v>39.200000000000003</v>
      </c>
      <c r="AF32" s="110">
        <v>40</v>
      </c>
      <c r="AG32" s="110">
        <v>38</v>
      </c>
      <c r="AH32" s="110">
        <v>38</v>
      </c>
    </row>
    <row r="33" spans="2:34" ht="6.95" customHeight="1">
      <c r="X33" s="115"/>
      <c r="Y33" s="115"/>
      <c r="AD33" s="176"/>
      <c r="AE33" s="176"/>
      <c r="AF33" s="176"/>
      <c r="AG33" s="176"/>
      <c r="AH33" s="176"/>
    </row>
    <row r="34" spans="2:34">
      <c r="B34" s="99" t="s">
        <v>625</v>
      </c>
      <c r="C34" s="99" t="s">
        <v>624</v>
      </c>
      <c r="D34" s="190" t="str">
        <f>IF('Índice IFRS 16 | Index IFRS 16'!$K$6="Português",$C34,$B34)</f>
        <v>¹ Excludes Cessna aircraft.</v>
      </c>
    </row>
  </sheetData>
  <conditionalFormatting sqref="X21:Y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40625" defaultRowHeight="15"/>
  <cols>
    <col min="1" max="1" width="3.5703125" style="99" customWidth="1"/>
    <col min="2" max="3" width="9.140625" style="99" hidden="1" customWidth="1"/>
    <col min="4" max="4" width="71.42578125" style="99" bestFit="1" customWidth="1"/>
    <col min="5" max="9" width="18.5703125" style="99" customWidth="1"/>
    <col min="10" max="10" width="15.7109375" style="99" customWidth="1"/>
    <col min="11" max="11" width="17.28515625" style="99" customWidth="1"/>
    <col min="12" max="16384" width="9.140625" style="99"/>
  </cols>
  <sheetData>
    <row r="1" spans="2:33" hidden="1"/>
    <row r="4" spans="2:33" customFormat="1">
      <c r="B4" s="5"/>
      <c r="C4" s="5"/>
      <c r="D4" s="187" t="str">
        <f>IF('Índice IFRS 16 | Index IFRS 16'!$K$6="Português","Menu","Home")</f>
        <v>Home</v>
      </c>
      <c r="P4" s="141"/>
      <c r="Q4" s="141"/>
      <c r="R4" s="142"/>
      <c r="S4" s="2"/>
      <c r="T4" s="144"/>
      <c r="U4" s="144"/>
      <c r="V4" s="145"/>
      <c r="W4" s="143"/>
      <c r="X4" s="143"/>
      <c r="Y4" s="143"/>
      <c r="Z4" s="143"/>
      <c r="AA4" s="143"/>
      <c r="AB4" s="143"/>
      <c r="AC4" s="143"/>
      <c r="AD4" s="143"/>
      <c r="AE4" s="141"/>
      <c r="AF4" s="141"/>
      <c r="AG4" s="141"/>
    </row>
    <row r="6" spans="2:33" hidden="1"/>
    <row r="8" spans="2:33" s="190" customFormat="1" ht="24.75" thickBot="1">
      <c r="B8" s="190" t="s">
        <v>487</v>
      </c>
      <c r="C8" s="190" t="s">
        <v>486</v>
      </c>
      <c r="D8" s="188" t="str">
        <f>IF('Índice IFRS 16 | Index IFRS 16'!$K$6="Português",$C8,$B8)</f>
        <v>Average Hours Of Training Per Year And Per Employee</v>
      </c>
      <c r="E8" s="118" t="str">
        <f>IF('Índice IFRS 16 | Index IFRS 16'!$K$6="Português",$C1048507,$B1048507)</f>
        <v>Gender</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Employees by category and gender</v>
      </c>
      <c r="J8" s="198" t="str">
        <f>IF('Índice IFRS 16 | Index IFRS 16'!$K$6="Português",$C1048512,$B1048512)</f>
        <v>Training hours by category</v>
      </c>
    </row>
    <row r="9" spans="2:33" s="191" customFormat="1" ht="12">
      <c r="B9" s="191" t="s">
        <v>373</v>
      </c>
      <c r="C9" s="191" t="s">
        <v>374</v>
      </c>
      <c r="D9" s="261" t="str">
        <f>IF('Índice IFRS 16 | Index IFRS 16'!$K$6="Português",$C9,$B9)</f>
        <v>Airports</v>
      </c>
      <c r="E9" s="196" t="str">
        <f>IF('Índice IFRS 16 | Index IFRS 16'!$K$6="Português",$C$1048522,$B$1048522)</f>
        <v xml:space="preserve">Man </v>
      </c>
      <c r="F9" s="200">
        <v>58.41</v>
      </c>
      <c r="G9" s="200">
        <v>17.53</v>
      </c>
      <c r="H9" s="200">
        <f>J9/I9</f>
        <v>26.510548001648125</v>
      </c>
      <c r="I9" s="199">
        <v>1618</v>
      </c>
      <c r="J9" s="199">
        <v>42894.066666666666</v>
      </c>
    </row>
    <row r="10" spans="2:33" s="191" customFormat="1" ht="12">
      <c r="D10" s="256"/>
      <c r="E10" s="196" t="str">
        <f>IF('Índice IFRS 16 | Index IFRS 16'!$K$6="Português",$C$1048523,$B$1048523)</f>
        <v>Woman</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2">
      <c r="B12" s="191" t="s">
        <v>378</v>
      </c>
      <c r="C12" s="191" t="s">
        <v>378</v>
      </c>
      <c r="D12" s="256" t="str">
        <f>IF('Índice IFRS 16 | Index IFRS 16'!$K$6="Português",$C12,$B12)</f>
        <v>Call Center</v>
      </c>
      <c r="E12" s="196" t="str">
        <f>IF('Índice IFRS 16 | Index IFRS 16'!$K$6="Português",$C$1048522,$B$1048522)</f>
        <v xml:space="preserve">Man </v>
      </c>
      <c r="F12" s="200">
        <v>147.66</v>
      </c>
      <c r="G12" s="200">
        <v>158.83000000000001</v>
      </c>
      <c r="H12" s="200">
        <f>J12/I12</f>
        <v>94.308108108108115</v>
      </c>
      <c r="I12" s="199">
        <v>185</v>
      </c>
      <c r="J12" s="199">
        <v>17447</v>
      </c>
    </row>
    <row r="13" spans="2:33" s="191" customFormat="1" ht="12">
      <c r="D13" s="256"/>
      <c r="E13" s="196" t="str">
        <f>IF('Índice IFRS 16 | Index IFRS 16'!$K$6="Português",$C$1048523,$B$1048523)</f>
        <v>Woman</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2">
      <c r="B15" s="191" t="s">
        <v>379</v>
      </c>
      <c r="C15" s="191" t="s">
        <v>380</v>
      </c>
      <c r="D15" s="256" t="str">
        <f>IF('Índice IFRS 16 | Index IFRS 16'!$K$6="Português",$C15,$B15)</f>
        <v>Flight Attendant</v>
      </c>
      <c r="E15" s="196" t="str">
        <f>IF('Índice IFRS 16 | Index IFRS 16'!$K$6="Português",$C$1048522,$B$1048522)</f>
        <v xml:space="preserve">Man </v>
      </c>
      <c r="F15" s="200">
        <v>98.16</v>
      </c>
      <c r="G15" s="200">
        <v>72.08</v>
      </c>
      <c r="H15" s="200">
        <f>J15/I15</f>
        <v>74.665129331381166</v>
      </c>
      <c r="I15" s="199">
        <v>683</v>
      </c>
      <c r="J15" s="199">
        <v>50996.283333333333</v>
      </c>
    </row>
    <row r="16" spans="2:33" s="191" customFormat="1" ht="12">
      <c r="D16" s="256"/>
      <c r="E16" s="196" t="str">
        <f>IF('Índice IFRS 16 | Index IFRS 16'!$K$6="Português",$C$1048523,$B$1048523)</f>
        <v>Woman</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2">
      <c r="B18" s="191" t="s">
        <v>381</v>
      </c>
      <c r="C18" s="191" t="s">
        <v>382</v>
      </c>
      <c r="D18" s="256" t="str">
        <f>IF('Índice IFRS 16 | Index IFRS 16'!$K$6="Português",$C18,$B18)</f>
        <v>Maintenance</v>
      </c>
      <c r="E18" s="196" t="str">
        <f>IF('Índice IFRS 16 | Index IFRS 16'!$K$6="Português",$C$1048522,$B$1048522)</f>
        <v xml:space="preserve">Man </v>
      </c>
      <c r="F18" s="200">
        <v>86.07</v>
      </c>
      <c r="G18" s="200">
        <v>58.52</v>
      </c>
      <c r="H18" s="200">
        <f>J18/I18</f>
        <v>74.731930272108841</v>
      </c>
      <c r="I18" s="199">
        <v>2352</v>
      </c>
      <c r="J18" s="199">
        <v>175769.5</v>
      </c>
    </row>
    <row r="19" spans="2:10" s="191" customFormat="1" ht="12">
      <c r="D19" s="256"/>
      <c r="E19" s="196" t="str">
        <f>IF('Índice IFRS 16 | Index IFRS 16'!$K$6="Português",$C$1048523,$B$1048523)</f>
        <v>Woman</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2">
      <c r="B21" s="191" t="s">
        <v>383</v>
      </c>
      <c r="C21" s="191" t="s">
        <v>384</v>
      </c>
      <c r="D21" s="256" t="str">
        <f>IF('Índice IFRS 16 | Index IFRS 16'!$K$6="Português",$C21,$B21)</f>
        <v>Pilots</v>
      </c>
      <c r="E21" s="196" t="str">
        <f>IF('Índice IFRS 16 | Index IFRS 16'!$K$6="Português",$C$1048522,$B$1048522)</f>
        <v xml:space="preserve">Man </v>
      </c>
      <c r="F21" s="200">
        <v>154.6</v>
      </c>
      <c r="G21" s="200">
        <v>66.150000000000006</v>
      </c>
      <c r="H21" s="200">
        <f>J21/I21</f>
        <v>144.6398326572008</v>
      </c>
      <c r="I21" s="199">
        <v>1972</v>
      </c>
      <c r="J21" s="199">
        <v>285229.75</v>
      </c>
    </row>
    <row r="22" spans="2:10" s="191" customFormat="1" ht="12">
      <c r="D22" s="256"/>
      <c r="E22" s="196" t="str">
        <f>IF('Índice IFRS 16 | Index IFRS 16'!$K$6="Português",$C$1048523,$B$1048523)</f>
        <v>Woman</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2">
      <c r="B24" s="191" t="s">
        <v>385</v>
      </c>
      <c r="C24" s="191" t="s">
        <v>386</v>
      </c>
      <c r="D24" s="256" t="str">
        <f>IF('Índice IFRS 16 | Index IFRS 16'!$K$6="Português",$C24,$B24)</f>
        <v>Other</v>
      </c>
      <c r="E24" s="196" t="str">
        <f>IF('Índice IFRS 16 | Index IFRS 16'!$K$6="Português",$C$1048522,$B$1048522)</f>
        <v xml:space="preserve">Man </v>
      </c>
      <c r="F24" s="200">
        <v>30.15</v>
      </c>
      <c r="G24" s="200">
        <v>22.47</v>
      </c>
      <c r="H24" s="200">
        <f>J24/I24</f>
        <v>16.371919050366827</v>
      </c>
      <c r="I24" s="199">
        <v>12131</v>
      </c>
      <c r="J24" s="199">
        <v>198607.75</v>
      </c>
    </row>
    <row r="25" spans="2:10" s="191" customFormat="1" ht="12">
      <c r="D25" s="256"/>
      <c r="E25" s="196" t="str">
        <f>IF('Índice IFRS 16 | Index IFRS 16'!$K$6="Português",$C$1048523,$B$1048523)</f>
        <v>Woman</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2">
      <c r="B27" s="191" t="s">
        <v>363</v>
      </c>
      <c r="C27" s="191" t="s">
        <v>363</v>
      </c>
      <c r="D27" s="256" t="str">
        <f>IF('Índice IFRS 16 | Index IFRS 16'!$K$6="Português",$C27,$B27)</f>
        <v>Total</v>
      </c>
      <c r="E27" s="196" t="str">
        <f>IF('Índice IFRS 16 | Index IFRS 16'!$K$6="Português",$C$1048522,$B$1048522)</f>
        <v xml:space="preserve">Man </v>
      </c>
      <c r="F27" s="200">
        <v>65.760000000000005</v>
      </c>
      <c r="G27" s="200">
        <v>68.91</v>
      </c>
      <c r="H27" s="200">
        <f>J27/I27</f>
        <v>62.288466510462953</v>
      </c>
      <c r="I27" s="199">
        <v>12377</v>
      </c>
      <c r="J27" s="199">
        <v>770944.35</v>
      </c>
    </row>
    <row r="28" spans="2:10" s="191" customFormat="1" ht="12">
      <c r="D28" s="256"/>
      <c r="E28" s="196" t="str">
        <f>IF('Índice IFRS 16 | Index IFRS 16'!$K$6="Português",$C$1048523,$B$1048523)</f>
        <v>Woman</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Occupational Health And Safety</v>
      </c>
      <c r="E31" s="118">
        <f>IF('Índice IFRS 16 | Index IFRS 16'!$K$6="Português",$C1048509,$B1048509)</f>
        <v>2020</v>
      </c>
      <c r="F31" s="118">
        <f>IF('Índice IFRS 16 | Index IFRS 16'!$K$6="Português",$C1048510,$B1048510)</f>
        <v>2021</v>
      </c>
    </row>
    <row r="32" spans="2:10" s="191" customFormat="1" ht="12">
      <c r="B32" s="191" t="s">
        <v>387</v>
      </c>
      <c r="C32" s="191" t="s">
        <v>388</v>
      </c>
      <c r="D32" s="179" t="str">
        <f>IF('Índice IFRS 16 | Index IFRS 16'!$K$6="Português",$C32,$B32)</f>
        <v>Number of deaths from work-related accidents</v>
      </c>
      <c r="E32" s="201">
        <v>0</v>
      </c>
      <c r="F32" s="201">
        <v>0</v>
      </c>
    </row>
    <row r="33" spans="2:10" s="191" customFormat="1" ht="12">
      <c r="B33" s="191" t="s">
        <v>389</v>
      </c>
      <c r="C33" s="191" t="s">
        <v>390</v>
      </c>
      <c r="D33" s="180" t="str">
        <f>IF('Índice IFRS 16 | Index IFRS 16'!$K$6="Português",$C33,$B33)</f>
        <v>Rate of deaths from work-related accidents</v>
      </c>
      <c r="E33" s="201">
        <v>0</v>
      </c>
      <c r="F33" s="201">
        <v>0</v>
      </c>
    </row>
    <row r="34" spans="2:10" s="191" customFormat="1" ht="17.25" customHeight="1">
      <c r="B34" s="191" t="s">
        <v>391</v>
      </c>
      <c r="C34" s="191" t="s">
        <v>392</v>
      </c>
      <c r="D34" s="180" t="str">
        <f>IF('Índice IFRS 16 | Index IFRS 16'!$K$6="Português",$C34,$B34)</f>
        <v>Number of work-related accidents of high consequence (excluding deaths)</v>
      </c>
      <c r="E34" s="201">
        <v>7</v>
      </c>
      <c r="F34" s="201">
        <v>25</v>
      </c>
      <c r="I34" s="194"/>
      <c r="J34" s="194"/>
    </row>
    <row r="35" spans="2:10" s="191" customFormat="1" ht="18.75" customHeight="1">
      <c r="B35" s="191" t="s">
        <v>393</v>
      </c>
      <c r="C35" s="191" t="s">
        <v>394</v>
      </c>
      <c r="D35" s="180" t="str">
        <f>IF('Índice IFRS 16 | Index IFRS 16'!$K$6="Português",$C35,$B35)</f>
        <v>Rate of work-related accidents of high consequence (excluding deaths)</v>
      </c>
      <c r="E35" s="201" t="s">
        <v>395</v>
      </c>
      <c r="F35" s="201" t="s">
        <v>396</v>
      </c>
      <c r="I35" s="194"/>
      <c r="J35" s="194"/>
    </row>
    <row r="36" spans="2:10" s="191" customFormat="1" ht="12">
      <c r="B36" s="191" t="s">
        <v>397</v>
      </c>
      <c r="C36" s="191" t="s">
        <v>398</v>
      </c>
      <c r="D36" s="180" t="str">
        <f>IF('Índice IFRS 16 | Index IFRS 16'!$K$6="Português",$C36,$B36)</f>
        <v>Number of work-related accidents</v>
      </c>
      <c r="E36" s="201">
        <v>40</v>
      </c>
      <c r="F36" s="201">
        <v>125</v>
      </c>
      <c r="I36" s="194"/>
      <c r="J36" s="194"/>
    </row>
    <row r="37" spans="2:10" s="191" customFormat="1" ht="12">
      <c r="B37" s="191" t="s">
        <v>399</v>
      </c>
      <c r="C37" s="191" t="s">
        <v>400</v>
      </c>
      <c r="D37" s="180" t="str">
        <f>IF('Índice IFRS 16 | Index IFRS 16'!$K$6="Português",$C37,$B37)</f>
        <v>Work-related accident rate (frequency rate) - LTIFR</v>
      </c>
      <c r="E37" s="201" t="s">
        <v>401</v>
      </c>
      <c r="F37" s="201" t="s">
        <v>402</v>
      </c>
      <c r="I37" s="194"/>
      <c r="J37" s="194"/>
    </row>
    <row r="38" spans="2:10" s="191" customFormat="1" ht="15" customHeight="1">
      <c r="B38" s="191" t="s">
        <v>403</v>
      </c>
      <c r="C38" s="191" t="s">
        <v>404</v>
      </c>
      <c r="D38" s="180" t="str">
        <f>IF('Índice IFRS 16 | Index IFRS 16'!$K$6="Português",$C38,$B38)</f>
        <v>Number of hours worked*</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Gender Diversity</v>
      </c>
      <c r="E40" s="118" t="str">
        <f>IF('Índice IFRS 16 | Index IFRS 16'!$K$6="Português",$C1048507,$B1048507)</f>
        <v>Gender</v>
      </c>
      <c r="F40" s="185" t="str">
        <f>IF('Índice IFRS 16 | Index IFRS 16'!$K$6="Português",$C1048513,$B1048513)</f>
        <v>Percentage of Employees by Gender</v>
      </c>
      <c r="G40" s="186" t="str">
        <f>IF('Índice IFRS 16 | Index IFRS 16'!$K$6="Português",$C1048514,$B1048514)</f>
        <v>Percentage Age Group (-30 years)</v>
      </c>
      <c r="H40" s="185" t="str">
        <f>IF('Índice IFRS 16 | Index IFRS 16'!$K$6="Português",$C1048515,$B1048515)</f>
        <v>Participation Age Group (30 to 50 years)</v>
      </c>
      <c r="I40" s="185" t="str">
        <f>IF('Índice IFRS 16 | Index IFRS 16'!$K$6="Português",$C1048516,$B1048516)</f>
        <v>Participation Age Group (+ 50 years)</v>
      </c>
    </row>
    <row r="41" spans="2:10" s="191" customFormat="1" ht="12.75" thickTop="1">
      <c r="B41" s="191" t="s">
        <v>411</v>
      </c>
      <c r="C41" s="191" t="s">
        <v>412</v>
      </c>
      <c r="D41" s="257" t="str">
        <f>IF('Índice IFRS 16 | Index IFRS 16'!$K$6="Português",$C41,$B41)</f>
        <v>Director</v>
      </c>
      <c r="E41" s="216" t="str">
        <f>IF('Índice IFRS 16 | Index IFRS 16'!$K$6="Português",$C$1048522,$B$1048522)</f>
        <v xml:space="preserve">Man </v>
      </c>
      <c r="F41" s="217">
        <v>0.76</v>
      </c>
      <c r="G41" s="259">
        <v>0</v>
      </c>
      <c r="H41" s="259">
        <v>0.67</v>
      </c>
      <c r="I41" s="259">
        <v>0.33</v>
      </c>
    </row>
    <row r="42" spans="2:10" s="191" customFormat="1" ht="12">
      <c r="D42" s="258"/>
      <c r="E42" s="214" t="str">
        <f>IF('Índice IFRS 16 | Index IFRS 16'!$K$6="Português",$C$1048523,$B$1048523)</f>
        <v>Woman</v>
      </c>
      <c r="F42" s="215">
        <v>0.24</v>
      </c>
      <c r="G42" s="260"/>
      <c r="H42" s="260"/>
      <c r="I42" s="260"/>
    </row>
    <row r="43" spans="2:10" s="191" customFormat="1" ht="4.5" customHeight="1" thickBot="1">
      <c r="E43" s="208"/>
      <c r="F43" s="204"/>
      <c r="G43" s="205"/>
      <c r="H43" s="205"/>
      <c r="I43" s="205"/>
    </row>
    <row r="44" spans="2:10" s="191" customFormat="1" ht="12.75" thickTop="1">
      <c r="B44" s="191" t="s">
        <v>413</v>
      </c>
      <c r="C44" s="191" t="s">
        <v>414</v>
      </c>
      <c r="D44" s="262" t="str">
        <f>IF('Índice IFRS 16 | Index IFRS 16'!$K$6="Português",$C44,$B44)</f>
        <v>General Manager / Sr</v>
      </c>
      <c r="E44" s="216" t="str">
        <f>IF('Índice IFRS 16 | Index IFRS 16'!$K$6="Português",$C$1048522,$B$1048522)</f>
        <v xml:space="preserve">Man </v>
      </c>
      <c r="F44" s="217">
        <v>0.73</v>
      </c>
      <c r="G44" s="259">
        <v>0</v>
      </c>
      <c r="H44" s="263">
        <v>0.73</v>
      </c>
      <c r="I44" s="263">
        <v>0.27</v>
      </c>
    </row>
    <row r="45" spans="2:10" s="191" customFormat="1" ht="12">
      <c r="D45" s="258"/>
      <c r="E45" s="214" t="str">
        <f>IF('Índice IFRS 16 | Index IFRS 16'!$K$6="Português",$C$1048523,$B$1048523)</f>
        <v>Woman</v>
      </c>
      <c r="F45" s="215">
        <v>0.27</v>
      </c>
      <c r="G45" s="260"/>
      <c r="H45" s="260"/>
      <c r="I45" s="260"/>
    </row>
    <row r="46" spans="2:10" s="191" customFormat="1" ht="4.5" customHeight="1" thickBot="1">
      <c r="E46" s="208"/>
      <c r="F46" s="204"/>
      <c r="G46" s="205"/>
      <c r="H46" s="205"/>
      <c r="I46" s="205"/>
    </row>
    <row r="47" spans="2:10" s="191" customFormat="1" ht="12.75" thickTop="1">
      <c r="B47" s="191" t="s">
        <v>415</v>
      </c>
      <c r="C47" s="191" t="s">
        <v>416</v>
      </c>
      <c r="D47" s="262" t="str">
        <f>IF('Índice IFRS 16 | Index IFRS 16'!$K$6="Português",$C47,$B47)</f>
        <v>Manager</v>
      </c>
      <c r="E47" s="216" t="str">
        <f>IF('Índice IFRS 16 | Index IFRS 16'!$K$6="Português",$C$1048522,$B$1048522)</f>
        <v xml:space="preserve">Man </v>
      </c>
      <c r="F47" s="217">
        <v>0.7</v>
      </c>
      <c r="G47" s="259">
        <v>0.01</v>
      </c>
      <c r="H47" s="263">
        <v>0.77</v>
      </c>
      <c r="I47" s="263">
        <v>0.22</v>
      </c>
    </row>
    <row r="48" spans="2:10" s="191" customFormat="1" ht="12">
      <c r="D48" s="258"/>
      <c r="E48" s="214" t="str">
        <f>IF('Índice IFRS 16 | Index IFRS 16'!$K$6="Português",$C$1048523,$B$1048523)</f>
        <v>Woman</v>
      </c>
      <c r="F48" s="215">
        <v>0.3</v>
      </c>
      <c r="G48" s="260"/>
      <c r="H48" s="260"/>
      <c r="I48" s="260"/>
    </row>
    <row r="49" spans="2:9" s="191" customFormat="1" ht="4.5" customHeight="1" thickBot="1">
      <c r="E49" s="208"/>
      <c r="F49" s="204"/>
      <c r="G49" s="205"/>
      <c r="H49" s="205"/>
      <c r="I49" s="205"/>
    </row>
    <row r="50" spans="2:9" s="191" customFormat="1" ht="12.75" thickTop="1">
      <c r="B50" s="191" t="s">
        <v>417</v>
      </c>
      <c r="C50" s="191" t="s">
        <v>418</v>
      </c>
      <c r="D50" s="262" t="str">
        <f>IF('Índice IFRS 16 | Index IFRS 16'!$K$6="Português",$C50,$B50)</f>
        <v>Airport Manager</v>
      </c>
      <c r="E50" s="216" t="str">
        <f>IF('Índice IFRS 16 | Index IFRS 16'!$K$6="Português",$C$1048522,$B$1048522)</f>
        <v xml:space="preserve">Man </v>
      </c>
      <c r="F50" s="217">
        <v>0.69</v>
      </c>
      <c r="G50" s="259">
        <v>0</v>
      </c>
      <c r="H50" s="263">
        <v>0.89</v>
      </c>
      <c r="I50" s="263">
        <v>0.11</v>
      </c>
    </row>
    <row r="51" spans="2:9" s="191" customFormat="1" ht="12">
      <c r="D51" s="258"/>
      <c r="E51" s="214" t="str">
        <f>IF('Índice IFRS 16 | Index IFRS 16'!$K$6="Português",$C$1048523,$B$1048523)</f>
        <v>Woman</v>
      </c>
      <c r="F51" s="215">
        <v>0.31</v>
      </c>
      <c r="G51" s="260"/>
      <c r="H51" s="260"/>
      <c r="I51" s="260"/>
    </row>
    <row r="52" spans="2:9" s="191" customFormat="1" ht="4.5" customHeight="1" thickBot="1">
      <c r="E52" s="208"/>
      <c r="F52" s="204"/>
      <c r="G52" s="205"/>
      <c r="H52" s="205"/>
      <c r="I52" s="205"/>
    </row>
    <row r="53" spans="2:9" s="191" customFormat="1" ht="12.75" thickTop="1">
      <c r="B53" s="191" t="s">
        <v>419</v>
      </c>
      <c r="C53" s="191" t="s">
        <v>420</v>
      </c>
      <c r="D53" s="262" t="str">
        <f>IF('Índice IFRS 16 | Index IFRS 16'!$K$6="Português",$C53,$B53)</f>
        <v>Specialist / Supervisor / Coordinator</v>
      </c>
      <c r="E53" s="216" t="str">
        <f>IF('Índice IFRS 16 | Index IFRS 16'!$K$6="Português",$C$1048522,$B$1048522)</f>
        <v xml:space="preserve">Man </v>
      </c>
      <c r="F53" s="217">
        <v>0.68</v>
      </c>
      <c r="G53" s="259">
        <v>7.0000000000000007E-2</v>
      </c>
      <c r="H53" s="263">
        <v>0.75</v>
      </c>
      <c r="I53" s="263">
        <v>0.19</v>
      </c>
    </row>
    <row r="54" spans="2:9" s="191" customFormat="1" ht="12">
      <c r="D54" s="258"/>
      <c r="E54" s="214" t="str">
        <f>IF('Índice IFRS 16 | Index IFRS 16'!$K$6="Português",$C$1048523,$B$1048523)</f>
        <v>Woman</v>
      </c>
      <c r="F54" s="215">
        <v>0.32</v>
      </c>
      <c r="G54" s="260"/>
      <c r="H54" s="260"/>
      <c r="I54" s="260"/>
    </row>
    <row r="55" spans="2:9" s="191" customFormat="1" ht="4.5" customHeight="1" thickBot="1">
      <c r="E55" s="208"/>
      <c r="F55" s="204"/>
      <c r="G55" s="205"/>
      <c r="H55" s="205"/>
      <c r="I55" s="205"/>
    </row>
    <row r="56" spans="2:9" s="191" customFormat="1" ht="12.75" thickTop="1">
      <c r="B56" s="191" t="s">
        <v>421</v>
      </c>
      <c r="C56" s="191" t="s">
        <v>422</v>
      </c>
      <c r="D56" s="262" t="str">
        <f>IF('Índice IFRS 16 | Index IFRS 16'!$K$6="Português",$C56,$B56)</f>
        <v>Senior Analyst</v>
      </c>
      <c r="E56" s="216" t="str">
        <f>IF('Índice IFRS 16 | Index IFRS 16'!$K$6="Português",$C$1048522,$B$1048522)</f>
        <v xml:space="preserve">Man </v>
      </c>
      <c r="F56" s="217">
        <v>0.55000000000000004</v>
      </c>
      <c r="G56" s="259">
        <v>0.16</v>
      </c>
      <c r="H56" s="263">
        <v>0.77</v>
      </c>
      <c r="I56" s="263">
        <v>7.0000000000000007E-2</v>
      </c>
    </row>
    <row r="57" spans="2:9" s="191" customFormat="1" ht="12">
      <c r="D57" s="258"/>
      <c r="E57" s="214" t="str">
        <f>IF('Índice IFRS 16 | Index IFRS 16'!$K$6="Português",$C$1048523,$B$1048523)</f>
        <v>Woman</v>
      </c>
      <c r="F57" s="215">
        <v>0.45</v>
      </c>
      <c r="G57" s="260"/>
      <c r="H57" s="260"/>
      <c r="I57" s="260"/>
    </row>
    <row r="58" spans="2:9" s="191" customFormat="1" ht="4.5" customHeight="1" thickBot="1">
      <c r="E58" s="208"/>
      <c r="F58" s="204"/>
      <c r="G58" s="205"/>
      <c r="H58" s="205"/>
      <c r="I58" s="205"/>
    </row>
    <row r="59" spans="2:9" s="191" customFormat="1" ht="12.75" thickTop="1">
      <c r="B59" s="191" t="s">
        <v>423</v>
      </c>
      <c r="C59" s="191" t="s">
        <v>424</v>
      </c>
      <c r="D59" s="262" t="str">
        <f>IF('Índice IFRS 16 | Index IFRS 16'!$K$6="Português",$C59,$B59)</f>
        <v>Full Analyst</v>
      </c>
      <c r="E59" s="216" t="str">
        <f>IF('Índice IFRS 16 | Index IFRS 16'!$K$6="Português",$C$1048522,$B$1048522)</f>
        <v xml:space="preserve">Man </v>
      </c>
      <c r="F59" s="217">
        <v>0.55000000000000004</v>
      </c>
      <c r="G59" s="259">
        <v>0.27</v>
      </c>
      <c r="H59" s="263">
        <v>0.69</v>
      </c>
      <c r="I59" s="263">
        <v>0.04</v>
      </c>
    </row>
    <row r="60" spans="2:9" s="191" customFormat="1" ht="12">
      <c r="D60" s="258"/>
      <c r="E60" s="214" t="str">
        <f>IF('Índice IFRS 16 | Index IFRS 16'!$K$6="Português",$C$1048523,$B$1048523)</f>
        <v>Woman</v>
      </c>
      <c r="F60" s="215">
        <v>0.45</v>
      </c>
      <c r="G60" s="260"/>
      <c r="H60" s="260"/>
      <c r="I60" s="260"/>
    </row>
    <row r="61" spans="2:9" s="191" customFormat="1" ht="4.5" customHeight="1" thickBot="1">
      <c r="E61" s="208"/>
      <c r="F61" s="204"/>
      <c r="G61" s="205"/>
      <c r="H61" s="205"/>
      <c r="I61" s="205"/>
    </row>
    <row r="62" spans="2:9" s="191" customFormat="1" ht="12.75" thickTop="1">
      <c r="B62" s="191" t="s">
        <v>425</v>
      </c>
      <c r="C62" s="191" t="s">
        <v>426</v>
      </c>
      <c r="D62" s="262" t="str">
        <f>IF('Índice IFRS 16 | Index IFRS 16'!$K$6="Português",$C62,$B62)</f>
        <v>Analyst Jr</v>
      </c>
      <c r="E62" s="216" t="str">
        <f>IF('Índice IFRS 16 | Index IFRS 16'!$K$6="Português",$C$1048522,$B$1048522)</f>
        <v xml:space="preserve">Man </v>
      </c>
      <c r="F62" s="217">
        <v>0.53</v>
      </c>
      <c r="G62" s="259">
        <v>0.49</v>
      </c>
      <c r="H62" s="263">
        <v>0.49</v>
      </c>
      <c r="I62" s="263">
        <v>0.02</v>
      </c>
    </row>
    <row r="63" spans="2:9" s="191" customFormat="1" ht="12">
      <c r="D63" s="258"/>
      <c r="E63" s="214" t="str">
        <f>IF('Índice IFRS 16 | Index IFRS 16'!$K$6="Português",$C$1048523,$B$1048523)</f>
        <v>Woman</v>
      </c>
      <c r="F63" s="215">
        <v>0.47</v>
      </c>
      <c r="G63" s="260"/>
      <c r="H63" s="260"/>
      <c r="I63" s="260"/>
    </row>
    <row r="64" spans="2:9" s="191" customFormat="1" ht="4.5" customHeight="1" thickBot="1">
      <c r="E64" s="208"/>
      <c r="F64" s="204"/>
      <c r="G64" s="205"/>
      <c r="H64" s="205"/>
      <c r="I64" s="205"/>
    </row>
    <row r="65" spans="2:9" s="191" customFormat="1" ht="12.75" thickTop="1">
      <c r="B65" s="191" t="s">
        <v>427</v>
      </c>
      <c r="C65" s="191" t="s">
        <v>428</v>
      </c>
      <c r="D65" s="262" t="str">
        <f>IF('Índice IFRS 16 | Index IFRS 16'!$K$6="Português",$C65,$B65)</f>
        <v>Auxiliary/Assistant</v>
      </c>
      <c r="E65" s="216" t="str">
        <f>IF('Índice IFRS 16 | Index IFRS 16'!$K$6="Português",$C$1048522,$B$1048522)</f>
        <v xml:space="preserve">Man </v>
      </c>
      <c r="F65" s="217">
        <v>0.65</v>
      </c>
      <c r="G65" s="259">
        <v>0.49</v>
      </c>
      <c r="H65" s="263">
        <v>0.49</v>
      </c>
      <c r="I65" s="263">
        <v>0.02</v>
      </c>
    </row>
    <row r="66" spans="2:9" s="191" customFormat="1" ht="12">
      <c r="D66" s="258"/>
      <c r="E66" s="214" t="str">
        <f>IF('Índice IFRS 16 | Index IFRS 16'!$K$6="Português",$C$1048523,$B$1048523)</f>
        <v>Woman</v>
      </c>
      <c r="F66" s="215">
        <v>0.35</v>
      </c>
      <c r="G66" s="260"/>
      <c r="H66" s="260"/>
      <c r="I66" s="260"/>
    </row>
    <row r="67" spans="2:9" s="191" customFormat="1" ht="4.5" customHeight="1" thickBot="1">
      <c r="E67" s="208"/>
      <c r="F67" s="204"/>
      <c r="G67" s="205"/>
      <c r="H67" s="205"/>
      <c r="I67" s="205"/>
    </row>
    <row r="68" spans="2:9" s="191" customFormat="1" ht="12.75" thickTop="1">
      <c r="B68" s="191" t="s">
        <v>429</v>
      </c>
      <c r="C68" s="191" t="s">
        <v>430</v>
      </c>
      <c r="D68" s="262" t="str">
        <f>IF('Índice IFRS 16 | Index IFRS 16'!$K$6="Português",$C68,$B68)</f>
        <v>Operational</v>
      </c>
      <c r="E68" s="216" t="str">
        <f>IF('Índice IFRS 16 | Index IFRS 16'!$K$6="Português",$C$1048522,$B$1048522)</f>
        <v xml:space="preserve">Man </v>
      </c>
      <c r="F68" s="217">
        <v>0.9</v>
      </c>
      <c r="G68" s="259">
        <v>0.21</v>
      </c>
      <c r="H68" s="263">
        <v>0.69</v>
      </c>
      <c r="I68" s="263">
        <v>0.09</v>
      </c>
    </row>
    <row r="69" spans="2:9" s="191" customFormat="1" ht="12">
      <c r="D69" s="258"/>
      <c r="E69" s="214" t="str">
        <f>IF('Índice IFRS 16 | Index IFRS 16'!$K$6="Português",$C$1048523,$B$1048523)</f>
        <v>Woman</v>
      </c>
      <c r="F69" s="215">
        <v>0.1</v>
      </c>
      <c r="G69" s="260"/>
      <c r="H69" s="260"/>
      <c r="I69" s="260"/>
    </row>
    <row r="70" spans="2:9" s="191" customFormat="1" ht="4.5" customHeight="1" thickBot="1">
      <c r="E70" s="208"/>
      <c r="F70" s="204"/>
      <c r="G70" s="205"/>
      <c r="H70" s="205"/>
      <c r="I70" s="205"/>
    </row>
    <row r="71" spans="2:9" s="191" customFormat="1" ht="12.75" thickTop="1">
      <c r="B71" s="191" t="s">
        <v>378</v>
      </c>
      <c r="C71" s="191" t="s">
        <v>378</v>
      </c>
      <c r="D71" s="262" t="str">
        <f>IF('Índice IFRS 16 | Index IFRS 16'!$K$6="Português",$C71,$B71)</f>
        <v>Call Center</v>
      </c>
      <c r="E71" s="216" t="str">
        <f>IF('Índice IFRS 16 | Index IFRS 16'!$K$6="Português",$C$1048522,$B$1048522)</f>
        <v xml:space="preserve">Man </v>
      </c>
      <c r="F71" s="217">
        <v>0.4</v>
      </c>
      <c r="G71" s="259">
        <v>0.41</v>
      </c>
      <c r="H71" s="263">
        <v>0.55000000000000004</v>
      </c>
      <c r="I71" s="263">
        <v>0.04</v>
      </c>
    </row>
    <row r="72" spans="2:9" s="191" customFormat="1" ht="12">
      <c r="D72" s="258"/>
      <c r="E72" s="214" t="str">
        <f>IF('Índice IFRS 16 | Index IFRS 16'!$K$6="Português",$C$1048523,$B$1048523)</f>
        <v>Woman</v>
      </c>
      <c r="F72" s="215">
        <v>0.6</v>
      </c>
      <c r="G72" s="260"/>
      <c r="H72" s="260"/>
      <c r="I72" s="260"/>
    </row>
    <row r="73" spans="2:9" s="191" customFormat="1" ht="4.5" customHeight="1" thickBot="1">
      <c r="E73" s="208"/>
      <c r="F73" s="204"/>
      <c r="G73" s="205"/>
      <c r="H73" s="205"/>
      <c r="I73" s="205"/>
    </row>
    <row r="74" spans="2:9" s="191" customFormat="1" ht="12.75" thickTop="1">
      <c r="B74" s="191" t="s">
        <v>431</v>
      </c>
      <c r="C74" s="191" t="s">
        <v>431</v>
      </c>
      <c r="D74" s="262" t="str">
        <f>IF('Índice IFRS 16 | Index IFRS 16'!$K$6="Português",$C74,$B74)</f>
        <v>Cargas</v>
      </c>
      <c r="E74" s="216" t="str">
        <f>IF('Índice IFRS 16 | Index IFRS 16'!$K$6="Português",$C$1048522,$B$1048522)</f>
        <v xml:space="preserve">Man </v>
      </c>
      <c r="F74" s="217">
        <v>0.74</v>
      </c>
      <c r="G74" s="259">
        <v>0.38</v>
      </c>
      <c r="H74" s="263">
        <v>0.6</v>
      </c>
      <c r="I74" s="263">
        <v>0.03</v>
      </c>
    </row>
    <row r="75" spans="2:9" s="191" customFormat="1" ht="12">
      <c r="D75" s="258"/>
      <c r="E75" s="214" t="str">
        <f>IF('Índice IFRS 16 | Index IFRS 16'!$K$6="Português",$C$1048523,$B$1048523)</f>
        <v>Woman</v>
      </c>
      <c r="F75" s="215">
        <v>0.26</v>
      </c>
      <c r="G75" s="260"/>
      <c r="H75" s="260"/>
      <c r="I75" s="260"/>
    </row>
    <row r="76" spans="2:9" s="191" customFormat="1" ht="4.5" customHeight="1" thickBot="1">
      <c r="E76" s="208"/>
      <c r="F76" s="204"/>
      <c r="G76" s="205"/>
      <c r="H76" s="205"/>
      <c r="I76" s="205"/>
    </row>
    <row r="77" spans="2:9" s="191" customFormat="1" ht="12.75" thickTop="1">
      <c r="B77" s="191" t="s">
        <v>432</v>
      </c>
      <c r="C77" s="191" t="s">
        <v>433</v>
      </c>
      <c r="D77" s="262" t="str">
        <f>IF('Índice IFRS 16 | Index IFRS 16'!$K$6="Português",$C77,$B77)</f>
        <v>Airport</v>
      </c>
      <c r="E77" s="216" t="str">
        <f>IF('Índice IFRS 16 | Index IFRS 16'!$K$6="Português",$C$1048522,$B$1048522)</f>
        <v xml:space="preserve">Man </v>
      </c>
      <c r="F77" s="217">
        <v>0.49</v>
      </c>
      <c r="G77" s="259">
        <v>0.37</v>
      </c>
      <c r="H77" s="263">
        <v>0.59</v>
      </c>
      <c r="I77" s="263">
        <v>0.04</v>
      </c>
    </row>
    <row r="78" spans="2:9" s="191" customFormat="1" ht="12">
      <c r="D78" s="258"/>
      <c r="E78" s="214" t="str">
        <f>IF('Índice IFRS 16 | Index IFRS 16'!$K$6="Português",$C$1048523,$B$1048523)</f>
        <v>Woman</v>
      </c>
      <c r="F78" s="215">
        <v>0.51</v>
      </c>
      <c r="G78" s="260"/>
      <c r="H78" s="260"/>
      <c r="I78" s="260"/>
    </row>
    <row r="79" spans="2:9" s="191" customFormat="1" ht="4.5" customHeight="1" thickBot="1">
      <c r="E79" s="208"/>
      <c r="F79" s="204"/>
      <c r="G79" s="205"/>
      <c r="H79" s="205"/>
      <c r="I79" s="205"/>
    </row>
    <row r="80" spans="2:9" s="191" customFormat="1" ht="12.75" thickTop="1">
      <c r="B80" s="191" t="s">
        <v>381</v>
      </c>
      <c r="C80" s="191" t="s">
        <v>382</v>
      </c>
      <c r="D80" s="262" t="str">
        <f>IF('Índice IFRS 16 | Index IFRS 16'!$K$6="Português",$C80,$B80)</f>
        <v>Maintenance</v>
      </c>
      <c r="E80" s="216" t="str">
        <f>IF('Índice IFRS 16 | Index IFRS 16'!$K$6="Português",$C$1048522,$B$1048522)</f>
        <v xml:space="preserve">Man </v>
      </c>
      <c r="F80" s="217">
        <v>0.96</v>
      </c>
      <c r="G80" s="259">
        <v>0.1</v>
      </c>
      <c r="H80" s="263">
        <v>0.76</v>
      </c>
      <c r="I80" s="263">
        <v>0.13</v>
      </c>
    </row>
    <row r="81" spans="2:9" s="191" customFormat="1" ht="12">
      <c r="D81" s="258"/>
      <c r="E81" s="214" t="str">
        <f>IF('Índice IFRS 16 | Index IFRS 16'!$K$6="Português",$C$1048523,$B$1048523)</f>
        <v>Woman</v>
      </c>
      <c r="F81" s="215">
        <v>0.04</v>
      </c>
      <c r="G81" s="260"/>
      <c r="H81" s="260"/>
      <c r="I81" s="260"/>
    </row>
    <row r="82" spans="2:9" s="191" customFormat="1" ht="4.5" customHeight="1" thickBot="1">
      <c r="E82" s="208"/>
      <c r="F82" s="204"/>
      <c r="G82" s="205"/>
      <c r="H82" s="205"/>
      <c r="I82" s="205"/>
    </row>
    <row r="83" spans="2:9" s="191" customFormat="1" ht="12.75" thickTop="1">
      <c r="B83" s="191" t="s">
        <v>434</v>
      </c>
      <c r="C83" s="191" t="s">
        <v>380</v>
      </c>
      <c r="D83" s="262" t="str">
        <f>IF('Índice IFRS 16 | Index IFRS 16'!$K$6="Português",$C83,$B83)</f>
        <v>Flight Attendants</v>
      </c>
      <c r="E83" s="216" t="str">
        <f>IF('Índice IFRS 16 | Index IFRS 16'!$K$6="Português",$C$1048522,$B$1048522)</f>
        <v xml:space="preserve">Man </v>
      </c>
      <c r="F83" s="217">
        <v>0.22</v>
      </c>
      <c r="G83" s="259">
        <v>0.26</v>
      </c>
      <c r="H83" s="263">
        <v>0.73</v>
      </c>
      <c r="I83" s="263">
        <v>0.01</v>
      </c>
    </row>
    <row r="84" spans="2:9" s="191" customFormat="1" ht="12">
      <c r="D84" s="258"/>
      <c r="E84" s="214" t="str">
        <f>IF('Índice IFRS 16 | Index IFRS 16'!$K$6="Português",$C$1048523,$B$1048523)</f>
        <v>Woman</v>
      </c>
      <c r="F84" s="215">
        <v>0.78</v>
      </c>
      <c r="G84" s="260"/>
      <c r="H84" s="260"/>
      <c r="I84" s="260"/>
    </row>
    <row r="85" spans="2:9" s="191" customFormat="1" ht="4.5" customHeight="1" thickBot="1">
      <c r="E85" s="208"/>
      <c r="F85" s="204"/>
      <c r="G85" s="205"/>
      <c r="H85" s="205"/>
      <c r="I85" s="205"/>
    </row>
    <row r="86" spans="2:9" s="191" customFormat="1" ht="12.75" thickTop="1">
      <c r="B86" s="191" t="s">
        <v>383</v>
      </c>
      <c r="C86" s="191" t="s">
        <v>384</v>
      </c>
      <c r="D86" s="262" t="str">
        <f>IF('Índice IFRS 16 | Index IFRS 16'!$K$6="Português",$C86,$B86)</f>
        <v>Pilots</v>
      </c>
      <c r="E86" s="216" t="str">
        <f>IF('Índice IFRS 16 | Index IFRS 16'!$K$6="Português",$C$1048522,$B$1048522)</f>
        <v xml:space="preserve">Man </v>
      </c>
      <c r="F86" s="217">
        <v>0.96</v>
      </c>
      <c r="G86" s="259">
        <v>0.13</v>
      </c>
      <c r="H86" s="263">
        <v>0.67</v>
      </c>
      <c r="I86" s="263">
        <v>0.19</v>
      </c>
    </row>
    <row r="87" spans="2:9" s="191" customFormat="1" ht="12">
      <c r="D87" s="258"/>
      <c r="E87" s="214" t="str">
        <f>IF('Índice IFRS 16 | Index IFRS 16'!$K$6="Português",$C$1048523,$B$1048523)</f>
        <v>Woman</v>
      </c>
      <c r="F87" s="215">
        <v>0.04</v>
      </c>
      <c r="G87" s="260"/>
      <c r="H87" s="260"/>
      <c r="I87" s="260"/>
    </row>
    <row r="88" spans="2:9" s="191" customFormat="1" ht="4.5" customHeight="1" thickBot="1">
      <c r="E88" s="208"/>
      <c r="F88" s="204"/>
      <c r="G88" s="205"/>
      <c r="H88" s="205"/>
      <c r="I88" s="205"/>
    </row>
    <row r="89" spans="2:9" s="191" customFormat="1" ht="12.75" thickTop="1">
      <c r="B89" s="191" t="s">
        <v>363</v>
      </c>
      <c r="C89" s="191" t="s">
        <v>363</v>
      </c>
      <c r="D89" s="262" t="str">
        <f>IF('Índice IFRS 16 | Index IFRS 16'!$K$6="Português",$C89,$B89)</f>
        <v>Total</v>
      </c>
      <c r="E89" s="216" t="str">
        <f>IF('Índice IFRS 16 | Index IFRS 16'!$K$6="Português",$C$1048522,$B$1048522)</f>
        <v xml:space="preserve">Man </v>
      </c>
      <c r="F89" s="217">
        <v>0.59</v>
      </c>
      <c r="G89" s="259">
        <v>0.25</v>
      </c>
      <c r="H89" s="263">
        <v>0.67</v>
      </c>
      <c r="I89" s="263">
        <v>0.08</v>
      </c>
    </row>
    <row r="90" spans="2:9" s="191" customFormat="1" ht="12">
      <c r="D90" s="258"/>
      <c r="E90" s="214" t="str">
        <f>IF('Índice IFRS 16 | Index IFRS 16'!$K$6="Português",$C$1048523,$B$1048523)</f>
        <v>Woman</v>
      </c>
      <c r="F90" s="215">
        <v>0.41</v>
      </c>
      <c r="G90" s="260"/>
      <c r="H90" s="260"/>
      <c r="I90" s="260"/>
    </row>
    <row r="91" spans="2:9">
      <c r="F91" s="206"/>
      <c r="G91" s="206"/>
      <c r="H91" s="206"/>
      <c r="I91" s="206"/>
    </row>
    <row r="92" spans="2:9" ht="15.75" thickBot="1">
      <c r="B92" s="99" t="s">
        <v>528</v>
      </c>
      <c r="C92" s="99" t="s">
        <v>529</v>
      </c>
      <c r="D92" s="103" t="str">
        <f>IF('Índice IFRS 16 | Index IFRS 16'!$K$6="Português",$C92,$B92)</f>
        <v>Difference between men and women employees (%)</v>
      </c>
      <c r="E92" s="118">
        <f>IF('Índice IFRS 16 | Index IFRS 16'!$K$6="Português",$C1048510,$B1048510)</f>
        <v>2021</v>
      </c>
    </row>
    <row r="93" spans="2:9">
      <c r="B93" s="191" t="s">
        <v>530</v>
      </c>
      <c r="C93" s="191" t="s">
        <v>536</v>
      </c>
      <c r="D93" s="191" t="str">
        <f>IF('Índice IFRS 16 | Index IFRS 16'!$K$6="Português",$C93,$B93)</f>
        <v>Mean gender pay gap</v>
      </c>
      <c r="E93" s="206">
        <v>3</v>
      </c>
    </row>
    <row r="94" spans="2:9">
      <c r="B94" s="191" t="s">
        <v>531</v>
      </c>
      <c r="C94" s="191" t="s">
        <v>537</v>
      </c>
      <c r="D94" s="191" t="str">
        <f>IF('Índice IFRS 16 | Index IFRS 16'!$K$6="Português",$C94,$B94)</f>
        <v>Median gender pay gap</v>
      </c>
      <c r="E94" s="206">
        <v>5</v>
      </c>
    </row>
    <row r="95" spans="2:9">
      <c r="B95" s="191" t="s">
        <v>532</v>
      </c>
      <c r="C95" s="191" t="s">
        <v>534</v>
      </c>
      <c r="D95" s="191" t="str">
        <f>IF('Índice IFRS 16 | Index IFRS 16'!$K$6="Português",$C95,$B95)</f>
        <v>Mean bonus gap</v>
      </c>
      <c r="E95" s="206">
        <v>7</v>
      </c>
    </row>
    <row r="96" spans="2:9">
      <c r="B96" s="191" t="s">
        <v>533</v>
      </c>
      <c r="C96" s="191" t="s">
        <v>535</v>
      </c>
      <c r="D96" s="191" t="str">
        <f>IF('Índice IFRS 16 | Index IFRS 16'!$K$6="Português",$C96,$B96)</f>
        <v>Median bonus gap</v>
      </c>
      <c r="E96" s="206">
        <v>8</v>
      </c>
    </row>
    <row r="99" spans="2:6" ht="15.75" thickBot="1">
      <c r="B99" s="190" t="s">
        <v>492</v>
      </c>
      <c r="C99" s="190" t="s">
        <v>493</v>
      </c>
      <c r="D99" s="103" t="str">
        <f>IF('Índice IFRS 16 | Index IFRS 16'!$K$6="Português",$C99,$B99)</f>
        <v>Diversity - Other Minority Groups</v>
      </c>
      <c r="E99" s="182" t="str">
        <f>IF('Índice IFRS 16 | Index IFRS 16'!$K$6="Português",$C1048517,$B1048517)</f>
        <v>Black People</v>
      </c>
      <c r="F99" s="182" t="str">
        <f>IF('Índice IFRS 16 | Index IFRS 16'!$K$6="Português",$C1048518,$B1048518)</f>
        <v>Disabled People</v>
      </c>
    </row>
    <row r="100" spans="2:6" s="191" customFormat="1" ht="12">
      <c r="B100" s="191" t="s">
        <v>411</v>
      </c>
      <c r="C100" s="191" t="s">
        <v>412</v>
      </c>
      <c r="D100" s="193" t="str">
        <f>IF('Índice IFRS 16 | Index IFRS 16'!$K$6="Português",$C100,$B100)</f>
        <v>Director</v>
      </c>
      <c r="E100" s="207">
        <v>0</v>
      </c>
      <c r="F100" s="207">
        <v>0</v>
      </c>
    </row>
    <row r="101" spans="2:6" s="191" customFormat="1" ht="12">
      <c r="B101" s="191" t="s">
        <v>436</v>
      </c>
      <c r="C101" s="191" t="s">
        <v>437</v>
      </c>
      <c r="D101" s="193" t="str">
        <f>IF('Índice IFRS 16 | Index IFRS 16'!$K$6="Português",$C101,$B101)</f>
        <v>General Manager/Sr</v>
      </c>
      <c r="E101" s="207">
        <v>0</v>
      </c>
      <c r="F101" s="207">
        <v>0</v>
      </c>
    </row>
    <row r="102" spans="2:6" s="191" customFormat="1" ht="12">
      <c r="B102" s="191" t="s">
        <v>415</v>
      </c>
      <c r="C102" s="191" t="s">
        <v>416</v>
      </c>
      <c r="D102" s="193" t="str">
        <f>IF('Índice IFRS 16 | Index IFRS 16'!$K$6="Português",$C102,$B102)</f>
        <v>Manager</v>
      </c>
      <c r="E102" s="207">
        <v>0.02</v>
      </c>
      <c r="F102" s="207">
        <v>0</v>
      </c>
    </row>
    <row r="103" spans="2:6" s="191" customFormat="1" ht="12">
      <c r="B103" s="191" t="s">
        <v>417</v>
      </c>
      <c r="C103" s="191" t="s">
        <v>418</v>
      </c>
      <c r="D103" s="193" t="str">
        <f>IF('Índice IFRS 16 | Index IFRS 16'!$K$6="Português",$C103,$B103)</f>
        <v>Airport Manager</v>
      </c>
      <c r="E103" s="207">
        <v>0.02</v>
      </c>
      <c r="F103" s="207">
        <v>0</v>
      </c>
    </row>
    <row r="104" spans="2:6" s="191" customFormat="1" ht="12">
      <c r="B104" s="191" t="s">
        <v>438</v>
      </c>
      <c r="C104" s="191" t="s">
        <v>420</v>
      </c>
      <c r="D104" s="180" t="str">
        <f>IF('Índice IFRS 16 | Index IFRS 16'!$K$6="Português",$C104,$B104)</f>
        <v>Specialist/ Supervisor/ Coordinator</v>
      </c>
      <c r="E104" s="207">
        <v>0.03</v>
      </c>
      <c r="F104" s="207">
        <v>0.01</v>
      </c>
    </row>
    <row r="105" spans="2:6" s="191" customFormat="1" ht="12">
      <c r="B105" s="191" t="s">
        <v>439</v>
      </c>
      <c r="C105" s="191" t="s">
        <v>440</v>
      </c>
      <c r="D105" s="193" t="str">
        <f>IF('Índice IFRS 16 | Index IFRS 16'!$K$6="Português",$C105,$B105)</f>
        <v>Analyst Sr</v>
      </c>
      <c r="E105" s="207">
        <v>0.02</v>
      </c>
      <c r="F105" s="207">
        <v>0.01</v>
      </c>
    </row>
    <row r="106" spans="2:6" s="191" customFormat="1" ht="12">
      <c r="B106" s="191" t="s">
        <v>441</v>
      </c>
      <c r="C106" s="191" t="s">
        <v>442</v>
      </c>
      <c r="D106" s="193" t="str">
        <f>IF('Índice IFRS 16 | Index IFRS 16'!$K$6="Português",$C106,$B106)</f>
        <v>Analyst PI</v>
      </c>
      <c r="E106" s="207">
        <v>0.05</v>
      </c>
      <c r="F106" s="207">
        <v>0.02</v>
      </c>
    </row>
    <row r="107" spans="2:6" s="191" customFormat="1" ht="12">
      <c r="B107" s="191" t="s">
        <v>425</v>
      </c>
      <c r="C107" s="191" t="s">
        <v>426</v>
      </c>
      <c r="D107" s="193" t="str">
        <f>IF('Índice IFRS 16 | Index IFRS 16'!$K$6="Português",$C107,$B107)</f>
        <v>Analyst Jr</v>
      </c>
      <c r="E107" s="207">
        <v>0.08</v>
      </c>
      <c r="F107" s="207">
        <v>0.01</v>
      </c>
    </row>
    <row r="108" spans="2:6" s="191" customFormat="1" ht="12">
      <c r="B108" s="191" t="s">
        <v>443</v>
      </c>
      <c r="C108" s="191" t="s">
        <v>444</v>
      </c>
      <c r="D108" s="193" t="str">
        <f>IF('Índice IFRS 16 | Index IFRS 16'!$K$6="Português",$C108,$B108)</f>
        <v>Auxiliary/ Assistant</v>
      </c>
      <c r="E108" s="207">
        <v>0.12</v>
      </c>
      <c r="F108" s="207">
        <v>0.03</v>
      </c>
    </row>
    <row r="109" spans="2:6" s="191" customFormat="1" ht="12">
      <c r="B109" s="191" t="s">
        <v>445</v>
      </c>
      <c r="C109" s="191" t="s">
        <v>430</v>
      </c>
      <c r="D109" s="193" t="str">
        <f>IF('Índice IFRS 16 | Index IFRS 16'!$K$6="Português",$C109,$B109)</f>
        <v>Assistant</v>
      </c>
      <c r="E109" s="207">
        <v>0.1</v>
      </c>
      <c r="F109" s="207">
        <v>0.01</v>
      </c>
    </row>
    <row r="110" spans="2:6" s="191" customFormat="1" ht="12">
      <c r="B110" s="191" t="s">
        <v>378</v>
      </c>
      <c r="C110" s="191" t="s">
        <v>378</v>
      </c>
      <c r="D110" s="193" t="str">
        <f>IF('Índice IFRS 16 | Index IFRS 16'!$K$6="Português",$C110,$B110)</f>
        <v>Call Center</v>
      </c>
      <c r="E110" s="207">
        <v>0.13</v>
      </c>
      <c r="F110" s="207">
        <v>0.02</v>
      </c>
    </row>
    <row r="111" spans="2:6" s="191" customFormat="1" ht="12">
      <c r="B111" s="191" t="s">
        <v>431</v>
      </c>
      <c r="C111" s="191" t="s">
        <v>431</v>
      </c>
      <c r="D111" s="180" t="str">
        <f>IF('Índice IFRS 16 | Index IFRS 16'!$K$6="Português",$C111,$B111)</f>
        <v>Cargas</v>
      </c>
      <c r="E111" s="207">
        <v>0.12</v>
      </c>
      <c r="F111" s="207">
        <v>0</v>
      </c>
    </row>
    <row r="112" spans="2:6" s="191" customFormat="1" ht="12">
      <c r="B112" s="191" t="s">
        <v>432</v>
      </c>
      <c r="C112" s="191" t="s">
        <v>433</v>
      </c>
      <c r="D112" s="180" t="str">
        <f>IF('Índice IFRS 16 | Index IFRS 16'!$K$6="Português",$C112,$B112)</f>
        <v>Airport</v>
      </c>
      <c r="E112" s="207">
        <v>7.0000000000000007E-2</v>
      </c>
      <c r="F112" s="207">
        <v>0.02</v>
      </c>
    </row>
    <row r="113" spans="2:8" s="191" customFormat="1" ht="12">
      <c r="B113" s="191" t="s">
        <v>381</v>
      </c>
      <c r="C113" s="191" t="s">
        <v>382</v>
      </c>
      <c r="D113" s="180" t="str">
        <f>IF('Índice IFRS 16 | Index IFRS 16'!$K$6="Português",$C113,$B113)</f>
        <v>Maintenance</v>
      </c>
      <c r="E113" s="207">
        <v>7.0000000000000007E-2</v>
      </c>
      <c r="F113" s="207">
        <v>0</v>
      </c>
    </row>
    <row r="114" spans="2:8" s="191" customFormat="1" ht="12">
      <c r="B114" s="191" t="s">
        <v>434</v>
      </c>
      <c r="C114" s="191" t="s">
        <v>380</v>
      </c>
      <c r="D114" s="180" t="str">
        <f>IF('Índice IFRS 16 | Index IFRS 16'!$K$6="Português",$C114,$B114)</f>
        <v>Flight Attendants</v>
      </c>
      <c r="E114" s="207">
        <v>0.02</v>
      </c>
      <c r="F114" s="207">
        <v>0</v>
      </c>
    </row>
    <row r="115" spans="2:8" s="191" customFormat="1" ht="12">
      <c r="B115" s="191" t="s">
        <v>383</v>
      </c>
      <c r="C115" s="191" t="s">
        <v>384</v>
      </c>
      <c r="D115" s="180" t="str">
        <f>IF('Índice IFRS 16 | Index IFRS 16'!$K$6="Português",$C115,$B115)</f>
        <v>Pilots</v>
      </c>
      <c r="E115" s="207">
        <v>0.01</v>
      </c>
      <c r="F115" s="207">
        <v>0</v>
      </c>
    </row>
    <row r="116" spans="2:8" s="191" customFormat="1" ht="12">
      <c r="B116" s="191" t="s">
        <v>363</v>
      </c>
      <c r="C116" s="191" t="s">
        <v>363</v>
      </c>
      <c r="D116" s="180" t="str">
        <f>IF('Índice IFRS 16 | Index IFRS 16'!$K$6="Português",$C116,$B116)</f>
        <v>Total</v>
      </c>
      <c r="E116" s="207">
        <v>0.05</v>
      </c>
      <c r="F116" s="207">
        <v>0.01</v>
      </c>
    </row>
    <row r="119" spans="2:8" ht="15.75" thickBot="1">
      <c r="B119" s="99" t="s">
        <v>494</v>
      </c>
      <c r="C119" s="99" t="s">
        <v>495</v>
      </c>
      <c r="D119" s="183" t="str">
        <f>IF('Índice IFRS 16 | Index IFRS 16'!$K$6="Português",$C119,$B119)</f>
        <v>Ratio Between Base Compensation And Compensation Of Men And Women</v>
      </c>
      <c r="E119" s="182" t="str">
        <f>IF('Índice IFRS 16 | Index IFRS 16'!$K$6="Português",$C1048519,$B1048519)</f>
        <v>Ratio 2020</v>
      </c>
      <c r="F119" s="264" t="str">
        <f>IF('Índice IFRS 16 | Index IFRS 16'!$K$6="Português",$C1048520,$B1048520)</f>
        <v>Ratio 2021</v>
      </c>
      <c r="G119" s="265"/>
    </row>
    <row r="120" spans="2:8" s="191" customFormat="1" ht="42" customHeight="1">
      <c r="B120" s="191" t="s">
        <v>448</v>
      </c>
      <c r="C120" s="191" t="s">
        <v>449</v>
      </c>
      <c r="D120" s="180" t="str">
        <f>IF('Índice IFRS 16 | Index IFRS 16'!$K$6="Português",$C120,$B120)</f>
        <v>Job Category</v>
      </c>
      <c r="E120" s="209" t="str">
        <f>IF('Índice IFRS 16 | Index IFRS 16'!$K$6="Português",$C1048524,$B1048524)</f>
        <v>Ratio between women's and men's compensation</v>
      </c>
      <c r="F120" s="209" t="str">
        <f>IF('Índice IFRS 16 | Index IFRS 16'!$K$6="Português",$C1048525,$B1048525)</f>
        <v>Base Compensation</v>
      </c>
      <c r="G120" s="209" t="str">
        <f>IF('Índice IFRS 16 | Index IFRS 16'!$K$6="Português",$C1048526,$B1048526)</f>
        <v>Compensation</v>
      </c>
    </row>
    <row r="121" spans="2:8" s="191" customFormat="1" ht="12">
      <c r="B121" s="191" t="s">
        <v>411</v>
      </c>
      <c r="C121" s="191" t="s">
        <v>412</v>
      </c>
      <c r="D121" s="193" t="str">
        <f>IF('Índice IFRS 16 | Index IFRS 16'!$K$6="Português",$C121,$B121)</f>
        <v>Director</v>
      </c>
      <c r="E121" s="210">
        <v>0.95</v>
      </c>
      <c r="F121" s="209" t="s">
        <v>453</v>
      </c>
      <c r="G121" s="209" t="s">
        <v>454</v>
      </c>
    </row>
    <row r="122" spans="2:8" s="191" customFormat="1" ht="12">
      <c r="B122" s="191" t="s">
        <v>455</v>
      </c>
      <c r="C122" s="191" t="s">
        <v>437</v>
      </c>
      <c r="D122" s="193" t="str">
        <f>IF('Índice IFRS 16 | Index IFRS 16'!$K$6="Português",$C122,$B122)</f>
        <v>General Manager/ Sr</v>
      </c>
      <c r="E122" s="210">
        <v>0.86</v>
      </c>
      <c r="F122" s="209" t="s">
        <v>456</v>
      </c>
      <c r="G122" s="209" t="s">
        <v>457</v>
      </c>
    </row>
    <row r="123" spans="2:8" s="191" customFormat="1" ht="12">
      <c r="B123" s="191" t="s">
        <v>415</v>
      </c>
      <c r="C123" s="191" t="s">
        <v>416</v>
      </c>
      <c r="D123" s="193" t="str">
        <f>IF('Índice IFRS 16 | Index IFRS 16'!$K$6="Português",$C123,$B123)</f>
        <v>Manager</v>
      </c>
      <c r="E123" s="210">
        <v>0.91</v>
      </c>
      <c r="F123" s="209" t="s">
        <v>458</v>
      </c>
      <c r="G123" s="209" t="s">
        <v>459</v>
      </c>
    </row>
    <row r="124" spans="2:8" s="191" customFormat="1" ht="12">
      <c r="B124" s="191" t="s">
        <v>417</v>
      </c>
      <c r="C124" s="191" t="s">
        <v>418</v>
      </c>
      <c r="D124" s="193" t="str">
        <f>IF('Índice IFRS 16 | Index IFRS 16'!$K$6="Português",$C124,$B124)</f>
        <v>Airport Manager</v>
      </c>
      <c r="E124" s="210">
        <v>0.9</v>
      </c>
      <c r="F124" s="209" t="s">
        <v>460</v>
      </c>
      <c r="G124" s="209" t="s">
        <v>461</v>
      </c>
    </row>
    <row r="127" spans="2:8" ht="15.75" thickBot="1">
      <c r="B127" s="191" t="s">
        <v>496</v>
      </c>
      <c r="C127" s="191" t="s">
        <v>497</v>
      </c>
      <c r="D127" s="183" t="str">
        <f>IF('Índice IFRS 16 | Index IFRS 16'!$K$6="Português",$C127,$B127)</f>
        <v xml:space="preserve">Hiring New Employees </v>
      </c>
      <c r="E127" s="182">
        <v>2018</v>
      </c>
      <c r="F127" s="182">
        <v>2019</v>
      </c>
      <c r="G127" s="182">
        <v>2020</v>
      </c>
      <c r="H127" s="182">
        <v>2021</v>
      </c>
    </row>
    <row r="128" spans="2:8" s="191" customFormat="1" ht="12">
      <c r="B128" s="191" t="s">
        <v>462</v>
      </c>
      <c r="C128" s="191" t="s">
        <v>463</v>
      </c>
      <c r="D128" s="192" t="str">
        <f>IF('Índice IFRS 16 | Index IFRS 16'!$K$6="Português",$C128,$B128)</f>
        <v>Total employees hired</v>
      </c>
      <c r="E128" s="211">
        <v>1787</v>
      </c>
      <c r="F128" s="211">
        <v>2614</v>
      </c>
      <c r="G128" s="211">
        <v>1243</v>
      </c>
      <c r="H128" s="211">
        <v>2275</v>
      </c>
    </row>
    <row r="129" spans="2:9" s="191" customFormat="1" ht="12">
      <c r="B129" s="191" t="s">
        <v>464</v>
      </c>
      <c r="C129" s="191" t="s">
        <v>465</v>
      </c>
      <c r="D129" s="192" t="str">
        <f>IF('Índice IFRS 16 | Index IFRS 16'!$K$6="Português",$C129,$B129)</f>
        <v>Positions filled by internal candidates</v>
      </c>
      <c r="E129" s="212">
        <v>0.67</v>
      </c>
      <c r="F129" s="232">
        <v>0.44</v>
      </c>
      <c r="G129" s="232">
        <v>0.37</v>
      </c>
      <c r="H129" s="232">
        <v>0.54</v>
      </c>
    </row>
    <row r="130" spans="2:9" s="191" customFormat="1" ht="12">
      <c r="B130" s="191" t="s">
        <v>466</v>
      </c>
      <c r="C130" s="191" t="s">
        <v>467</v>
      </c>
      <c r="D130" s="192" t="str">
        <f>IF('Índice IFRS 16 | Index IFRS 16'!$K$6="Português",$C130,$B130)</f>
        <v>Average cost of hiring</v>
      </c>
      <c r="E130" s="213">
        <v>674</v>
      </c>
      <c r="F130" s="213">
        <v>618</v>
      </c>
      <c r="G130" s="213">
        <v>1158</v>
      </c>
      <c r="H130" s="213">
        <v>526</v>
      </c>
    </row>
    <row r="133" spans="2:9" ht="15.75" thickBot="1">
      <c r="B133" s="190" t="s">
        <v>498</v>
      </c>
      <c r="C133" s="190" t="s">
        <v>499</v>
      </c>
      <c r="D133" s="183" t="str">
        <f>IF('Índice IFRS 16 | Index IFRS 16'!$K$6="Português",$C133,$B133)</f>
        <v xml:space="preserve">Total And Voluntary Turnover Rates </v>
      </c>
      <c r="E133" s="182">
        <v>2018</v>
      </c>
      <c r="F133" s="182">
        <v>2019</v>
      </c>
      <c r="G133" s="182">
        <v>2020</v>
      </c>
      <c r="H133" s="182">
        <v>2021</v>
      </c>
    </row>
    <row r="134" spans="2:9" s="191" customFormat="1" ht="12">
      <c r="B134" s="191" t="s">
        <v>557</v>
      </c>
      <c r="C134" s="191" t="s">
        <v>555</v>
      </c>
      <c r="D134" s="192" t="str">
        <f>IF('Índice IFRS 16 | Index IFRS 16'!$K$6="Português",$C134,$B134)</f>
        <v>Total turnover rate</v>
      </c>
      <c r="E134" s="231">
        <v>9.5999999999999992E-3</v>
      </c>
      <c r="F134" s="231">
        <v>1.18E-2</v>
      </c>
      <c r="G134" s="230">
        <v>2.1999999999999999E-2</v>
      </c>
      <c r="H134" s="230">
        <v>1.7999999999999999E-2</v>
      </c>
    </row>
    <row r="135" spans="2:9" s="191" customFormat="1" ht="12">
      <c r="B135" s="191" t="s">
        <v>558</v>
      </c>
      <c r="C135" s="191" t="s">
        <v>556</v>
      </c>
      <c r="D135" s="192" t="str">
        <f>IF('Índice IFRS 16 | Index IFRS 16'!$K$6="Português",$C135,$B135)</f>
        <v>Voluntary turnover rate</v>
      </c>
      <c r="E135" s="229">
        <v>2.5999999999999999E-2</v>
      </c>
      <c r="F135" s="229">
        <v>2.5999999999999999E-2</v>
      </c>
      <c r="G135" s="230">
        <v>2.8000000000000001E-2</v>
      </c>
      <c r="H135" s="230">
        <v>2.8000000000000001E-2</v>
      </c>
    </row>
    <row r="136" spans="2:9" s="191" customFormat="1" ht="12">
      <c r="D136" s="192"/>
      <c r="E136" s="195"/>
    </row>
    <row r="137" spans="2:9" s="191" customFormat="1" ht="13.5" thickBot="1">
      <c r="B137" s="191" t="s">
        <v>548</v>
      </c>
      <c r="C137" s="191" t="s">
        <v>547</v>
      </c>
      <c r="D137" s="183" t="str">
        <f>IF('Índice IFRS 16 | Index IFRS 16'!$K$6="Português",$C137,$B137)</f>
        <v>Social Investment and Donations</v>
      </c>
      <c r="E137" s="182">
        <f>IF('Índice IFRS 16 | Index IFRS 16'!$K$6="Português",$C1048510,$B1048510)</f>
        <v>2021</v>
      </c>
    </row>
    <row r="138" spans="2:9" s="191" customFormat="1" ht="12">
      <c r="B138" s="191" t="s">
        <v>550</v>
      </c>
      <c r="C138" s="191" t="s">
        <v>549</v>
      </c>
      <c r="D138" s="192" t="str">
        <f>IF('Índice IFRS 16 | Index IFRS 16'!$K$6="Português",$C138,$B138)</f>
        <v>Donations</v>
      </c>
      <c r="E138" s="226" t="s">
        <v>551</v>
      </c>
      <c r="F138" s="227"/>
      <c r="G138" s="228"/>
    </row>
    <row r="139" spans="2:9" s="191" customFormat="1" ht="12">
      <c r="B139" s="191" t="s">
        <v>554</v>
      </c>
      <c r="C139" s="191" t="s">
        <v>553</v>
      </c>
      <c r="D139" s="192" t="str">
        <f>IF('Índice IFRS 16 | Index IFRS 16'!$K$6="Português",$C139,$B139)</f>
        <v>Investment in Social Institutions</v>
      </c>
      <c r="E139" s="226" t="s">
        <v>552</v>
      </c>
      <c r="F139" s="227"/>
      <c r="G139" s="228"/>
    </row>
    <row r="140" spans="2:9" s="191" customFormat="1" ht="12">
      <c r="D140" s="192"/>
      <c r="E140" s="195"/>
      <c r="F140" s="227"/>
    </row>
    <row r="142" spans="2:9" ht="15.7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Nps annual</v>
      </c>
      <c r="E143" s="222" t="s">
        <v>504</v>
      </c>
      <c r="F143" s="222" t="s">
        <v>500</v>
      </c>
      <c r="G143" s="222" t="s">
        <v>501</v>
      </c>
      <c r="H143" s="222" t="s">
        <v>502</v>
      </c>
      <c r="I143" s="222" t="s">
        <v>503</v>
      </c>
    </row>
    <row r="144" spans="2:9">
      <c r="D144" s="192"/>
      <c r="E144" s="221"/>
      <c r="F144" s="221"/>
      <c r="G144" s="221"/>
      <c r="H144" s="221"/>
      <c r="I144" s="221"/>
    </row>
    <row r="145" spans="2:19" ht="15.75" thickBot="1">
      <c r="B145" s="225" t="s">
        <v>538</v>
      </c>
      <c r="C145" s="225" t="s">
        <v>539</v>
      </c>
      <c r="D145" s="183" t="str">
        <f>IF('Índice IFRS 16 | Index IFRS 16'!$K$6="Português",$C145,$B145)</f>
        <v>Greenhouse gas (GHG) emissions intensity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ton CO2 eq/ASK</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The company did not receive any complaints from regulatory bodies in fiscal 2021</v>
      </c>
    </row>
    <row r="150" spans="2:19">
      <c r="B150" s="99" t="s">
        <v>543</v>
      </c>
      <c r="C150" s="99" t="s">
        <v>544</v>
      </c>
      <c r="D150" s="190" t="str">
        <f>IF('Índice IFRS 16 | Index IFRS 16'!$K$6="Português",$C150,$B150)</f>
        <v>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v>
      </c>
    </row>
    <row r="151" spans="2:19">
      <c r="B151" s="99" t="s">
        <v>545</v>
      </c>
      <c r="C151" s="99" t="s">
        <v>546</v>
      </c>
      <c r="D151" s="190" t="str">
        <f>IF('Índice IFRS 16 | Index IFRS 16'!$K$6="Português",$C151,$B151)</f>
        <v>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T9" activePane="bottomRight" state="frozen"/>
      <selection activeCell="F2" sqref="F2"/>
      <selection pane="topRight" activeCell="F2" sqref="F2"/>
      <selection pane="bottomLeft" activeCell="F2" sqref="F2"/>
      <selection pane="bottomRight" activeCell="A2" sqref="A2"/>
    </sheetView>
  </sheetViews>
  <sheetFormatPr defaultColWidth="9.140625" defaultRowHeight="15"/>
  <cols>
    <col min="1" max="1" width="4.140625" style="5" customWidth="1"/>
    <col min="2" max="3" width="4.140625" style="5" hidden="1" customWidth="1"/>
    <col min="4" max="4" width="42.5703125" style="2" customWidth="1"/>
    <col min="5" max="28" width="12" style="2" customWidth="1"/>
    <col min="29" max="29" width="10.5703125" bestFit="1" customWidth="1"/>
    <col min="30" max="30" width="10.5703125" customWidth="1"/>
    <col min="31" max="31" width="9.140625" style="2"/>
    <col min="32" max="32" width="12.42578125" style="2" bestFit="1" customWidth="1"/>
    <col min="33" max="33" width="13.5703125" style="2" bestFit="1" customWidth="1"/>
    <col min="34" max="16384" width="9.140625" style="2"/>
  </cols>
  <sheetData>
    <row r="1" spans="1:35" s="168" customFormat="1" ht="14.2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Home</v>
      </c>
    </row>
    <row r="6" spans="1:35">
      <c r="B6" s="5" t="s">
        <v>157</v>
      </c>
      <c r="C6" s="5" t="s">
        <v>44</v>
      </c>
      <c r="D6" s="56" t="str">
        <f>IF('Índice IFRS 16 | Index IFRS 16'!$K$6="Português",$C6,$B6)</f>
        <v>Income statement</v>
      </c>
      <c r="E6" s="9"/>
      <c r="F6" s="9"/>
      <c r="G6" s="9"/>
      <c r="H6" s="9"/>
      <c r="I6" s="9"/>
      <c r="J6" s="9"/>
      <c r="K6" s="9"/>
      <c r="L6" s="9"/>
      <c r="M6" s="9"/>
      <c r="N6" s="9"/>
      <c r="O6" s="9"/>
      <c r="P6" s="9"/>
      <c r="Q6" s="9"/>
      <c r="R6" s="9"/>
      <c r="S6" s="9"/>
      <c r="T6" s="9"/>
      <c r="U6" s="9"/>
      <c r="V6" s="9"/>
      <c r="W6" s="9"/>
      <c r="X6" s="9"/>
      <c r="Y6" s="9"/>
      <c r="Z6" s="47"/>
      <c r="AA6" s="47"/>
      <c r="AB6" s="47"/>
    </row>
    <row r="7" spans="1:35" thickBot="1">
      <c r="A7" s="4"/>
      <c r="B7" s="4" t="s">
        <v>96</v>
      </c>
      <c r="C7" s="4" t="s">
        <v>96</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Passenger revenue</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Other revenue</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 xml:space="preserve">Total Operating revenue </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Operating expenses</v>
      </c>
      <c r="AC14" s="2"/>
      <c r="AD14" s="2"/>
      <c r="AE14" s="79"/>
      <c r="AF14" s="79"/>
      <c r="AG14" s="79"/>
      <c r="AH14" s="79"/>
      <c r="AI14" s="79"/>
    </row>
    <row r="15" spans="1:35" ht="12" customHeight="1">
      <c r="A15" s="4"/>
      <c r="B15" s="4" t="s">
        <v>163</v>
      </c>
      <c r="C15" s="4" t="s">
        <v>1</v>
      </c>
      <c r="D15" s="20" t="str">
        <f>IF('Índice IFRS 16 | Index IFRS 16'!$K$6="Português",$C15,$B15)</f>
        <v>Aircraft fuel</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Salaries, wages and benefits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Aircraft and other rent</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Landing fees</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Traffic and customer servicing</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Sales and marketing</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Maintenance materials and repairs</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Depreciation and amortization</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Other operating expenses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Operating expenses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Income (loss) for the period</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 xml:space="preserve">EBIT Margin </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 xml:space="preserve">Financial result </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Financial income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Financial expense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Derivative financial instruments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Foreign currency exchange, net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Related parties result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Loss before income tax</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Income tax and social contribution</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Deferred income tax and social contribution</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Income (loss) for the period</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Net Margin</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EBITDAR Margin</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Adjusted for new accounting standards, including the new revenue recognition standard, IFRS 15.</v>
      </c>
    </row>
    <row r="48" spans="1:35">
      <c r="B48" s="5" t="s">
        <v>297</v>
      </c>
      <c r="C48" s="5" t="s">
        <v>294</v>
      </c>
      <c r="D48" s="77" t="str">
        <f>IF('Índice IFRS 16 | Index IFRS 16'!$K$6="Português",$C48,$B48)</f>
        <v>2 Adjusted for non-recurring items totalling R$283.3 million. For more information, please refer to Azul's 2Q18 earnings release.</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P9" activePane="bottomRight" state="frozen"/>
      <selection activeCell="F2" sqref="F2"/>
      <selection pane="topRight" activeCell="F2" sqref="F2"/>
      <selection pane="bottomLeft" activeCell="F2" sqref="F2"/>
      <selection pane="bottomRight"/>
    </sheetView>
  </sheetViews>
  <sheetFormatPr defaultColWidth="9.140625" defaultRowHeight="12.75"/>
  <cols>
    <col min="1" max="1" width="4.140625" style="5" customWidth="1"/>
    <col min="2" max="3" width="4.140625" style="5" hidden="1" customWidth="1"/>
    <col min="4" max="4" width="42.5703125" style="2" customWidth="1"/>
    <col min="5" max="17" width="12" style="2" customWidth="1"/>
    <col min="18" max="19" width="10.5703125" style="2" bestFit="1" customWidth="1"/>
    <col min="20" max="20" width="10.7109375" style="2" bestFit="1" customWidth="1"/>
    <col min="21" max="21" width="10.7109375" style="2" customWidth="1"/>
    <col min="22" max="23" width="10.7109375" style="2" bestFit="1" customWidth="1"/>
    <col min="24" max="24" width="10.7109375" style="2" customWidth="1"/>
    <col min="25" max="16384" width="9.14062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5">
      <c r="Y2" s="160"/>
    </row>
    <row r="4" spans="1:26">
      <c r="D4" s="163" t="str">
        <f>IF('Índice IFRS 16 | Index IFRS 16'!$K$6="Português","Menu","Home")</f>
        <v>Home</v>
      </c>
    </row>
    <row r="6" spans="1:26">
      <c r="B6" s="5" t="s">
        <v>298</v>
      </c>
      <c r="C6" s="5" t="s">
        <v>55</v>
      </c>
      <c r="D6" s="56" t="str">
        <f>IF('Índice IFRS 16 | Index IFRS 16'!$K$6="Português",$C6,$B6)</f>
        <v>Balance sheet</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Assets</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Current assets</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 xml:space="preserve">  Cash and cash equivalents </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 xml:space="preserve">  Short-term investments </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 xml:space="preserve">  Restricted investments </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 xml:space="preserve">  Trade and other receivables </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 xml:space="preserve">  Inventories </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 xml:space="preserve">  Assets held for sale</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 xml:space="preserve">  Taxes recoverable</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 xml:space="preserve">  Derivative financial instruments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 xml:space="preserve">  Prepaid expenses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 xml:space="preserve">  Related Parties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 xml:space="preserve">  Other current assets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Non-current assets</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 xml:space="preserve">  Related parties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 xml:space="preserve">  Long-term investments</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 xml:space="preserve">  Restricted investments </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 xml:space="preserve">  Security deposits and maintenance reserves </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 xml:space="preserve">  Derivative financial instruments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 xml:space="preserve">  Prepaid expenses </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 xml:space="preserve">  Other non-current assets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 xml:space="preserve">  Property and equipment </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 xml:space="preserve">  Intangible assets </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Liabilities and equity</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Current liabilities</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 xml:space="preserve">  Loans and financing</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 xml:space="preserve">  Accounts payable</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 xml:space="preserve">  Accounts payable - forfaiting</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 xml:space="preserve">  Related Parties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 xml:space="preserve">  Air traffic liability </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 xml:space="preserve">  Salaries, wages and benefits </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 xml:space="preserve">  Insurance premiums payable</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 xml:space="preserve">  Taxes payable</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 xml:space="preserve">  Federal tax installment payment program</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 xml:space="preserve">  Derivative financial instruments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 xml:space="preserve">  Financial liabilities at fair value through profit and loss</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 xml:space="preserve">  Other current liabilities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Non-current liabilities</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 xml:space="preserve"> Loans and financing</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 xml:space="preserve"> Derivative financial instruments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 xml:space="preserve"> Deferred income taxes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 xml:space="preserve"> Federal tax installment payment program</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 xml:space="preserve"> Provision for tax, civil and labor risk</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 Provision for legal claims</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Other non-current liabilities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Equity</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 xml:space="preserve"> Issued capital </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 xml:space="preserve"> Capital reserve </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 xml:space="preserve"> Treasury shares</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 xml:space="preserve"> Accumulated other comprehensive income (loss) </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 xml:space="preserve"> Accumulated losses</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Adjusted for new accounting standards, including the new revenue recognition standard, IFRS 15.</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Andre Junqueira Ferreira</cp:lastModifiedBy>
  <cp:lastPrinted>2013-07-29T13:57:42Z</cp:lastPrinted>
  <dcterms:created xsi:type="dcterms:W3CDTF">2011-09-23T19:39:08Z</dcterms:created>
  <dcterms:modified xsi:type="dcterms:W3CDTF">2025-08-16T01:12:22Z</dcterms:modified>
</cp:coreProperties>
</file>