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4\2Q24\Fundamentos e Planilha\"/>
    </mc:Choice>
  </mc:AlternateContent>
  <xr:revisionPtr revIDLastSave="0" documentId="8_{76C35878-E0E1-47C8-9973-33485FF64ECD}" xr6:coauthVersionLast="47" xr6:coauthVersionMax="47" xr10:uidLastSave="{00000000-0000-0000-0000-000000000000}"/>
  <bookViews>
    <workbookView xWindow="-28920" yWindow="-3255" windowWidth="29040" windowHeight="15720" tabRatio="916" xr2:uid="{00000000-000D-0000-FFFF-FFFF00000000}"/>
  </bookViews>
  <sheets>
    <sheet name="Índice IFRS 16 | Index IFRS 16" sheetId="32" r:id="rId1"/>
    <sheet name="Índice IAS 17 | Index IAS 17" sheetId="31" r:id="rId2"/>
    <sheet name="DRE | Income Statement" sheetId="33" r:id="rId3"/>
    <sheet name="Balanço | Balance Sheet" sheetId="34" r:id="rId4"/>
    <sheet name="Dados Op. | Operating Data" sheetId="35" r:id="rId5"/>
    <sheet name="Azul ESG" sheetId="36" r:id="rId6"/>
    <sheet name="GRI" sheetId="38"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36" l="1"/>
  <c r="D64" i="36"/>
  <c r="D63" i="36"/>
  <c r="D62" i="36"/>
  <c r="D61" i="36"/>
  <c r="D60" i="36"/>
  <c r="D59" i="36"/>
  <c r="D58" i="36"/>
  <c r="D57" i="36"/>
  <c r="D56" i="36"/>
  <c r="D55" i="36"/>
  <c r="D54" i="36"/>
  <c r="D53" i="36"/>
  <c r="D52" i="36"/>
  <c r="D51" i="36"/>
  <c r="D50" i="36"/>
  <c r="D49" i="36"/>
  <c r="D19" i="36"/>
  <c r="D18" i="36"/>
  <c r="D106" i="36"/>
  <c r="D111" i="36"/>
  <c r="D110" i="36"/>
  <c r="D109" i="36"/>
  <c r="D108" i="36"/>
  <c r="D107" i="36"/>
  <c r="D105" i="36"/>
  <c r="D104" i="36"/>
  <c r="D38" i="36"/>
  <c r="AC100" i="36"/>
  <c r="AC97" i="36"/>
  <c r="AB41" i="36"/>
  <c r="AB40" i="36"/>
  <c r="AB39" i="36"/>
  <c r="AB38" i="36"/>
  <c r="AC32" i="36"/>
  <c r="AC22" i="36"/>
  <c r="AD7" i="33"/>
  <c r="T7" i="36"/>
  <c r="AC7" i="33"/>
  <c r="AC7" i="35"/>
  <c r="AD7" i="34"/>
  <c r="S7" i="36"/>
  <c r="AB7" i="35"/>
  <c r="AE7" i="34"/>
  <c r="AB7" i="33"/>
  <c r="D68" i="33"/>
  <c r="D54" i="35"/>
  <c r="D53" i="35"/>
  <c r="D67" i="33"/>
  <c r="AC7" i="36" l="1"/>
  <c r="R7" i="36"/>
  <c r="AL7" i="35"/>
  <c r="AA7" i="35"/>
  <c r="AC7" i="34"/>
  <c r="AL7" i="33"/>
  <c r="AA7" i="33"/>
  <c r="Q61" i="36"/>
  <c r="Q7" i="36"/>
  <c r="D59" i="34"/>
  <c r="D58" i="34"/>
  <c r="D57" i="34"/>
  <c r="D43" i="34"/>
  <c r="D42" i="34"/>
  <c r="D41" i="34"/>
  <c r="AB52" i="34" l="1"/>
  <c r="D52" i="35" l="1"/>
  <c r="AD7" i="35"/>
  <c r="AB7" i="34"/>
  <c r="D66" i="33"/>
  <c r="Z7" i="33"/>
  <c r="D39" i="34"/>
  <c r="D55" i="34"/>
  <c r="D51" i="35"/>
  <c r="P61" i="36" l="1"/>
  <c r="P7" i="36"/>
  <c r="Y7" i="35"/>
  <c r="AA7" i="34"/>
  <c r="D65" i="33"/>
  <c r="Y7" i="33"/>
  <c r="D79" i="36"/>
  <c r="D76" i="36"/>
  <c r="D50" i="35"/>
  <c r="U7" i="36"/>
  <c r="D64" i="33"/>
  <c r="X7" i="35"/>
  <c r="Y7" i="34"/>
  <c r="X7" i="33"/>
  <c r="D63" i="33"/>
  <c r="D62" i="33"/>
  <c r="D61" i="33"/>
  <c r="D48" i="35"/>
  <c r="D49" i="35"/>
  <c r="D47" i="35"/>
  <c r="AB7" i="36" l="1"/>
  <c r="O7" i="36"/>
  <c r="AK7" i="35"/>
  <c r="W7" i="35"/>
  <c r="Z7" i="34"/>
  <c r="AK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D37" i="36" l="1"/>
  <c r="C19" i="32"/>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36" i="36"/>
  <c r="D35" i="36"/>
  <c r="D34" i="36"/>
  <c r="D42" i="36"/>
  <c r="D41" i="36"/>
  <c r="D40" i="36"/>
  <c r="D39" i="36"/>
  <c r="D13" i="36" l="1"/>
  <c r="D12" i="36"/>
  <c r="D44" i="36"/>
  <c r="D43" i="36"/>
  <c r="D33" i="36"/>
  <c r="D32" i="36"/>
  <c r="D31" i="36"/>
  <c r="D30" i="36"/>
  <c r="D29" i="36"/>
  <c r="D28" i="36"/>
  <c r="D27" i="36"/>
  <c r="D26" i="36"/>
  <c r="D25" i="36"/>
  <c r="D24" i="36"/>
  <c r="D23" i="36"/>
  <c r="D22" i="36"/>
  <c r="D21" i="36"/>
  <c r="D17" i="36"/>
  <c r="M61" i="36"/>
  <c r="K61" i="36"/>
  <c r="D78" i="36" l="1"/>
  <c r="D77" i="36"/>
  <c r="D75" i="36"/>
  <c r="D74" i="36"/>
  <c r="D73" i="36"/>
  <c r="D72" i="36"/>
  <c r="D71" i="36"/>
  <c r="D70" i="36"/>
  <c r="D69" i="36"/>
  <c r="D68" i="36"/>
  <c r="D67" i="36"/>
  <c r="D102" i="36" l="1"/>
  <c r="D101" i="36"/>
  <c r="D100" i="36"/>
  <c r="D99" i="36"/>
  <c r="D98" i="36"/>
  <c r="D97" i="36"/>
  <c r="D96" i="36"/>
  <c r="D85" i="36" l="1"/>
  <c r="D84" i="36"/>
  <c r="D83" i="36"/>
  <c r="D82" i="36"/>
  <c r="D87" i="36"/>
  <c r="D58" i="33" l="1"/>
  <c r="M7" i="36"/>
  <c r="V7" i="35"/>
  <c r="V7" i="34"/>
  <c r="U7" i="33"/>
  <c r="AJ7" i="35"/>
  <c r="AI7" i="35"/>
  <c r="AH7" i="35"/>
  <c r="AG7" i="35"/>
  <c r="AF7" i="35"/>
  <c r="AJ7" i="33"/>
  <c r="AI7" i="33"/>
  <c r="AH7" i="33"/>
  <c r="AG7" i="33"/>
  <c r="AF7" i="33"/>
  <c r="D42" i="35"/>
  <c r="D41" i="35"/>
  <c r="D40" i="35"/>
  <c r="D39" i="35"/>
  <c r="D38" i="35"/>
  <c r="D37" i="35"/>
  <c r="D36" i="35"/>
  <c r="D35" i="35"/>
  <c r="D34" i="35"/>
  <c r="D33" i="35"/>
  <c r="D57" i="33" l="1"/>
  <c r="D56" i="33"/>
  <c r="D55" i="33" l="1"/>
  <c r="B8" i="32" l="1"/>
  <c r="D4" i="35"/>
  <c r="U7" i="34"/>
  <c r="AA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95" i="36"/>
  <c r="D94" i="36"/>
  <c r="D93" i="36"/>
  <c r="D92" i="36"/>
  <c r="D91" i="36"/>
  <c r="D90" i="36"/>
  <c r="D89" i="36"/>
  <c r="D81" i="36"/>
  <c r="D80" i="36"/>
  <c r="D48" i="36"/>
  <c r="D46" i="36"/>
  <c r="D16" i="36"/>
  <c r="D15" i="36"/>
  <c r="D14"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72" i="34"/>
  <c r="D71" i="34"/>
  <c r="D70" i="34"/>
  <c r="D69" i="34"/>
  <c r="D68" i="34"/>
  <c r="D67" i="34"/>
  <c r="D66" i="34"/>
  <c r="D65" i="34"/>
  <c r="D64" i="34"/>
  <c r="D63" i="34"/>
  <c r="D62" i="34"/>
  <c r="D61" i="34"/>
  <c r="D60" i="34"/>
  <c r="D56" i="34"/>
  <c r="D54" i="34"/>
  <c r="D53" i="34"/>
  <c r="D52" i="34"/>
  <c r="D51" i="34"/>
  <c r="D50" i="34"/>
  <c r="D49" i="34"/>
  <c r="D48" i="34"/>
  <c r="D47" i="34"/>
  <c r="D46" i="34"/>
  <c r="D45" i="34"/>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W7" i="36"/>
  <c r="X7" i="36"/>
  <c r="Y7" i="36"/>
  <c r="Z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F27" i="14"/>
  <c r="M27" i="14"/>
  <c r="G27" i="14" l="1"/>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<sst xmlns="http://schemas.openxmlformats.org/spreadsheetml/2006/main" count="1211" uniqueCount="762">
  <si>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</si>
  <si>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</si>
  <si>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</si>
  <si>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</si>
  <si>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</si>
  <si>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</si>
  <si>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</si>
  <si>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</si>
  <si>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</si>
  <si>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</si>
  <si>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</si>
  <si>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</si>
  <si>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</si>
  <si>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</si>
  <si>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</si>
  <si>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</si>
  <si>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</si>
  <si>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</si>
  <si>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</si>
  <si>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</si>
  <si>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</si>
  <si>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</si>
  <si>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</si>
  <si>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</si>
  <si>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</si>
  <si>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</si>
  <si>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</si>
  <si>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</si>
  <si>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</si>
  <si>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</si>
  <si>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</si>
  <si>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</si>
  <si>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</si>
  <si>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</si>
  <si>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</si>
  <si>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</si>
  <si>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</si>
  <si>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</si>
  <si>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</si>
  <si>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</si>
  <si>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</si>
  <si>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</si>
  <si>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</si>
  <si>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</si>
  <si>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</si>
  <si>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</si>
  <si>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</si>
  <si>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</si>
  <si>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</si>
  <si>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</si>
  <si>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</si>
  <si>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</si>
  <si>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</si>
  <si>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</si>
  <si>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</si>
  <si>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</si>
  <si>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</si>
  <si>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</si>
  <si>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</si>
  <si>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</si>
  <si>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</si>
  <si>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</si>
  <si>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</si>
  <si>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</si>
  <si>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</si>
  <si>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</si>
  <si>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</si>
  <si>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</si>
  <si>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</si>
  <si>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</si>
  <si>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</si>
  <si>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</si>
  <si>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</si>
  <si>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</si>
  <si>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</si>
  <si>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</si>
  <si>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</si>
  <si>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</si>
  <si>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</si>
  <si>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</si>
  <si>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</si>
  <si>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</si>
  <si>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</si>
  <si>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</si>
  <si>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</si>
  <si>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</si>
  <si>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</si>
  <si>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</si>
  <si>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</si>
  <si>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</si>
  <si>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</si>
  <si>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</si>
  <si>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</si>
  <si>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</si>
  <si>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</si>
  <si>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</si>
  <si>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</si>
  <si>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</si>
  <si>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</si>
  <si>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</si>
  <si>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</si>
  <si>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</si>
  <si>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</si>
  <si>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</si>
  <si>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</si>
  <si>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</si>
  <si>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</si>
  <si>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</si>
  <si>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</si>
  <si>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</si>
  <si>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</si>
  <si>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</si>
  <si>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</si>
  <si>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</si>
  <si>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</si>
  <si>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</si>
  <si>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</si>
  <si>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</si>
  <si>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</si>
  <si>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</si>
  <si>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</si>
  <si>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</si>
  <si>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</si>
  <si>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</si>
  <si>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</si>
  <si>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</si>
  <si>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</si>
  <si>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</si>
  <si>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</si>
  <si>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</si>
  <si>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</si>
  <si>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</si>
  <si>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</si>
  <si>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</si>
  <si>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</si>
  <si>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</si>
  <si>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</si>
  <si>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 xml:space="preserve">Idade média da frota operacional </t>
  </si>
  <si>
    <t>Social</t>
  </si>
  <si>
    <t>Relações Trabalhistas</t>
  </si>
  <si>
    <t>% de Rotatividade mensal de funcionários</t>
  </si>
  <si>
    <t>% de funcionários cobertos por acordos de negociação coletiva</t>
  </si>
  <si>
    <t>Número e duração de greves e bloqueios (# dias)</t>
  </si>
  <si>
    <t>Montante de multas e acordos legais e regulamentares associado a práticas anticoncorrenciais</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</si>
  <si>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</si>
  <si>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</si>
  <si>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</si>
  <si>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</si>
  <si>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</si>
  <si>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</si>
  <si>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</si>
  <si>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</si>
  <si>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Comportamento do Cliente e da Empresa</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</si>
  <si>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</si>
  <si>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</si>
  <si>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</si>
  <si>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</si>
  <si>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</si>
  <si>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</si>
  <si>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</si>
  <si>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</si>
  <si>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</si>
  <si>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</si>
  <si>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</si>
  <si>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</si>
  <si>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</si>
  <si>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</si>
  <si>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</si>
  <si>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</si>
  <si>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</si>
  <si>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</si>
  <si>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</si>
  <si>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</si>
  <si>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</si>
  <si>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</si>
  <si>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</si>
  <si>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</si>
  <si>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</si>
  <si>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</si>
  <si>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</si>
  <si>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</si>
  <si>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</si>
  <si>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</si>
  <si>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</si>
  <si>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</si>
  <si>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</si>
  <si>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</si>
  <si>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</si>
  <si>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</si>
  <si>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</si>
  <si>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</si>
  <si>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</si>
  <si>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</si>
  <si>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</si>
  <si>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</si>
  <si>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</si>
  <si>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</si>
  <si>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</si>
  <si>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</si>
  <si>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</si>
  <si>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</si>
  <si>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</si>
  <si>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</si>
  <si>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</si>
  <si>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</si>
  <si>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</si>
  <si>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</si>
  <si>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</si>
  <si>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</si>
  <si>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</si>
  <si>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</si>
  <si>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</si>
  <si>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</si>
  <si>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</si>
  <si>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</si>
  <si>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</si>
  <si>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</si>
  <si>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</si>
  <si>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</si>
  <si>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</si>
  <si>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</si>
  <si>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</si>
  <si>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</si>
  <si>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</si>
  <si>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</si>
  <si>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</si>
  <si>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</si>
  <si>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</si>
  <si>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</si>
  <si>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</si>
  <si>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</si>
  <si>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</si>
  <si>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</si>
  <si>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</si>
  <si>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</si>
  <si>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</si>
  <si>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</si>
  <si>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</si>
  <si>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</si>
  <si>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</si>
  <si>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</si>
  <si>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</si>
  <si>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</si>
  <si>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</si>
  <si>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</si>
  <si>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</si>
  <si>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</si>
  <si>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</si>
  <si>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</si>
  <si>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</si>
  <si>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</si>
  <si>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</si>
  <si>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</si>
  <si>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</si>
  <si>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</si>
  <si>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</si>
  <si>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</si>
  <si>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</si>
  <si>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</si>
  <si>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</si>
  <si>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</si>
  <si>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</si>
  <si>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</si>
  <si>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</si>
  <si>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</si>
  <si>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</si>
  <si>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</si>
  <si>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</si>
  <si>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</si>
  <si>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</si>
  <si>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</si>
  <si>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</si>
  <si>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</si>
  <si>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</si>
  <si>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</si>
  <si>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</si>
  <si>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</si>
  <si>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</si>
  <si>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</si>
  <si>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</si>
  <si>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</si>
  <si>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</si>
  <si>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</si>
  <si>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</si>
  <si>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</si>
  <si>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</si>
  <si>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Average age of operating fleet</t>
  </si>
  <si>
    <t>Labor Relations</t>
  </si>
  <si>
    <t>Employee monthly turnover (%)</t>
  </si>
  <si>
    <t xml:space="preserve">% of employee covered under collective bargaining agreements </t>
  </si>
  <si>
    <t>Number and duration of strikes and lockout (# days)</t>
  </si>
  <si>
    <t>Volunteers</t>
  </si>
  <si>
    <t>Customer &amp; Company Behavior</t>
  </si>
  <si>
    <t>Amount of legal and regulatory fines and settlements 
associated with anti-competitive practices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</si>
  <si>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</si>
  <si>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</si>
  <si>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</si>
  <si>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</si>
  <si>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</si>
  <si>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</si>
  <si>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</si>
  <si>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</si>
  <si>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</si>
  <si>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</si>
  <si>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</si>
  <si>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</si>
  <si>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</si>
  <si>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</si>
  <si>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</si>
  <si>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</si>
  <si>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</si>
  <si>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</si>
  <si>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</si>
  <si>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</si>
  <si>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</si>
  <si>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</si>
  <si>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</si>
  <si>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</si>
  <si>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</si>
  <si>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</si>
  <si>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</si>
  <si>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</si>
  <si>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</si>
  <si>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</si>
  <si>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</si>
  <si>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</si>
  <si>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</si>
  <si>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</si>
  <si>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</si>
  <si>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</si>
  <si>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</si>
  <si>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</si>
  <si>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</si>
  <si>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</si>
  <si>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</si>
  <si>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</si>
  <si>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</si>
  <si>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</si>
  <si>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</si>
  <si>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</si>
  <si>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</si>
  <si>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</si>
  <si>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</si>
  <si>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</si>
  <si>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</si>
  <si>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</si>
  <si>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</si>
  <si>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</si>
  <si>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</si>
  <si>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</si>
  <si>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</si>
  <si>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</si>
  <si>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</si>
  <si>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</si>
  <si>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</si>
  <si>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</si>
  <si>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</si>
  <si>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</si>
  <si>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</si>
  <si>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</si>
  <si>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</si>
  <si>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</si>
  <si>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</si>
  <si>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</si>
  <si>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</si>
  <si>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</si>
  <si>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</si>
  <si>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</si>
  <si>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</si>
  <si>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</si>
  <si>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</si>
  <si>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Denúncias registradas</t>
  </si>
  <si>
    <t>% Denúncias qualificadas para apuração</t>
  </si>
  <si>
    <t>% Denúncias anônimas</t>
  </si>
  <si>
    <t>Registered complaints</t>
  </si>
  <si>
    <t>% Complaints qualified for investigation</t>
  </si>
  <si>
    <t>Anonymous complaints</t>
  </si>
  <si>
    <t>'</t>
  </si>
  <si>
    <t>Valor (R$ Bi)</t>
  </si>
  <si>
    <t>Domésticos</t>
  </si>
  <si>
    <t>Internacionais</t>
  </si>
  <si>
    <t>Domésticos (R$ Bi)</t>
  </si>
  <si>
    <t>Internacionais (R$ Bi)</t>
  </si>
  <si>
    <t>Total amount (R$ B)</t>
  </si>
  <si>
    <t>Total amount  - Domestic (R$ B)</t>
  </si>
  <si>
    <t>Total amount - International (R$ B)</t>
  </si>
  <si>
    <t>Total</t>
  </si>
  <si>
    <t>Admitidos</t>
  </si>
  <si>
    <t>-</t>
  </si>
  <si>
    <t xml:space="preserve">Gênero e Diversidade: </t>
  </si>
  <si>
    <t>Hired</t>
  </si>
  <si>
    <t>% Internal recruitment</t>
  </si>
  <si>
    <t>% Age Group - Up to 21 years</t>
  </si>
  <si>
    <t xml:space="preserve">Gender and Diversity: </t>
  </si>
  <si>
    <t>% Women in top leadership</t>
  </si>
  <si>
    <t>% Women in revenue-generating areas</t>
  </si>
  <si>
    <t>% Women in science, technology, engineering and mathematics</t>
  </si>
  <si>
    <t>% Pay gap between men and women</t>
  </si>
  <si>
    <t>% Difference in total remuneration between men and women</t>
  </si>
  <si>
    <t>% Masculino</t>
  </si>
  <si>
    <t>% Male</t>
  </si>
  <si>
    <t>% Feminino</t>
  </si>
  <si>
    <t>% Female</t>
  </si>
  <si>
    <t>% Mulheres em posição de Gestão(Liderança)</t>
  </si>
  <si>
    <t>% Women in management position (Leadership)</t>
  </si>
  <si>
    <t>% Mulheres no primeiro nível de Gestão (Liderança)</t>
  </si>
  <si>
    <t>% Women in first management level (leadership)</t>
  </si>
  <si>
    <t>% Mulheres na alta liderança</t>
  </si>
  <si>
    <t>% Mulheres em áreas que geram receita</t>
  </si>
  <si>
    <t>% Mulheres em áreas de Ciência, tecnologia, engenharia e matemática</t>
  </si>
  <si>
    <t>% Negros ou Pardos</t>
  </si>
  <si>
    <t>% Black or Brown</t>
  </si>
  <si>
    <t>% Diferença salarial entre homens e mulheres</t>
  </si>
  <si>
    <t>% Diferença na remuneração total entre homens e mulheres</t>
  </si>
  <si>
    <t>% Aproveitamento interno</t>
  </si>
  <si>
    <t>% Faixa Etaria - Até 21 Anos</t>
  </si>
  <si>
    <t>% Faixa Etaria - De 22 a 28 Anos</t>
  </si>
  <si>
    <t>% Age Group - from 22 to 28 years old</t>
  </si>
  <si>
    <t>% Faixa Etaria - De 29 a 35 Anos</t>
  </si>
  <si>
    <t>% Age Group - from 29 to 35 years old</t>
  </si>
  <si>
    <t>% Faixa Etaria - De 35 a 42 Anos</t>
  </si>
  <si>
    <t>% Age Group - From 35 to 42 years old</t>
  </si>
  <si>
    <t>% Faixa Etaria - Acima de 43 Anos</t>
  </si>
  <si>
    <t>% Age bracket - over 43 years old</t>
  </si>
  <si>
    <t xml:space="preserve"> % Rotatividade voluntária</t>
  </si>
  <si>
    <t xml:space="preserve"> % Voluntary turnover</t>
  </si>
  <si>
    <t>NOx emissions for passenger transport (g/ask)</t>
  </si>
  <si>
    <t>NOx emissions for cargo transport (g/tkt)</t>
  </si>
  <si>
    <t>Total waste recycled/ reused (ton)</t>
  </si>
  <si>
    <t>Total waste disposed (ton)</t>
  </si>
  <si>
    <t>Waste landfilled (ton)</t>
  </si>
  <si>
    <t>Waste incinerated with energy recovery (ton)</t>
  </si>
  <si>
    <t>Waste incinerated without energy recovery (ton)</t>
  </si>
  <si>
    <t>Waste otherwise disposed (ton)</t>
  </si>
  <si>
    <t>Water consumption (Hangar VCP) - municipal water supplies (mm³)</t>
  </si>
  <si>
    <t>Water consumption (UNIAZUL) - municipal water supplies (mm³)</t>
  </si>
  <si>
    <t>Water consumption (Hangar PLU) - municipal water supplies (mm³)</t>
  </si>
  <si>
    <t>Water consumption (ALMOX - LOGAZUL) - municipal water supplies (mm³)</t>
  </si>
  <si>
    <t>Number of environmental notices of violation significant (&gt;USD $ 10,000)</t>
  </si>
  <si>
    <t>Emissões de Nox por transporte de passageiros (g/ask)</t>
  </si>
  <si>
    <t>Emissões de Nox por transporte de carga (g/tkt)</t>
  </si>
  <si>
    <t>Total de resíduos reciclaveis ou reutilizados (ton)</t>
  </si>
  <si>
    <t>Total de resíduos descartados (ton)</t>
  </si>
  <si>
    <t>Residuos  descartados em aterro (ton)</t>
  </si>
  <si>
    <t>Resíduos incinerados com recuperação de energia  - coprocessamento (ton)</t>
  </si>
  <si>
    <t>Resíduos incinerados sem recuperação de energia  (ton)</t>
  </si>
  <si>
    <t xml:space="preserve">Resíduos descartados de outra forma (ton) </t>
  </si>
  <si>
    <t>Consumo de água (Hangar VCP) - fornecimento municipal (mm³)</t>
  </si>
  <si>
    <t>Consumo de água (UNIAZUL) - fornecimento municipal (mm³)</t>
  </si>
  <si>
    <t>Consumo de água (Hangar PLU) - fornecimento municipal (mm³)</t>
  </si>
  <si>
    <t>Consumo de água (ALMOX-LOGAZUL) - fornecimento municipal (mm³)</t>
  </si>
  <si>
    <t>Número de infrações ambientais significantes (&gt;USF $ 10,000)</t>
  </si>
  <si>
    <t>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t>
  </si>
  <si>
    <t>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t>
  </si>
  <si>
    <t xml:space="preserve">¹Azul has three own restaurants opperated by third parties with the committment to reduce food lost and waste. Their practices are available in: https://www.stopfoodwasteday.com/en/about.html. </t>
  </si>
  <si>
    <t>³2021: Litro Luz: BRL 80.000,00 | Operação Sorriso: BRL 125.000,00 |  Centro de Pesquisa e Difusão da Arte Imaginário (Tapera das Artes): R$ 50.000,00 | FEAC: BRL 59.680,00 | Um Teto para meu País: BRL 52.000,00 | Apoio Pontual ao Instituto Ayrton Senna para o Mc Dia Feliz - BRL 9.996,00</t>
  </si>
  <si>
    <t>⁴Main Categories: Fuel; Aircraft leasing; Airport authorities; Aviation products and services; Benefits; Insurance; IT products and services; Catering services; Transportation; Advertising agencies. Mostly located in the Southeast and Northeast regions of Brazil</t>
  </si>
  <si>
    <t>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t>
  </si>
  <si>
    <t>Suppliers⁴</t>
  </si>
  <si>
    <t>Fornecedores⁴</t>
  </si>
  <si>
    <t>Combustível por ASK (L / ASK, 100)</t>
  </si>
  <si>
    <t>Fuel /ASK (L / ASK, 100)</t>
  </si>
  <si>
    <t>Combustível /TKT (L)</t>
  </si>
  <si>
    <t>Fuel /TKT (L)</t>
  </si>
  <si>
    <t>¹A Azul possui três restaurantes próprios operados por terceiros, que tem o compromisso de reduzir a perda e o desperdício de alimentos servidos. Suas práticas estão disponíveis em: https://www.stopfoodwasteday.com/en/about.html.</t>
  </si>
  <si>
    <t>Embalagens de metal (ex: aluminio ou aço) (ton)</t>
  </si>
  <si>
    <t>Embalagens de Vidro</t>
  </si>
  <si>
    <t>Peso Total (tonnes) das embalagens plásticas</t>
  </si>
  <si>
    <t>Porcentagem de embalagens plásticas recicláveis ​​(como % do peso total de todas as embalagens plásticas)</t>
  </si>
  <si>
    <t>Metal (e.g. aluminum or steel) packaging (ton)</t>
  </si>
  <si>
    <t>Glass packaging (ton)</t>
  </si>
  <si>
    <t>Total weight (tonnes) of all plastic packaging</t>
  </si>
  <si>
    <t>Percentage of recyclable plastic packaging (as a % of the total weight of all plastic packaging)</t>
  </si>
  <si>
    <t xml:space="preserve">Total non renewable energy consumption </t>
  </si>
  <si>
    <t xml:space="preserve">Total renewable energy consumption </t>
  </si>
  <si>
    <t xml:space="preserve">Consumo total de energia não renovável </t>
  </si>
  <si>
    <t xml:space="preserve">Consumo total de energia renovável </t>
  </si>
  <si>
    <t>⁵Valores referentes as embalagens servidas para alimentação dos passegeiros em voo</t>
  </si>
  <si>
    <t>⁵Values related to the meals served to the passengers in flight</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</si>
  <si>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</si>
  <si>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</si>
  <si>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</si>
  <si>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</si>
  <si>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</si>
  <si>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</si>
  <si>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</si>
  <si>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</si>
  <si>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</si>
  <si>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</si>
  <si>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</si>
  <si>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</si>
  <si>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</si>
  <si>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</si>
  <si>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</si>
  <si>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</si>
  <si>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</si>
  <si>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</si>
  <si>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</si>
  <si>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</si>
  <si>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</si>
  <si>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</si>
  <si>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</si>
  <si>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</si>
  <si>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</si>
  <si>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</si>
  <si>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</si>
  <si>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</si>
  <si>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</si>
  <si>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</si>
  <si>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</si>
  <si>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</si>
  <si>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</si>
  <si>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</si>
  <si>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</si>
  <si>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</si>
  <si>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</si>
  <si>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</si>
  <si>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</si>
  <si>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</si>
  <si>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</si>
  <si>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</si>
  <si>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</si>
  <si>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</si>
  <si>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</si>
  <si>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</si>
  <si>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</si>
  <si>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</si>
  <si>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</si>
  <si>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</si>
  <si>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</si>
  <si>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</si>
  <si>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</si>
  <si>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</si>
  <si>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</si>
  <si>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</si>
  <si>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</si>
  <si>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</si>
  <si>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</si>
  <si>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</si>
  <si>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</si>
  <si>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</si>
  <si>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</si>
  <si>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</si>
  <si>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</si>
  <si>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</si>
  <si>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</si>
  <si>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</si>
  <si>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</si>
  <si>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</si>
  <si>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</si>
  <si>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</si>
  <si>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</si>
  <si>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</si>
  <si>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</si>
  <si>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</si>
  <si>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</si>
  <si>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</si>
  <si>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</si>
  <si>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</si>
  <si>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</si>
  <si>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</si>
  <si>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</si>
  <si>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</si>
  <si>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</si>
  <si>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</si>
  <si>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</si>
  <si>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</si>
  <si>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</si>
  <si>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</si>
  <si>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</si>
  <si>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</si>
  <si>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</si>
  <si>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</si>
  <si>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</si>
  <si>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</si>
  <si>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</si>
  <si>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</si>
  <si>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</si>
  <si>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</si>
  <si>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</si>
  <si>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</si>
  <si>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</si>
  <si>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</si>
  <si>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</si>
  <si>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</si>
  <si>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</si>
  <si>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</si>
  <si>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</si>
  <si>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</si>
  <si>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</si>
  <si>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</si>
  <si>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</si>
  <si>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</si>
  <si>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</si>
  <si>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</si>
  <si>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</si>
  <si>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</si>
  <si>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</si>
  <si>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</si>
  <si>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</si>
  <si>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</si>
  <si>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</si>
  <si>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</si>
  <si>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</si>
  <si>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</si>
  <si>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</si>
  <si>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</si>
  <si>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</si>
  <si>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</si>
  <si>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Waste¹ ²</t>
  </si>
  <si>
    <t>Resíduos¹ ²</t>
  </si>
  <si>
    <t>Other Air Emissions</t>
  </si>
  <si>
    <t>Outras Emissões Atmosféricas</t>
  </si>
  <si>
    <t>Water</t>
  </si>
  <si>
    <t>Água</t>
  </si>
  <si>
    <t>Energy</t>
  </si>
  <si>
    <t>Energia</t>
  </si>
  <si>
    <t>Materiais de Embalagem (serviço de bordo)⁵</t>
  </si>
  <si>
    <t>Conformidade Ambiental</t>
  </si>
  <si>
    <t>Environmental Compliance</t>
  </si>
  <si>
    <t>Packaging Materials (on-board service)⁵</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</si>
  <si>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</si>
  <si>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</si>
  <si>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</si>
  <si>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</si>
  <si>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</si>
  <si>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</si>
  <si>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</si>
  <si>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</si>
  <si>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</si>
  <si>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</si>
  <si>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Confidential Channel ⁶</t>
  </si>
  <si>
    <t>Canal Confidencial ⁶</t>
  </si>
  <si>
    <t>⁶ Não tivemos nenhum caso de corrupção no ano de 2021</t>
  </si>
  <si>
    <t>⁶ We had no corruption cases in the year 2021</t>
  </si>
  <si>
    <t>Pesquisa de Clima</t>
  </si>
  <si>
    <t>Índice de favorabilidade geral</t>
  </si>
  <si>
    <t>Overall favorable score</t>
  </si>
  <si>
    <t>Participação</t>
  </si>
  <si>
    <t>Participation</t>
  </si>
  <si>
    <t>Crewmember satisfaction survey</t>
  </si>
  <si>
    <t>⁷All social and environmental indicators cover 100% of the Company's operations, except when mentioned otherwise</t>
  </si>
  <si>
    <t>Indicadores Ambientais, Sociais e de Governança ⁷</t>
  </si>
  <si>
    <t>ESG Key Indicators  ⁷</t>
  </si>
  <si>
    <t>⁷Todos os indicadores sociais e ambientais cobrem 100% das operações da empresa, exceto quando mencionado de outra forma</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</si>
  <si>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</si>
  <si>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</si>
  <si>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</si>
  <si>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</si>
  <si>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</si>
  <si>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</si>
  <si>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</si>
  <si>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</si>
  <si>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</si>
  <si>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</si>
  <si>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</si>
  <si>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</si>
  <si>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</si>
  <si>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</si>
  <si>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</si>
  <si>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</si>
  <si>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</si>
  <si>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</si>
  <si>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</si>
  <si>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</si>
  <si>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</si>
  <si>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</si>
  <si>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</si>
  <si>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</si>
  <si>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</si>
  <si>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</si>
  <si>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</si>
  <si>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</si>
  <si>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</si>
  <si>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</si>
  <si>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</si>
  <si>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</si>
  <si>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</si>
  <si>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</si>
  <si>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</si>
  <si>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</si>
  <si>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</si>
  <si>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</si>
  <si>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</si>
  <si>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</si>
  <si>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</si>
  <si>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</si>
  <si>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</si>
  <si>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</si>
  <si>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</si>
  <si>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</si>
  <si>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</si>
  <si>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</si>
  <si>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</si>
  <si>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</si>
  <si>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</si>
  <si>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</si>
  <si>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</si>
  <si>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</si>
  <si>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</si>
  <si>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</si>
  <si>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</si>
  <si>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</si>
  <si>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</si>
  <si>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</si>
  <si>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</si>
  <si>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</si>
  <si>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</si>
  <si>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</si>
  <si>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</si>
  <si>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</si>
  <si>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</si>
  <si>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</si>
  <si>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</si>
  <si>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</si>
  <si>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</si>
  <si>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</si>
  <si>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</si>
  <si>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</si>
  <si>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</si>
  <si>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 Negros ou Pardos em posição de Gestão(Liderança)</t>
  </si>
  <si>
    <t>% Black or Brown in management position (Leadership)</t>
  </si>
  <si>
    <t>% Absenteísmo</t>
  </si>
  <si>
    <t>% Absenteeism</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</si>
  <si>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</si>
  <si>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</si>
  <si>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</si>
  <si>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</si>
  <si>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</si>
  <si>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</si>
  <si>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</si>
  <si>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</si>
  <si>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</si>
  <si>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</si>
  <si>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</si>
  <si>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</si>
  <si>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</si>
  <si>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</si>
  <si>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</si>
  <si>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</si>
  <si>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</si>
  <si>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</si>
  <si>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</si>
  <si>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</si>
  <si>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</si>
  <si>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</si>
  <si>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</si>
  <si>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</si>
  <si>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</si>
  <si>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</si>
  <si>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</si>
  <si>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3.12</t>
  </si>
  <si>
    <t>0.2461</t>
  </si>
  <si>
    <t>GHG Intensity Ratio for cargo (Kg CO2eq per tonne-kilometer)</t>
  </si>
  <si>
    <t>1.35</t>
  </si>
  <si>
    <t>1.19</t>
  </si>
  <si>
    <t>81.03</t>
  </si>
  <si>
    <t>The ratio between the total annual compensation of the Chief Executive Officer and the mean  employee compensation</t>
  </si>
  <si>
    <t>⁸Em 2024, melhoramos a monitoramento do consumo desse tipo de material, por isso o crescente número</t>
  </si>
  <si>
    <t>Wood/Paper fiber packaging (ton)⁸</t>
  </si>
  <si>
    <t>Embalagens de papel e madeira (fibra)⁸</t>
  </si>
  <si>
    <t>⁸In 2024, we improved the monitoring of the consumption of this type of material, hence the increasing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</si>
</sst>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0">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78">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0" fontId="156" fillId="2" borderId="0" xfId="5444" applyFont="1" applyFill="1" applyAlignment="1">
      <alignment horizontal="left" vertical="center" wrapText="1" indent="14"/>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27" fontId="142" fillId="81" borderId="0" xfId="0" applyFont="1" applyFill="1" applyAlignment="1">
      <alignment vertical="center" wrapText="1"/>
    </xf>
    <xf numFmtId="240" fontId="156" fillId="0" borderId="0" xfId="0" applyNumberFormat="1" applyFont="1" applyAlignment="1">
      <alignment horizontal="right" vertical="center" wrapText="1"/>
    </xf>
    <xf numFmtId="241" fontId="156" fillId="2" borderId="0" xfId="0" applyNumberFormat="1" applyFont="1" applyFill="1" applyAlignment="1">
      <alignmen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174" fontId="156" fillId="2" borderId="0" xfId="1" applyNumberFormat="1" applyFont="1" applyFill="1" applyBorder="1" applyAlignment="1">
      <alignment horizontal="right" vertical="center" wrapText="1"/>
    </xf>
    <xf numFmtId="171" fontId="156" fillId="0" borderId="0" xfId="5444" applyNumberFormat="1" applyFont="1" applyAlignment="1">
      <alignment horizontal="right" vertical="center" wrapText="1"/>
    </xf>
    <xf numFmtId="43" fontId="156" fillId="0" borderId="0" xfId="1" applyFont="1" applyFill="1" applyBorder="1" applyAlignment="1">
      <alignment horizontal="right" vertical="center" wrapText="1"/>
    </xf>
    <xf numFmtId="233" fontId="156" fillId="0" borderId="0" xfId="5444" applyNumberFormat="1" applyFont="1" applyAlignment="1">
      <alignment horizontal="right" vertical="center" wrapText="1"/>
    </xf>
    <xf numFmtId="178" fontId="156" fillId="0" borderId="0" xfId="5444" applyNumberFormat="1" applyFont="1" applyAlignment="1">
      <alignment horizontal="right" vertical="center" wrapText="1"/>
    </xf>
    <xf numFmtId="240" fontId="155" fillId="0" borderId="0" xfId="5444" applyNumberFormat="1" applyFont="1" applyAlignment="1">
      <alignment horizontal="right" vertical="center" wrapText="1"/>
    </xf>
    <xf numFmtId="227" fontId="142" fillId="0" borderId="0" xfId="0" applyFont="1" applyAlignment="1">
      <alignment horizontal="left" vertical="center" wrapText="1" indent="1"/>
    </xf>
    <xf numFmtId="0" fontId="142" fillId="0" borderId="0" xfId="5444" applyFont="1" applyAlignment="1">
      <alignment horizontal="left" vertical="center" wrapText="1" indent="1"/>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227" fontId="156" fillId="0" borderId="0" xfId="0" applyFont="1"/>
    <xf numFmtId="227" fontId="1" fillId="0" borderId="0" xfId="0" applyFont="1"/>
    <xf numFmtId="227" fontId="1" fillId="0" borderId="0" xfId="0" applyFont="1" applyAlignment="1">
      <alignment wrapText="1"/>
    </xf>
    <xf numFmtId="0" fontId="1" fillId="0" borderId="0" xfId="5444" applyFont="1" applyAlignment="1">
      <alignment horizontal="left"/>
    </xf>
    <xf numFmtId="174" fontId="1" fillId="0" borderId="0" xfId="1" applyNumberFormat="1" applyFont="1"/>
    <xf numFmtId="2" fontId="139" fillId="0" borderId="0" xfId="5444" applyNumberFormat="1" applyFont="1" applyAlignment="1">
      <alignment horizontal="center"/>
    </xf>
    <xf numFmtId="9" fontId="156" fillId="2" borderId="0" xfId="2" applyFont="1" applyFill="1" applyBorder="1" applyAlignment="1">
      <alignment horizontal="right" vertical="center" wrapText="1"/>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174" fontId="1" fillId="0" borderId="0" xfId="1" applyNumberFormat="1" applyFont="1" applyFill="1"/>
    <xf numFmtId="230" fontId="1" fillId="0" borderId="0" xfId="1" applyNumberFormat="1" applyFont="1"/>
    <xf numFmtId="174" fontId="1" fillId="0" borderId="0" xfId="1" applyNumberFormat="1" applyFont="1" applyAlignment="1">
      <alignment horizontal="center"/>
    </xf>
    <xf numFmtId="174" fontId="1" fillId="0" borderId="0" xfId="1" applyNumberFormat="1" applyFont="1" applyFill="1" applyAlignment="1">
      <alignment horizontal="center"/>
    </xf>
    <xf numFmtId="174" fontId="3" fillId="0" borderId="0" xfId="1" applyNumberFormat="1" applyFont="1"/>
    <xf numFmtId="240" fontId="1" fillId="0" borderId="0" xfId="1" applyNumberFormat="1" applyFont="1"/>
    <xf numFmtId="240" fontId="3" fillId="0" borderId="0" xfId="1" applyNumberFormat="1" applyFont="1"/>
    <xf numFmtId="230" fontId="3"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xf numFmtId="1" fontId="156" fillId="0" borderId="0" xfId="5444" applyNumberFormat="1" applyFont="1" applyAlignment="1">
      <alignment horizontal="right" vertical="center" wrapText="1"/>
    </xf>
    <xf numFmtId="240" fontId="3" fillId="0" borderId="0" xfId="1" applyNumberFormat="1" applyFont="1" applyFill="1"/>
    <xf numFmtId="230" fontId="3" fillId="0" borderId="0" xfId="1" applyNumberFormat="1" applyFont="1" applyAlignment="1">
      <alignment horizontal="right"/>
    </xf>
    <xf numFmtId="0" fontId="3" fillId="0" borderId="0" xfId="1" applyNumberFormat="1" applyFont="1" applyAlignment="1">
      <alignment horizontal="right"/>
    </xf>
    <xf numFmtId="2" fontId="156" fillId="2" borderId="0" xfId="2" applyNumberFormat="1" applyFont="1" applyFill="1" applyBorder="1" applyAlignment="1">
      <alignment horizontal="right" vertical="center" wrapText="1"/>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0"/>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399602</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1281425</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1279632</xdr:colOff>
      <xdr:row>4</xdr:row>
      <xdr:rowOff>136696</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cel.epap. mucuri"/>
      <sheetName val="A4.1-BRASFLEX "/>
      <sheetName val="E73_2002"/>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REF"/>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7">
          <cell r="D17">
            <v>0</v>
          </cell>
        </row>
      </sheetData>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Novo Mix abrasce"/>
      <sheetName val="Descontos - Análises"/>
      <sheetName val="Inadimplência - Análises"/>
      <sheetName val="Categorias Abrasce"/>
      <sheetName val="Premissas"/>
      <sheetName val="PContas_FPP"/>
      <sheetName val="Comercial 3"/>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Tax Guide"/>
      <sheetName val="Size Premium"/>
      <sheetName val="DM Beta17"/>
      <sheetName val="MtM"/>
      <sheetName val="Solicitação de documentos"/>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GRAFICOS PPT"/>
      <sheetName val="Codices ML"/>
      <sheetName val="Quarters"/>
      <sheetName val="oldSEG"/>
      <sheetName val="Tab4-01p"/>
      <sheetName val="premisas inflacion"/>
      <sheetName val="Energia (98 - 00)"/>
      <sheetName val="ANALI2001"/>
      <sheetName val="RF-G7"/>
      <sheetName val="evarebr"/>
      <sheetName val="ANALISE"/>
      <sheetName val="planilha principal"/>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xml:space="preserve">    - volume de celulose aumentou 45% ( -15% no mercado interno e +25% no mercado externo).</v>
          </cell>
          <cell r="E30" t="str">
            <v xml:space="preserve">    - volume de celulose aumentou 32% ( -6% no mercado interno e +13% no mercado externo).</v>
          </cell>
          <cell r="F30" t="str">
            <v xml:space="preserve">    - volume de celulose reduziu 9% ( -2% no mercado interno e -10% no mercado externo).</v>
          </cell>
        </row>
        <row r="31">
          <cell r="C31" t="str">
            <v xml:space="preserve">    - volume de papel aumentou 9% (-18% no mercado interno e +118% no mercado externo).</v>
          </cell>
          <cell r="E31" t="str">
            <v xml:space="preserve">    - volume de papel aumentou 1% (-15% no mercado interno e +72% no mercado externo).</v>
          </cell>
          <cell r="F31" t="str">
            <v xml:space="preserve">    -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 xml:space="preserve"> 4 Meses de 2002 x 4 Meses de 2001 - aumento de 5,2%</v>
          </cell>
          <cell r="F51" t="str">
            <v xml:space="preserve"> 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 xml:space="preserve"> 4 Meses de 2002 x 4 Meses de 2001 - redução de 13%</v>
          </cell>
          <cell r="F70" t="str">
            <v xml:space="preserve"> 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 xml:space="preserve"> 4 Meses de 2002 x 4 Meses de 2001 - redução de 14%</v>
          </cell>
          <cell r="F90" t="str">
            <v xml:space="preserve"> 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BETA"/>
      <sheetName val="Mapping"/>
      <sheetName val="jan"/>
      <sheetName val="ENUM"/>
      <sheetName val="ECOF1097"/>
      <sheetName val="HIST"/>
      <sheetName val="WACC_PCM"/>
      <sheetName val="Matriz"/>
      <sheetName val="July Forecast Costs"/>
      <sheetName val="OUT02.REPORT"/>
      <sheetName val="CURRENCY SUMMARY"/>
      <sheetName val="LOV"/>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Mercado"/>
      <sheetName val="CURRENCY_SUMMARY5"/>
      <sheetName val="BASE_(2)10"/>
      <sheetName val="Peso_áreas_e_CPs10"/>
      <sheetName val="E2_1-PCLD_ANEEL_06-200610"/>
      <sheetName val="Peso_Liq_10"/>
      <sheetName val="E2_1_PCLD_ANEEL_06_200610"/>
      <sheetName val="DISCOUNTS_DDP10"/>
      <sheetName val="NVision_Detail10"/>
      <sheetName val="Sch9__Guarantees10"/>
      <sheetName val="Period_Week_Lookup10"/>
      <sheetName val="MOD_7_SIN9"/>
      <sheetName val="DATA_WP10"/>
      <sheetName val="MATERIAIS_-_BRG10"/>
      <sheetName val="F5_-_Saldo_final_Inventário10"/>
      <sheetName val="ROs_(12)10"/>
      <sheetName val="ACT_Input_(2)10"/>
      <sheetName val="_PAT9"/>
      <sheetName val="p_59"/>
      <sheetName val="M2_-_Analise_MtM9"/>
      <sheetName val="FD_3_-_Provisão_OS__7"/>
      <sheetName val="Res_Autor_Motivo7"/>
      <sheetName val="Res_Devolv_Motivo7"/>
      <sheetName val="Base_Fiscal_Cruzada7"/>
      <sheetName val="tar__media9"/>
      <sheetName val="Control_Sheet7"/>
      <sheetName val="E_1_2_-_Teste_de_VC6"/>
      <sheetName val="Tab_Translate6"/>
      <sheetName val="ABRIL_20006"/>
      <sheetName val="SERIES_CDI_E_PTAX6"/>
      <sheetName val="Balanço_de_Abertura6"/>
      <sheetName val="3_B6"/>
      <sheetName val="Aj__Sazon__N__Recor6"/>
      <sheetName val="ñ_faturado5"/>
      <sheetName val="Art96_IV_RIPI5"/>
      <sheetName val="Subtotal_Dia5"/>
      <sheetName val="PLANT_MAINT_-__OPER_COST5"/>
      <sheetName val="PERMUTA_5"/>
      <sheetName val="ARACATI_-_CE5"/>
      <sheetName val="Sch15_Guarantees4"/>
      <sheetName val="Rec__Pillar_(DRE_Soc_)4"/>
      <sheetName val="Emissão_de_Relatórios4"/>
      <sheetName val="Premissas_fixas4"/>
      <sheetName val="Infra_DR172_WebReports2"/>
      <sheetName val="Frequência"/>
      <sheetName val="A4_3-SIGMA4"/>
      <sheetName val="July_Forecast_Costs4"/>
      <sheetName val="OUT02_REPORT2"/>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1998"/>
      <sheetName val="1º semestre 99"/>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Monthly.Key$"/>
      <sheetName val="PREVCINE"/>
      <sheetName val="170117"/>
      <sheetName val="400800"/>
      <sheetName val="iConfig"/>
      <sheetName val="INPUT GERAL"/>
      <sheetName val="AUX Graf Caixa"/>
      <sheetName val="VaR"/>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Base Info"/>
      <sheetName val="Calc"/>
      <sheetName val="MOne"/>
      <sheetName val="MTwo"/>
      <sheetName val="KOne"/>
      <sheetName val="GoSeven"/>
      <sheetName val="GrThree"/>
      <sheetName val="GoEight"/>
      <sheetName val="HTwo"/>
      <sheetName val="GrFour"/>
      <sheetName val="JOne"/>
      <sheetName val="JTwo"/>
      <sheetName val="HOne"/>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election activeCell="K6" sqref="K6"/>
    </sheetView>
  </sheetViews>
  <sheetFormatPr defaultColWidth="9.109375" defaultRowHeight="14.4"/>
  <sheetData>
    <row r="1" spans="1:25" s="138" customFormat="1">
      <c r="A1" s="159" t="s">
        <v>377</v>
      </c>
      <c r="Y1" s="138" t="s">
        <v>198</v>
      </c>
    </row>
    <row r="2" spans="1:25">
      <c r="Y2" s="138" t="s">
        <v>366</v>
      </c>
    </row>
    <row r="3" spans="1:25">
      <c r="J3" s="165"/>
    </row>
    <row r="4" spans="1:25">
      <c r="K4" s="155" t="s">
        <v>207</v>
      </c>
    </row>
    <row r="6" spans="1:25" ht="15.6">
      <c r="H6" s="174" t="str">
        <f>IF('Índice IFRS 16 | Index IFRS 16'!$K$6="Português","Idioma","Language")</f>
        <v>Idioma</v>
      </c>
      <c r="I6" s="175"/>
      <c r="J6" s="176"/>
      <c r="K6" s="177" t="s">
        <v>198</v>
      </c>
    </row>
    <row r="8" spans="1:25" s="149" customFormat="1" ht="24.9" customHeight="1">
      <c r="B8" s="151" t="str">
        <f>IF('Índice IFRS 16 | Index IFRS 16'!$K$6="Português","Fundamentos e Planilhas - IFRS  16","Fundamentals and Spreadsheets - IFRS 16")</f>
        <v>Fundamentos e Planilhas - IFRS  16</v>
      </c>
      <c r="C8" s="150"/>
      <c r="D8" s="150"/>
      <c r="E8" s="150"/>
      <c r="F8" s="150"/>
      <c r="G8" s="150"/>
      <c r="H8" s="150"/>
      <c r="I8" s="150"/>
      <c r="J8" s="150"/>
      <c r="K8" s="150"/>
      <c r="L8" s="164"/>
    </row>
    <row r="10" spans="1:25" s="143" customFormat="1" ht="23.1" customHeight="1">
      <c r="C10" s="149" t="str">
        <f>IF('Índice IFRS 16 | Index IFRS 16'!$K$6="Português","DRE","Income Statement")</f>
        <v>DRE</v>
      </c>
    </row>
    <row r="11" spans="1:25" s="143" customFormat="1" ht="23.1" customHeight="1">
      <c r="C11" s="149"/>
    </row>
    <row r="12" spans="1:25" s="143" customFormat="1" ht="23.1" customHeight="1">
      <c r="C12" s="149" t="str">
        <f>IF('Índice IFRS 16 | Index IFRS 16'!$K$6="Português","Balanço Patrimonial","Balance Sheet")</f>
        <v>Balanço Patrimonial</v>
      </c>
    </row>
    <row r="13" spans="1:25" s="143" customFormat="1" ht="23.1" customHeight="1">
      <c r="C13" s="149"/>
    </row>
    <row r="14" spans="1:25" s="143" customFormat="1" ht="23.1" customHeight="1">
      <c r="C14" s="149" t="str">
        <f>IF('Índice IFRS 16 | Index IFRS 16'!$K$6="Português","Dados Operacionais","Operating Data")</f>
        <v>Dados Operacionais</v>
      </c>
    </row>
    <row r="15" spans="1:25" s="143" customFormat="1" ht="23.1" customHeight="1">
      <c r="C15" s="149"/>
      <c r="M15" s="152"/>
    </row>
    <row r="16" spans="1:25" s="143" customFormat="1" ht="23.1" customHeight="1">
      <c r="C16" s="149" t="str">
        <f>IF('Índice IFRS 16 | Index IFRS 16'!$K$6="Português","Indicadores ESG","ESG Key Indicators")</f>
        <v>Indicadores ESG</v>
      </c>
      <c r="M16" s="153"/>
    </row>
    <row r="17" spans="2:13">
      <c r="M17" s="153"/>
    </row>
    <row r="18" spans="2:13" ht="6" customHeight="1">
      <c r="M18" s="153"/>
    </row>
    <row r="19" spans="2:13" ht="25.5" customHeight="1">
      <c r="C19" s="149" t="str">
        <f>IF('Índice IFRS 16 | Index IFRS 16'!$K$6="Português","GRI","GRI")</f>
        <v>GRI</v>
      </c>
      <c r="M19" s="153"/>
    </row>
    <row r="20" spans="2:13">
      <c r="M20" s="153"/>
    </row>
    <row r="21" spans="2:13">
      <c r="B21" s="140" t="str">
        <f>IF('Índice IFRS 16 | Index IFRS 16'!$K$6="Português","Equipe Relações com Investidores","Investor Relations Team")</f>
        <v>Equipe Relações com Investidores</v>
      </c>
      <c r="C21" s="140"/>
      <c r="D21" s="140"/>
      <c r="E21" s="140"/>
      <c r="F21" s="140"/>
      <c r="G21" s="140"/>
      <c r="H21" s="140"/>
      <c r="I21" s="140"/>
      <c r="J21" s="140"/>
      <c r="K21" s="140"/>
    </row>
    <row r="22" spans="2:13">
      <c r="B22" s="154" t="s">
        <v>204</v>
      </c>
      <c r="C22" s="140"/>
      <c r="D22" s="140"/>
      <c r="E22" s="140"/>
      <c r="F22" s="140"/>
      <c r="G22" s="140"/>
      <c r="H22" s="140"/>
      <c r="I22" s="140"/>
      <c r="J22" s="140"/>
      <c r="K22" s="140"/>
    </row>
    <row r="23" spans="2:13">
      <c r="B23" s="154" t="s">
        <v>205</v>
      </c>
      <c r="C23" s="140"/>
      <c r="D23" s="140"/>
      <c r="E23" s="140"/>
      <c r="F23" s="140"/>
      <c r="G23" s="140"/>
      <c r="H23" s="140"/>
      <c r="I23" s="140"/>
      <c r="J23" s="140"/>
      <c r="K23" s="140"/>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4.4"/>
  <sheetData>
    <row r="1" spans="2:25" s="138" customFormat="1"/>
    <row r="2" spans="2:25">
      <c r="Y2" s="138"/>
    </row>
    <row r="3" spans="2:25">
      <c r="K3" s="155" t="s">
        <v>206</v>
      </c>
    </row>
    <row r="8" spans="2:25" s="149" customFormat="1" ht="24.9" customHeight="1">
      <c r="B8" s="151" t="str">
        <f>IF('Índice IFRS 16 | Index IFRS 16'!$K$6="Português","Fundamentos e Planilha - 2014-2018 (IAS 17)","Fundamentals and Spreadsheets - IAS 17")</f>
        <v>Fundamentos e Planilha - 2014-2018 (IAS 17)</v>
      </c>
      <c r="C8" s="150"/>
      <c r="D8" s="150"/>
      <c r="E8" s="150"/>
      <c r="F8" s="150"/>
      <c r="G8" s="150"/>
      <c r="H8" s="150"/>
      <c r="I8" s="150"/>
      <c r="J8" s="150"/>
      <c r="K8" s="150"/>
      <c r="L8" s="164"/>
    </row>
    <row r="10" spans="2:25" s="143" customFormat="1" ht="23.1" customHeight="1">
      <c r="C10" s="149" t="str">
        <f>IF('Índice IFRS 16 | Index IFRS 16'!$K$6="Português","DRE - IAS 17","Income Statement - IAS 17")</f>
        <v>DRE - IAS 17</v>
      </c>
    </row>
    <row r="11" spans="2:25" s="143" customFormat="1" ht="23.1" customHeight="1">
      <c r="C11" s="149"/>
    </row>
    <row r="12" spans="2:25" s="143" customFormat="1" ht="23.1" customHeight="1">
      <c r="C12" s="149" t="str">
        <f>IF('Índice IFRS 16 | Index IFRS 16'!$K$6="Português","Balanço Patrimonial - IAS 17","Balance Sheet - IAS 17")</f>
        <v>Balanço Patrimonial - IAS 17</v>
      </c>
    </row>
    <row r="13" spans="2:25" s="143" customFormat="1" ht="23.1" customHeight="1">
      <c r="C13" s="149"/>
    </row>
    <row r="14" spans="2:25" s="143" customFormat="1" ht="23.1" customHeight="1">
      <c r="C14" s="149" t="str">
        <f>IF('Índice IFRS 16 | Index IFRS 16'!$K$6="Português","Dados Operacionais - IAS 17","Operating Data - IAS 17")</f>
        <v>Dados Operacionais - IAS 17</v>
      </c>
    </row>
    <row r="15" spans="2:25" s="143" customFormat="1" ht="23.1" customHeight="1">
      <c r="C15" s="149"/>
      <c r="M15" s="152"/>
    </row>
    <row r="16" spans="2:25" s="143" customFormat="1" ht="23.1" customHeight="1">
      <c r="C16" s="149"/>
      <c r="M16" s="153"/>
    </row>
    <row r="17" spans="13:13">
      <c r="M17" s="153"/>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P68"/>
  <sheetViews>
    <sheetView showGridLines="0" zoomScaleNormal="100" workbookViewId="0">
      <pane xSplit="4" ySplit="7" topLeftCell="U8" activePane="bottomRight" state="frozen"/>
      <selection activeCell="F2" sqref="F2"/>
      <selection pane="topRight" activeCell="F2" sqref="F2"/>
      <selection pane="bottomLeft" activeCell="F2" sqref="F2"/>
      <selection pane="bottomRight" activeCell="A2" sqref="A2"/>
    </sheetView>
  </sheetViews>
  <sheetFormatPr defaultRowHeight="14.4"/>
  <cols>
    <col min="1" max="1" width="3.5546875" customWidth="1"/>
    <col min="2" max="3" width="4.109375" style="5" hidden="1" customWidth="1"/>
    <col min="4" max="4" width="43.6640625" customWidth="1"/>
    <col min="5" max="10" width="10.44140625" bestFit="1" customWidth="1"/>
    <col min="11" max="17" width="10.44140625" customWidth="1"/>
    <col min="18" max="22" width="12.6640625" style="2" customWidth="1"/>
    <col min="23" max="30" width="11.44140625" customWidth="1"/>
    <col min="32" max="38" width="11.5546875" customWidth="1"/>
  </cols>
  <sheetData>
    <row r="1" spans="1:42" s="138" customFormat="1" hidden="1">
      <c r="B1" s="139"/>
      <c r="C1" s="139"/>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c r="AF1" s="172" t="s">
        <v>118</v>
      </c>
      <c r="AG1" s="172" t="s">
        <v>114</v>
      </c>
      <c r="AH1" s="172" t="s">
        <v>126</v>
      </c>
      <c r="AI1" s="137" t="s">
        <v>332</v>
      </c>
      <c r="AJ1" s="137" t="s">
        <v>712</v>
      </c>
      <c r="AK1" s="137" t="s">
        <v>713</v>
      </c>
      <c r="AL1" s="137" t="s">
        <v>744</v>
      </c>
    </row>
    <row r="2" spans="1:42">
      <c r="AI2" s="138"/>
    </row>
    <row r="3" spans="1:42">
      <c r="AG3" s="143"/>
      <c r="AH3" s="143"/>
      <c r="AI3" s="143"/>
      <c r="AJ3" s="143"/>
      <c r="AK3" s="143"/>
      <c r="AL3" s="143"/>
      <c r="AM3" s="142"/>
    </row>
    <row r="4" spans="1:42">
      <c r="D4" s="170" t="str">
        <f>IF('Índice IFRS 16 | Index IFRS 16'!$K$6="Português","Menu","Home")</f>
        <v>Menu</v>
      </c>
      <c r="P4" s="144"/>
      <c r="Q4" s="144"/>
      <c r="R4" s="145"/>
      <c r="T4" s="147"/>
      <c r="U4" s="147"/>
      <c r="V4" s="147"/>
      <c r="W4" s="148"/>
      <c r="X4" s="148"/>
      <c r="Y4" s="148"/>
      <c r="Z4" s="148"/>
      <c r="AA4" s="148"/>
      <c r="AB4" s="148"/>
      <c r="AC4" s="148"/>
      <c r="AD4" s="148"/>
      <c r="AE4" s="148"/>
      <c r="AF4" s="146"/>
      <c r="AG4" s="146"/>
      <c r="AH4" s="146"/>
      <c r="AI4" s="146"/>
      <c r="AJ4" s="146"/>
      <c r="AK4" s="146"/>
      <c r="AL4" s="146"/>
      <c r="AM4" s="146"/>
      <c r="AN4" s="144"/>
      <c r="AO4" s="144"/>
      <c r="AP4" s="144"/>
    </row>
    <row r="5" spans="1:42">
      <c r="AF5" s="142"/>
      <c r="AG5" s="142"/>
      <c r="AH5" s="142"/>
      <c r="AI5" s="142"/>
      <c r="AJ5" s="142"/>
      <c r="AK5" s="142"/>
      <c r="AL5" s="142"/>
      <c r="AM5" s="142"/>
    </row>
    <row r="6" spans="1:42" s="2" customFormat="1">
      <c r="A6" s="5"/>
      <c r="B6" s="5" t="s">
        <v>162</v>
      </c>
      <c r="C6" s="5" t="s">
        <v>44</v>
      </c>
      <c r="D6" s="56" t="str">
        <f>IF('Índice IFRS 16 | Index IFRS 16'!$K$6="Português",$C6,$B6)</f>
        <v>DRE</v>
      </c>
      <c r="E6" s="9"/>
      <c r="F6" s="9"/>
      <c r="R6" s="9"/>
      <c r="S6" s="9"/>
      <c r="T6" s="9"/>
      <c r="U6" s="9"/>
      <c r="V6" s="9"/>
      <c r="X6"/>
      <c r="Y6"/>
      <c r="Z6"/>
      <c r="AA6"/>
      <c r="AB6"/>
      <c r="AC6"/>
      <c r="AD6"/>
      <c r="AF6" s="141"/>
      <c r="AG6" s="141"/>
      <c r="AH6" s="141"/>
      <c r="AI6" s="141"/>
      <c r="AJ6" s="141"/>
      <c r="AK6" s="141"/>
      <c r="AL6" s="141"/>
      <c r="AM6" s="141"/>
    </row>
    <row r="7" spans="1:42" s="2" customFormat="1" thickBot="1">
      <c r="A7" s="4"/>
      <c r="B7" s="4" t="s">
        <v>96</v>
      </c>
      <c r="C7" s="4" t="s">
        <v>0</v>
      </c>
      <c r="D7" s="17" t="str">
        <f>IF('Índice IFRS 16 | Index IFRS 16'!$K$6="Português",$C7,$B7)</f>
        <v xml:space="preserve"> (R$ 000)</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3"/>
      <c r="AF7" s="42" t="str">
        <f>IF('Índice IFRS 16 | Index IFRS 16'!$K$6="Português",AF$1,SUBSTITUTE(AF$1,"T","Q"))</f>
        <v>2017</v>
      </c>
      <c r="AG7" s="42" t="str">
        <f>IF('Índice IFRS 16 | Index IFRS 16'!$K$6="Português",AG$1,SUBSTITUTE(AG$1,"T","Q"))</f>
        <v>2018¹</v>
      </c>
      <c r="AH7" s="42" t="str">
        <f>IF('Índice IFRS 16 | Index IFRS 16'!$K$6="Português",AH$1,SUBSTITUTE(AH$1,"T","Q"))</f>
        <v>2019²</v>
      </c>
      <c r="AI7" s="42" t="str">
        <f>IF('Índice IFRS 16 | Index IFRS 16'!$K$6="Português",AI$1,SUBSTITUTE(AI$1,"T","Q"))</f>
        <v>2020⁷</v>
      </c>
      <c r="AJ7" s="42" t="str">
        <f>IF('Índice IFRS 16 | Index IFRS 16'!$K$6="Português",AJ$1,SUBSTITUTE(AJ$1,"T","Q"))</f>
        <v>2021¹⁶</v>
      </c>
      <c r="AK7" s="42" t="str">
        <f>IF('Índice IFRS 16 | Index IFRS 16'!$K$6="Português",AK$1,SUBSTITUTE(AK$1,"T","Q"))</f>
        <v>2022¹⁷</v>
      </c>
      <c r="AL7" s="42" t="str">
        <f>IF('Índice IFRS 16 | Index IFRS 16'!$K$6="Português",AL$1,SUBSTITUTE(AL$1,"T","Q"))</f>
        <v>2023²²</v>
      </c>
    </row>
    <row r="8" spans="1:42"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42" s="2" customFormat="1" ht="12" customHeight="1">
      <c r="A9" s="4"/>
      <c r="B9" s="4" t="s">
        <v>163</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2" s="2" customFormat="1" ht="12" customHeight="1">
      <c r="A10" s="4"/>
      <c r="B10" s="4" t="s">
        <v>164</v>
      </c>
      <c r="C10" s="4" t="s">
        <v>30</v>
      </c>
      <c r="D10" s="20" t="str">
        <f>IF('Índice IFRS 16 | Index IFRS 16'!$K$6="Português",$C10,$B10)</f>
        <v>Transporte de passageiros</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F10" s="11">
        <v>7399731</v>
      </c>
      <c r="AG10" s="11">
        <v>8670132</v>
      </c>
      <c r="AH10" s="11">
        <v>10907889</v>
      </c>
      <c r="AI10" s="11">
        <v>5088746.6092699999</v>
      </c>
      <c r="AJ10" s="11">
        <v>8811044</v>
      </c>
      <c r="AK10" s="11">
        <v>14595579</v>
      </c>
      <c r="AL10" s="11">
        <v>17362895.540130001</v>
      </c>
    </row>
    <row r="11" spans="1:42" s="2" customFormat="1" ht="12" customHeight="1">
      <c r="A11" s="4"/>
      <c r="B11" s="4" t="s">
        <v>165</v>
      </c>
      <c r="C11" s="4" t="s">
        <v>6</v>
      </c>
      <c r="D11" s="20" t="str">
        <f>IF('Índice IFRS 16 | Index IFRS 16'!$K$6="Português",$C11,$B11)</f>
        <v>Outras receitas</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F11" s="11">
        <v>289075</v>
      </c>
      <c r="AG11" s="11">
        <v>386931.79327999998</v>
      </c>
      <c r="AH11" s="11">
        <v>534428</v>
      </c>
      <c r="AI11" s="11">
        <v>704519</v>
      </c>
      <c r="AJ11" s="11">
        <v>1164685</v>
      </c>
      <c r="AK11" s="11">
        <v>1352488</v>
      </c>
      <c r="AL11" s="11">
        <v>1331680.6332399999</v>
      </c>
    </row>
    <row r="12" spans="1:42" s="2" customFormat="1" ht="12" customHeight="1">
      <c r="A12" s="4"/>
      <c r="B12" s="4" t="s">
        <v>166</v>
      </c>
      <c r="C12" s="4" t="s">
        <v>31</v>
      </c>
      <c r="D12" s="57" t="str">
        <f>IF('Índice IFRS 16 | Index IFRS 16'!$K$6="Português",$C12,$B12)</f>
        <v>Total receita líquida</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F12" s="36">
        <v>7688806</v>
      </c>
      <c r="AG12" s="36">
        <v>9057063.7932799999</v>
      </c>
      <c r="AH12" s="36">
        <v>11442317</v>
      </c>
      <c r="AI12" s="36">
        <v>5793265.6092699999</v>
      </c>
      <c r="AJ12" s="36">
        <v>9975729</v>
      </c>
      <c r="AK12" s="36">
        <v>15948067</v>
      </c>
      <c r="AL12" s="36">
        <v>18694576.17337</v>
      </c>
    </row>
    <row r="13" spans="1:42" s="2" customFormat="1" ht="7.5" customHeight="1">
      <c r="A13" s="4"/>
      <c r="B13" s="4"/>
      <c r="C13" s="4"/>
      <c r="D13" s="22"/>
    </row>
    <row r="14" spans="1:42" s="2" customFormat="1" ht="12" customHeight="1">
      <c r="A14" s="4"/>
      <c r="B14" s="5" t="s">
        <v>167</v>
      </c>
      <c r="C14" s="5" t="s">
        <v>33</v>
      </c>
      <c r="D14" s="18" t="str">
        <f>IF('Índice IFRS 16 | Index IFRS 16'!$K$6="Português",$C14,$B14)</f>
        <v xml:space="preserve">Custos dos serviços prestados </v>
      </c>
      <c r="AF14" s="79"/>
      <c r="AG14" s="79"/>
      <c r="AH14" s="79"/>
      <c r="AI14" s="79"/>
      <c r="AJ14" s="79"/>
      <c r="AK14" s="79"/>
      <c r="AL14" s="79"/>
    </row>
    <row r="15" spans="1:42" s="2" customFormat="1" ht="12" customHeight="1">
      <c r="A15" s="4"/>
      <c r="B15" s="4" t="s">
        <v>168</v>
      </c>
      <c r="C15" s="4" t="s">
        <v>1</v>
      </c>
      <c r="D15" s="20" t="str">
        <f>IF('Índice IFRS 16 | Index IFRS 16'!$K$6="Português",$C15,$B15)</f>
        <v xml:space="preserve">Combustível de aviação </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F15" s="32">
        <v>-1848195</v>
      </c>
      <c r="AG15" s="32">
        <v>-2644261</v>
      </c>
      <c r="AH15" s="32">
        <v>-3085603</v>
      </c>
      <c r="AI15" s="32">
        <v>-1508750</v>
      </c>
      <c r="AJ15" s="32">
        <v>-3257223</v>
      </c>
      <c r="AK15" s="32">
        <v>-6561288</v>
      </c>
      <c r="AL15" s="32">
        <v>-5890485</v>
      </c>
    </row>
    <row r="16" spans="1:42" s="2" customFormat="1" ht="12" customHeight="1">
      <c r="A16" s="4"/>
      <c r="B16" s="4" t="s">
        <v>169</v>
      </c>
      <c r="C16" s="4" t="s">
        <v>34</v>
      </c>
      <c r="D16" s="20" t="str">
        <f>IF('Índice IFRS 16 | Index IFRS 16'!$K$6="Português",$C16,$B16)</f>
        <v>Salários e benefícios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F16" s="32">
        <v>-1296166</v>
      </c>
      <c r="AG16" s="32">
        <v>-1413017</v>
      </c>
      <c r="AH16" s="32">
        <v>-1868402</v>
      </c>
      <c r="AI16" s="32">
        <v>-1426636</v>
      </c>
      <c r="AJ16" s="32">
        <v>-1748441</v>
      </c>
      <c r="AK16" s="32">
        <v>-1954568</v>
      </c>
      <c r="AL16" s="32">
        <v>-2397252.8888900001</v>
      </c>
    </row>
    <row r="17" spans="1:38" s="2" customFormat="1" ht="12" customHeight="1">
      <c r="A17" s="4"/>
      <c r="B17" s="2" t="s">
        <v>170</v>
      </c>
      <c r="C17" s="2" t="s">
        <v>35</v>
      </c>
      <c r="D17" s="20" t="str">
        <f>IF('Índice IFRS 16 | Index IFRS 16'!$K$6="Português",$C17,$B17)</f>
        <v>Arrendamento mercantil de aeronaves e outros</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F17" s="32">
        <v>-35619</v>
      </c>
      <c r="AG17" s="32">
        <v>0</v>
      </c>
      <c r="AH17" s="32">
        <v>0</v>
      </c>
      <c r="AI17" s="32">
        <v>0</v>
      </c>
      <c r="AJ17" s="32">
        <v>0</v>
      </c>
      <c r="AK17" s="32">
        <v>0</v>
      </c>
      <c r="AL17" s="32">
        <v>0</v>
      </c>
    </row>
    <row r="18" spans="1:38" s="2" customFormat="1" ht="12" customHeight="1">
      <c r="A18" s="4"/>
      <c r="B18" s="4" t="s">
        <v>171</v>
      </c>
      <c r="C18" s="4" t="s">
        <v>2</v>
      </c>
      <c r="D18" s="20" t="str">
        <f>IF('Índice IFRS 16 | Index IFRS 16'!$K$6="Português",$C18,$B18)</f>
        <v xml:space="preserve">Tarifas aeroportuárias </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F18" s="32">
        <v>-490569</v>
      </c>
      <c r="AG18" s="32">
        <v>-592100</v>
      </c>
      <c r="AH18" s="32">
        <v>-724971</v>
      </c>
      <c r="AI18" s="32">
        <v>-465606</v>
      </c>
      <c r="AJ18" s="32">
        <v>-677653</v>
      </c>
      <c r="AK18" s="32">
        <v>-911246</v>
      </c>
      <c r="AL18" s="32">
        <v>-1056906.2432200001</v>
      </c>
    </row>
    <row r="19" spans="1:38" s="2" customFormat="1" ht="12" customHeight="1">
      <c r="A19" s="4"/>
      <c r="B19" s="4" t="s">
        <v>172</v>
      </c>
      <c r="C19" s="4" t="s">
        <v>36</v>
      </c>
      <c r="D19" s="20" t="str">
        <f>IF('Índice IFRS 16 | Index IFRS 16'!$K$6="Português",$C19,$B19)</f>
        <v>Prestação de serviços de tráfego</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F19" s="32">
        <v>-357841</v>
      </c>
      <c r="AG19" s="32">
        <v>-395394</v>
      </c>
      <c r="AH19" s="32">
        <v>-476481</v>
      </c>
      <c r="AI19" s="32">
        <v>-288327</v>
      </c>
      <c r="AJ19" s="32">
        <v>-389349</v>
      </c>
      <c r="AK19" s="32">
        <v>-641900</v>
      </c>
      <c r="AL19" s="32">
        <v>-807563</v>
      </c>
    </row>
    <row r="20" spans="1:38" s="2" customFormat="1" ht="12" customHeight="1">
      <c r="A20" s="4"/>
      <c r="B20" s="4" t="s">
        <v>173</v>
      </c>
      <c r="C20" s="4" t="s">
        <v>174</v>
      </c>
      <c r="D20" s="20" t="str">
        <f>IF('Índice IFRS 16 | Index IFRS 16'!$K$6="Português",$C20,$B20)</f>
        <v>Comerciais e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F20" s="32">
        <v>-309540</v>
      </c>
      <c r="AG20" s="32">
        <v>-368663</v>
      </c>
      <c r="AH20" s="32">
        <v>-444079</v>
      </c>
      <c r="AI20" s="32">
        <v>-329829</v>
      </c>
      <c r="AJ20" s="32">
        <v>-404137</v>
      </c>
      <c r="AK20" s="32">
        <v>-699003</v>
      </c>
      <c r="AL20" s="32">
        <v>-779264</v>
      </c>
    </row>
    <row r="21" spans="1:38" s="2" customFormat="1" ht="12" customHeight="1">
      <c r="A21" s="4"/>
      <c r="B21" s="4" t="s">
        <v>175</v>
      </c>
      <c r="C21" s="4" t="s">
        <v>4</v>
      </c>
      <c r="D21" s="20" t="str">
        <f>IF('Índice IFRS 16 | Index IFRS 16'!$K$6="Português",$C21,$B21)</f>
        <v xml:space="preserve">Material de manutenção e reparo </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F21" s="32">
        <v>-484156</v>
      </c>
      <c r="AG21" s="32">
        <v>-238457.57485999999</v>
      </c>
      <c r="AH21" s="32">
        <v>-281560.16076</v>
      </c>
      <c r="AI21" s="32">
        <v>-449790</v>
      </c>
      <c r="AJ21" s="32">
        <v>-546647</v>
      </c>
      <c r="AK21" s="32">
        <v>-592146.39812999999</v>
      </c>
      <c r="AL21" s="32">
        <v>-686199.65922666667</v>
      </c>
    </row>
    <row r="22" spans="1:38" s="2" customFormat="1" ht="12" customHeight="1">
      <c r="A22" s="4"/>
      <c r="B22" s="4" t="s">
        <v>176</v>
      </c>
      <c r="C22" s="4" t="s">
        <v>5</v>
      </c>
      <c r="D22" s="20" t="str">
        <f>IF('Índice IFRS 16 | Index IFRS 16'!$K$6="Português",$C22,$B22)</f>
        <v xml:space="preserve">Depreciação e amortização </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F22" s="32">
        <v>-1060362</v>
      </c>
      <c r="AG22" s="32">
        <v>-1284050</v>
      </c>
      <c r="AH22" s="32">
        <v>-1591373.5797794599</v>
      </c>
      <c r="AI22" s="32">
        <v>-1726371.7417799996</v>
      </c>
      <c r="AJ22" s="32">
        <v>-1544333</v>
      </c>
      <c r="AK22" s="32">
        <v>-2094448</v>
      </c>
      <c r="AL22" s="32">
        <v>-2314252.0646299999</v>
      </c>
    </row>
    <row r="23" spans="1:38" s="2" customFormat="1" ht="12" customHeight="1">
      <c r="A23" s="4"/>
      <c r="B23" s="4" t="s">
        <v>177</v>
      </c>
      <c r="C23" s="4" t="s">
        <v>37</v>
      </c>
      <c r="D23" s="20" t="str">
        <f>IF('Índice IFRS 16 | Index IFRS 16'!$K$6="Português",$C23,$B23)</f>
        <v>Outras despesas operacionais, líquidas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F23" s="32">
        <v>-577205</v>
      </c>
      <c r="AG23" s="32">
        <v>-701237.82998416177</v>
      </c>
      <c r="AH23" s="32">
        <v>-938412.24058102211</v>
      </c>
      <c r="AI23" s="32">
        <v>-1059568.7085172608</v>
      </c>
      <c r="AJ23" s="32">
        <v>-1360946.9889199859</v>
      </c>
      <c r="AK23" s="32">
        <v>-1357804.5508161911</v>
      </c>
      <c r="AL23" s="32">
        <v>-1862741.585579809</v>
      </c>
    </row>
    <row r="24" spans="1:38" s="2" customFormat="1" ht="12" customHeight="1">
      <c r="A24" s="4"/>
      <c r="B24" s="4" t="s">
        <v>178</v>
      </c>
      <c r="C24" s="4" t="s">
        <v>38</v>
      </c>
      <c r="D24" s="57" t="str">
        <f>IF('Índice IFRS 16 | Index IFRS 16'!$K$6="Português",$C24,$B24)</f>
        <v>Total custos dos serviços prestados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F24" s="34">
        <v>-6459653</v>
      </c>
      <c r="AG24" s="34">
        <v>-7637180.4048441621</v>
      </c>
      <c r="AH24" s="34">
        <v>-9410881.9811204821</v>
      </c>
      <c r="AI24" s="34">
        <v>-7254878.4502972607</v>
      </c>
      <c r="AJ24" s="34">
        <v>-9928729.9889199864</v>
      </c>
      <c r="AK24" s="34">
        <v>-14812403.948946191</v>
      </c>
      <c r="AL24" s="34">
        <v>-15794664.441546476</v>
      </c>
    </row>
    <row r="25" spans="1:38" s="2" customFormat="1" ht="10.5" customHeight="1">
      <c r="A25" s="4"/>
      <c r="D25" s="22"/>
    </row>
    <row r="26" spans="1:38" s="2" customFormat="1" ht="12" customHeight="1">
      <c r="A26" s="4"/>
      <c r="B26" s="4" t="s">
        <v>179</v>
      </c>
      <c r="C26" s="4" t="s">
        <v>41</v>
      </c>
      <c r="D26" s="18" t="str">
        <f>IF('Índice IFRS 16 | Index IFRS 16'!$K$6="Português",$C26,$B26)</f>
        <v>Lucro / (prejuízo) operacional</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F26" s="1">
        <v>1229153</v>
      </c>
      <c r="AG26" s="1">
        <v>1419883.3884358378</v>
      </c>
      <c r="AH26" s="1">
        <v>2031435.0188795179</v>
      </c>
      <c r="AI26" s="1">
        <v>-1461612.8410272608</v>
      </c>
      <c r="AJ26" s="1">
        <v>46999.011080013588</v>
      </c>
      <c r="AK26" s="1">
        <v>1135663.051053809</v>
      </c>
      <c r="AL26" s="1">
        <v>2899911.7318235245</v>
      </c>
    </row>
    <row r="27" spans="1:38" s="2" customFormat="1" ht="12" customHeight="1">
      <c r="A27" s="4"/>
      <c r="B27" s="4" t="s">
        <v>180</v>
      </c>
      <c r="C27" s="4" t="s">
        <v>7</v>
      </c>
      <c r="D27" s="10" t="str">
        <f>IF('Índice IFRS 16 | Index IFRS 16'!$K$6="Português",$C27,$B27)</f>
        <v>Margem EBIT</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F27" s="78">
        <v>0.15986266268130578</v>
      </c>
      <c r="AG27" s="78">
        <v>0.15677082781390342</v>
      </c>
      <c r="AH27" s="78">
        <v>0.17753703370388341</v>
      </c>
      <c r="AI27" s="78">
        <v>-0.25229515434066835</v>
      </c>
      <c r="AJ27" s="78">
        <v>4.7113359915865382E-3</v>
      </c>
      <c r="AK27" s="78">
        <v>7.1210075243213419E-2</v>
      </c>
      <c r="AL27" s="78">
        <v>0.1551204854782631</v>
      </c>
    </row>
    <row r="28" spans="1:38"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F28" s="24"/>
      <c r="AG28" s="24"/>
      <c r="AH28" s="24"/>
      <c r="AI28" s="24"/>
      <c r="AJ28" s="24"/>
      <c r="AK28" s="24"/>
      <c r="AL28" s="24"/>
    </row>
    <row r="29" spans="1:38" s="2" customFormat="1" ht="12" customHeight="1">
      <c r="A29" s="4"/>
      <c r="B29" s="5" t="s">
        <v>181</v>
      </c>
      <c r="C29" s="5" t="s">
        <v>8</v>
      </c>
      <c r="D29" s="18" t="str">
        <f>IF('Índice IFRS 16 | Index IFRS 16'!$K$6="Português",$C29,$B29)</f>
        <v>Resultado Financeiro</v>
      </c>
      <c r="E29" s="1"/>
      <c r="F29" s="1"/>
      <c r="G29" s="1"/>
      <c r="H29" s="1"/>
      <c r="I29" s="1"/>
      <c r="J29" s="1"/>
      <c r="K29" s="1"/>
      <c r="L29" s="1"/>
      <c r="M29" s="1"/>
      <c r="N29" s="1"/>
      <c r="O29" s="1"/>
      <c r="P29" s="1"/>
      <c r="Q29" s="1"/>
      <c r="R29" s="1"/>
      <c r="S29" s="1"/>
      <c r="T29" s="1"/>
      <c r="U29" s="1"/>
      <c r="V29" s="1"/>
      <c r="W29" s="1"/>
      <c r="X29" s="1"/>
      <c r="Y29" s="1"/>
      <c r="Z29" s="1"/>
      <c r="AA29" s="1"/>
      <c r="AB29" s="1"/>
      <c r="AC29" s="1"/>
      <c r="AD29" s="1"/>
      <c r="AF29" s="1"/>
      <c r="AG29" s="1"/>
      <c r="AH29" s="1"/>
      <c r="AI29" s="1"/>
      <c r="AJ29" s="1"/>
      <c r="AK29" s="1"/>
      <c r="AL29" s="1"/>
    </row>
    <row r="30" spans="1:38" s="2" customFormat="1" ht="12" customHeight="1">
      <c r="A30" s="4"/>
      <c r="B30" s="4" t="s">
        <v>182</v>
      </c>
      <c r="C30" s="4" t="s">
        <v>9</v>
      </c>
      <c r="D30" s="20" t="str">
        <f>IF('Índice IFRS 16 | Index IFRS 16'!$K$6="Português",$C30,$B30)</f>
        <v xml:space="preserve">Receita financeira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F30" s="11">
        <v>128272</v>
      </c>
      <c r="AG30" s="11">
        <v>74522</v>
      </c>
      <c r="AH30" s="11">
        <v>72071</v>
      </c>
      <c r="AI30" s="11">
        <v>60298</v>
      </c>
      <c r="AJ30" s="11">
        <v>154280</v>
      </c>
      <c r="AK30" s="11">
        <v>277289</v>
      </c>
      <c r="AL30" s="11">
        <v>220141</v>
      </c>
    </row>
    <row r="31" spans="1:38" s="2" customFormat="1" ht="12" customHeight="1">
      <c r="A31" s="4"/>
      <c r="B31" s="4" t="s">
        <v>183</v>
      </c>
      <c r="C31" s="4" t="s">
        <v>10</v>
      </c>
      <c r="D31" s="20" t="str">
        <f>IF('Índice IFRS 16 | Index IFRS 16'!$K$6="Português",$C31,$B31)</f>
        <v xml:space="preserve">Despesas financeiras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F31" s="32">
        <v>-1037158</v>
      </c>
      <c r="AG31" s="32">
        <v>-1094828</v>
      </c>
      <c r="AH31" s="32">
        <v>-1329524</v>
      </c>
      <c r="AI31" s="32">
        <v>-2470034</v>
      </c>
      <c r="AJ31" s="32">
        <v>-3633184</v>
      </c>
      <c r="AK31" s="32">
        <v>-4558144.994821067</v>
      </c>
      <c r="AL31" s="32">
        <v>-5363540.412719069</v>
      </c>
    </row>
    <row r="32" spans="1:38" s="2" customFormat="1" ht="12" customHeight="1">
      <c r="A32" s="4"/>
      <c r="B32" s="4" t="s">
        <v>184</v>
      </c>
      <c r="C32" s="4" t="s">
        <v>11</v>
      </c>
      <c r="D32" s="20" t="str">
        <f>IF('Índice IFRS 16 | Index IFRS 16'!$K$6="Português",$C32,$B32)</f>
        <v xml:space="preserve">Instrumentos financeiros derivativos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F32" s="32">
        <v>-90171</v>
      </c>
      <c r="AG32" s="11">
        <v>298094</v>
      </c>
      <c r="AH32" s="32">
        <v>325451</v>
      </c>
      <c r="AI32" s="32">
        <v>-1452116</v>
      </c>
      <c r="AJ32" s="32">
        <v>34971</v>
      </c>
      <c r="AK32" s="32">
        <v>438190.31670999998</v>
      </c>
      <c r="AL32" s="32">
        <v>19858.326640000043</v>
      </c>
    </row>
    <row r="33" spans="1:38" s="2" customFormat="1" ht="12" customHeight="1">
      <c r="A33" s="4"/>
      <c r="B33" s="4" t="s">
        <v>185</v>
      </c>
      <c r="C33" s="4" t="s">
        <v>12</v>
      </c>
      <c r="D33" s="20" t="str">
        <f>IF('Índice IFRS 16 | Index IFRS 16'!$K$6="Português",$C33,$B33)</f>
        <v xml:space="preserve">Variações monetárias e cambiais, líquida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F33" s="32">
        <v>-9595</v>
      </c>
      <c r="AG33" s="32">
        <v>-1306064</v>
      </c>
      <c r="AH33" s="32">
        <v>-391905</v>
      </c>
      <c r="AI33" s="32">
        <v>-4384898</v>
      </c>
      <c r="AJ33" s="32">
        <v>-1365595</v>
      </c>
      <c r="AK33" s="32">
        <v>1327353.2574036173</v>
      </c>
      <c r="AL33" s="32">
        <v>1562831.6621711119</v>
      </c>
    </row>
    <row r="34" spans="1:38"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F34" s="21">
        <v>-1008652</v>
      </c>
      <c r="AG34" s="21">
        <v>-2028276</v>
      </c>
      <c r="AH34" s="21">
        <v>-1323907</v>
      </c>
      <c r="AI34" s="21">
        <v>-8246750</v>
      </c>
      <c r="AJ34" s="21">
        <v>-4809528</v>
      </c>
      <c r="AK34" s="21">
        <v>-2515312.4207074498</v>
      </c>
      <c r="AL34" s="21">
        <v>-3560709.4239079575</v>
      </c>
    </row>
    <row r="35" spans="1:38" s="2" customFormat="1" ht="12" customHeight="1">
      <c r="A35" s="4"/>
      <c r="B35" s="4" t="s">
        <v>186</v>
      </c>
      <c r="C35" s="4" t="s">
        <v>28</v>
      </c>
      <c r="D35" s="22" t="str">
        <f>IF('Índice IFRS 16 | Index IFRS 16'!$K$6="Português",$C35,$B35)</f>
        <v>Resultado de transações relacionadas, net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F35" s="11">
        <v>176975</v>
      </c>
      <c r="AG35" s="11">
        <v>381725</v>
      </c>
      <c r="AH35" s="32">
        <v>-16958</v>
      </c>
      <c r="AI35" s="32">
        <v>-713833</v>
      </c>
      <c r="AJ35" s="32">
        <v>-5173.39815</v>
      </c>
      <c r="AK35" s="32">
        <v>0</v>
      </c>
      <c r="AL35" s="32">
        <v>0</v>
      </c>
    </row>
    <row r="36" spans="1:38"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F36" s="11"/>
      <c r="AG36" s="11"/>
      <c r="AH36" s="11"/>
      <c r="AI36" s="11"/>
      <c r="AJ36" s="11"/>
      <c r="AK36" s="11"/>
      <c r="AL36" s="11"/>
    </row>
    <row r="37" spans="1:38" s="2" customFormat="1" ht="12" customHeight="1">
      <c r="A37" s="4"/>
      <c r="B37" s="4" t="s">
        <v>187</v>
      </c>
      <c r="C37" s="4" t="s">
        <v>40</v>
      </c>
      <c r="D37" s="58" t="str">
        <f>IF('Índice IFRS 16 | Index IFRS 16'!$K$6="Português",$C37,$B37)</f>
        <v>Lucro (prejuízo) antes do IR e contribuição social</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F37" s="21">
        <v>397476</v>
      </c>
      <c r="AG37" s="21">
        <v>-226667.61156416219</v>
      </c>
      <c r="AH37" s="21">
        <v>690570.01887951791</v>
      </c>
      <c r="AI37" s="21">
        <v>-10422195.84102726</v>
      </c>
      <c r="AJ37" s="21">
        <v>-4767702.3870699862</v>
      </c>
      <c r="AK37" s="21">
        <v>-1379649.3696536408</v>
      </c>
      <c r="AL37" s="21">
        <v>-660797.69208443258</v>
      </c>
    </row>
    <row r="38" spans="1:38" s="2" customFormat="1" ht="12" customHeight="1">
      <c r="A38" s="4"/>
      <c r="B38" s="4" t="s">
        <v>188</v>
      </c>
      <c r="C38" s="4" t="s">
        <v>13</v>
      </c>
      <c r="D38" s="20" t="str">
        <f>IF('Índice IFRS 16 | Index IFRS 16'!$K$6="Português",$C38,$B38)</f>
        <v>Imposto de renda e contribuição social</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F38" s="32">
        <v>2875</v>
      </c>
      <c r="AG38" s="32">
        <v>-11224</v>
      </c>
      <c r="AH38" s="32">
        <v>-2228</v>
      </c>
      <c r="AI38" s="32">
        <v>-10.577400000000125</v>
      </c>
      <c r="AJ38" s="32">
        <v>0</v>
      </c>
      <c r="AK38" s="32">
        <v>1</v>
      </c>
      <c r="AL38" s="32">
        <v>0</v>
      </c>
    </row>
    <row r="39" spans="1:38" s="2" customFormat="1" ht="12" customHeight="1">
      <c r="A39" s="4"/>
      <c r="B39" s="4" t="s">
        <v>189</v>
      </c>
      <c r="C39" s="4" t="s">
        <v>14</v>
      </c>
      <c r="D39" s="20" t="str">
        <f>IF('Índice IFRS 16 | Index IFRS 16'!$K$6="Português",$C39,$B39)</f>
        <v xml:space="preserve">Imposto de renda e contribuição social diferidos </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F39" s="32">
        <v>11473</v>
      </c>
      <c r="AG39" s="32">
        <v>-171581</v>
      </c>
      <c r="AH39" s="32">
        <v>135407</v>
      </c>
      <c r="AI39" s="32">
        <v>242515.63683000003</v>
      </c>
      <c r="AJ39" s="32">
        <v>0</v>
      </c>
      <c r="AK39" s="32">
        <v>0</v>
      </c>
      <c r="AL39" s="32">
        <v>-39526</v>
      </c>
    </row>
    <row r="40" spans="1:38" s="2" customFormat="1" ht="6" customHeight="1">
      <c r="A40" s="4"/>
      <c r="B40" s="5"/>
      <c r="C40" s="5"/>
      <c r="D40" s="20"/>
    </row>
    <row r="41" spans="1:38" s="2" customFormat="1" ht="12" customHeight="1">
      <c r="A41" s="4"/>
      <c r="B41" s="4" t="s">
        <v>179</v>
      </c>
      <c r="C41" s="4" t="s">
        <v>39</v>
      </c>
      <c r="D41" s="15" t="str">
        <f>IF('Índice IFRS 16 | Index IFRS 16'!$K$6="Português",$C41,$B41)</f>
        <v>Prejuízo líquido do exercício</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F41" s="21">
        <v>411824</v>
      </c>
      <c r="AG41" s="21">
        <v>-409472.61156416219</v>
      </c>
      <c r="AH41" s="21">
        <v>823749.01887951791</v>
      </c>
      <c r="AI41" s="21">
        <v>-10179690.78159726</v>
      </c>
      <c r="AJ41" s="21">
        <v>-4767702.3870699862</v>
      </c>
      <c r="AK41" s="21">
        <v>-1379648.3696536408</v>
      </c>
      <c r="AL41" s="21">
        <v>-700323.69208443258</v>
      </c>
    </row>
    <row r="42" spans="1:38" s="2" customFormat="1" ht="12" customHeight="1">
      <c r="A42" s="4"/>
      <c r="B42" s="4" t="s">
        <v>190</v>
      </c>
      <c r="C42" s="4" t="s">
        <v>15</v>
      </c>
      <c r="D42" s="89" t="str">
        <f>IF('Índice IFRS 16 | Index IFRS 16'!$K$6="Português",$C42,$B42)</f>
        <v>Margem líquida</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F42" s="92">
        <v>5.3561502267062015E-2</v>
      </c>
      <c r="AG42" s="92">
        <v>-4.521030445517845E-2</v>
      </c>
      <c r="AH42" s="92">
        <v>7.1991452332557992E-2</v>
      </c>
      <c r="AI42" s="92">
        <v>-1.757159341237245</v>
      </c>
      <c r="AJ42" s="92">
        <v>-0.47793022315160988</v>
      </c>
      <c r="AK42" s="92">
        <v>-8.6508814494799954E-2</v>
      </c>
      <c r="AL42" s="92">
        <v>-3.7461330259095565E-2</v>
      </c>
    </row>
    <row r="43" spans="1:38"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F43" s="24"/>
      <c r="AG43" s="24"/>
      <c r="AH43" s="91"/>
      <c r="AI43" s="91"/>
      <c r="AJ43" s="91"/>
      <c r="AK43" s="91"/>
      <c r="AL43" s="91"/>
    </row>
    <row r="44" spans="1:38"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F44" s="21">
        <v>2289515</v>
      </c>
      <c r="AG44" s="21">
        <v>2703933.3884358378</v>
      </c>
      <c r="AH44" s="21">
        <v>3622808.598658978</v>
      </c>
      <c r="AI44" s="21">
        <v>264758.90075273882</v>
      </c>
      <c r="AJ44" s="21">
        <v>1591332.0110800136</v>
      </c>
      <c r="AK44" s="21">
        <v>3230111.051053809</v>
      </c>
      <c r="AL44" s="21">
        <v>5214163.7964535244</v>
      </c>
    </row>
    <row r="45" spans="1:38"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F45" s="33">
        <v>0.2977725019983597</v>
      </c>
      <c r="AG45" s="33">
        <v>0.2985441474357346</v>
      </c>
      <c r="AH45" s="33">
        <v>0.31661494771198684</v>
      </c>
      <c r="AI45" s="33">
        <v>4.5701150026522031E-2</v>
      </c>
      <c r="AJ45" s="33">
        <v>0.15952037300532257</v>
      </c>
      <c r="AK45" s="33">
        <v>0.20253934543000157</v>
      </c>
      <c r="AL45" s="33">
        <v>0.27891318573357027</v>
      </c>
    </row>
    <row r="47" spans="1:38">
      <c r="A47" s="7"/>
      <c r="B47" s="5" t="s">
        <v>191</v>
      </c>
      <c r="C47" s="5" t="s">
        <v>127</v>
      </c>
      <c r="D47" s="77" t="str">
        <f>IF('Índice IFRS 16 | Index IFRS 16'!$K$6="Português",$C47,$B47)</f>
        <v>¹ 2018 ajustado por itens não recorrentes relacionados com a perda na venda de aeronaves de R$226,3 milhões.</v>
      </c>
    </row>
    <row r="48" spans="1:38">
      <c r="A48" s="7"/>
      <c r="B48" s="5" t="s">
        <v>192</v>
      </c>
      <c r="C48" s="5" t="s">
        <v>128</v>
      </c>
      <c r="D48" s="77" t="str">
        <f>IF('Índice IFRS 16 | Index IFRS 16'!$K$6="Português",$C48,$B48)</f>
        <v>² 2019 ajustado por itens não recorrentes de R$3,2 bilhões, principalmente devido ao impairment associado ao subarrendamento dos E1s.</v>
      </c>
    </row>
    <row r="49" spans="1:4">
      <c r="A49" s="7"/>
      <c r="B49" s="5" t="s">
        <v>193</v>
      </c>
      <c r="C49" s="5" t="s">
        <v>357</v>
      </c>
      <c r="D49" s="77" t="str">
        <f>IF('Índice IFRS 16 | Index IFRS 16'!$K$6="Português",$C49,$B49)</f>
        <v>³ Ajustado para itens não recorrentes totalizando R$14,8 milhões no 1T20.</v>
      </c>
    </row>
    <row r="50" spans="1:4">
      <c r="B50" s="5" t="s">
        <v>194</v>
      </c>
      <c r="C50" s="5" t="s">
        <v>158</v>
      </c>
      <c r="D50" s="77" t="str">
        <f>IF('Índice IFRS 16 | Index IFRS 16'!$K$6="Português",$C50,$B50)</f>
        <v>⁴ Ajustado para eventos não recorrentes de R$203,6milhões no 2T20 registrados em outras despesas, composto por indenizações, custos de acomodação de passageiros e taxas de consultoria, resultantes da crise de COVID-19.</v>
      </c>
    </row>
    <row r="51" spans="1:4">
      <c r="B51" s="5" t="s">
        <v>195</v>
      </c>
      <c r="C51" s="136" t="s">
        <v>358</v>
      </c>
      <c r="D51" s="77" t="str">
        <f>IF('Índice IFRS 16 | Index IFRS 16'!$K$6="Português",$C51,$B51)</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row>
    <row r="52" spans="1:4">
      <c r="B52" s="5" t="s">
        <v>715</v>
      </c>
      <c r="C52" s="136" t="s">
        <v>359</v>
      </c>
      <c r="D52" s="77" t="str">
        <f>IF('Índice IFRS 16 | Index IFRS 16'!$K$6="Português",$C52,$B52)</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row>
    <row r="53" spans="1:4">
      <c r="B53" s="5" t="s">
        <v>719</v>
      </c>
      <c r="C53" s="136" t="s">
        <v>360</v>
      </c>
      <c r="D53" s="77" t="str">
        <f>IF('Índice IFRS 16 | Index IFRS 16'!$K$6="Português",$C53,$B53)</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row>
    <row r="54" spans="1:4">
      <c r="B54" s="5" t="s">
        <v>196</v>
      </c>
      <c r="C54" s="136" t="s">
        <v>354</v>
      </c>
      <c r="D54" s="77" t="str">
        <f>IF('Índice IFRS 16 | Index IFRS 16'!$K$6="Português",$C54,$B54)</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row>
    <row r="55" spans="1:4">
      <c r="B55" s="5" t="s">
        <v>197</v>
      </c>
      <c r="C55" s="5" t="s">
        <v>355</v>
      </c>
      <c r="D55" s="77" t="str">
        <f>IF('Índice IFRS 16 | Index IFRS 16'!$K$6="Português",$C55,$B55)</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row>
    <row r="56" spans="1:4">
      <c r="B56" s="5" t="s">
        <v>361</v>
      </c>
      <c r="C56" s="5" t="s">
        <v>356</v>
      </c>
      <c r="D56" s="77" t="str">
        <f>IF('Índice IFRS 16 | Index IFRS 16'!$K$6="Português",$C56,$B56)</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row>
    <row r="57" spans="1:4">
      <c r="B57" s="5" t="s">
        <v>364</v>
      </c>
      <c r="C57" s="5" t="s">
        <v>365</v>
      </c>
      <c r="D57" s="77" t="str">
        <f>IF('Índice IFRS 16 | Index IFRS 16'!$K$6="Português",$C57,$B57)</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row>
    <row r="58" spans="1:4">
      <c r="B58" s="5" t="s">
        <v>369</v>
      </c>
      <c r="C58" s="5" t="s">
        <v>370</v>
      </c>
      <c r="D58" s="77" t="str">
        <f>IF('Índice IFRS 16 | Index IFRS 16'!$K$6="Português",$C58,$B58)</f>
        <v>¹²Os resultados operacionais foram ajustados para itens não recorrentes totalizando R$220,5 milhões no 1T22.</v>
      </c>
    </row>
    <row r="59" spans="1:4">
      <c r="B59" s="5" t="s">
        <v>695</v>
      </c>
      <c r="C59" s="5" t="s">
        <v>696</v>
      </c>
      <c r="D59" s="77" t="str">
        <f>IF('Índice IFRS 16 | Index IFRS 16'!$K$6="Português",$C59,$B59)</f>
        <v>¹³O resultado financeiro exclui despesas com debêntures conversíveis</v>
      </c>
    </row>
    <row r="60" spans="1:4">
      <c r="B60" s="5" t="s">
        <v>702</v>
      </c>
      <c r="C60" s="5" t="s">
        <v>703</v>
      </c>
      <c r="D60" s="77" t="str">
        <f>IF('Índice IFRS 16 | Index IFRS 16'!$K$6="Português",$C60,$B60)</f>
        <v xml:space="preserve">¹⁴ Os resultados operacionais foram ajustados no 3T22 para itens não recorrentes registrados em outras despesas líquidas de R$52,6 milhões. </v>
      </c>
    </row>
    <row r="61" spans="1:4">
      <c r="B61" s="5" t="s">
        <v>705</v>
      </c>
      <c r="C61" s="5" t="s">
        <v>707</v>
      </c>
      <c r="D61" s="77" t="str">
        <f>IF('Índice IFRS 16 | Index IFRS 16'!$K$6="Português",$C61,$B61)</f>
        <v>¹⁵ Os resultados operacionais foram ajustados para itens não recorrentes totalizando um ganho líquido de R$567,0 milhões no 4T22, principalmente devido a reversão parcial do impairment do E1 e de outros itens relacionados às aeronaves</v>
      </c>
    </row>
    <row r="62" spans="1:4">
      <c r="B62" s="5" t="s">
        <v>709</v>
      </c>
      <c r="C62" s="5" t="s">
        <v>708</v>
      </c>
      <c r="D62" s="77" t="str">
        <f>IF('Índice IFRS 16 | Index IFRS 16'!$K$6="Português",$C62,$B62)</f>
        <v>¹⁶ Os resultados operacionais em 2021 foram ajustados para itens não recorrentes totalizando um ganho líquido de R$7,8 milhões.</v>
      </c>
    </row>
    <row r="63" spans="1:4">
      <c r="B63" s="5" t="s">
        <v>710</v>
      </c>
      <c r="C63" s="5" t="s">
        <v>711</v>
      </c>
      <c r="D63" s="77" t="str">
        <f>IF('Índice IFRS 16 | Index IFRS 16'!$K$6="Português",$C63,$B63)</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64" spans="1:4">
      <c r="B64" s="5" t="s">
        <v>717</v>
      </c>
      <c r="C64" s="5" t="s">
        <v>718</v>
      </c>
      <c r="D64" s="77" t="str">
        <f>IF('Índice IFRS 16 | Index IFRS 16'!$K$6="Português",$C64,$B64)</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row>
    <row r="65" spans="2:4">
      <c r="B65" s="5" t="s">
        <v>726</v>
      </c>
      <c r="C65" s="5" t="s">
        <v>727</v>
      </c>
      <c r="D65" s="77" t="str">
        <f>IF('Índice IFRS 16 | Index IFRS 16'!$K$6="Português",$C65,$B65)</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row>
    <row r="66" spans="2:4">
      <c r="B66" s="5" t="s">
        <v>732</v>
      </c>
      <c r="C66" s="5" t="s">
        <v>743</v>
      </c>
      <c r="D66" s="77" t="str">
        <f>IF('Índice IFRS 16 | Index IFRS 16'!$K$6="Português",$C66,$B66)</f>
        <v>²⁰ Os resultados operacionais foram ajustados para itens não recorrentes totalizando R$290,6 milhões relacionados ao plano de otimização de capital, além de outras despesas relacionadas à reestruturação.</v>
      </c>
    </row>
    <row r="67" spans="2:4">
      <c r="B67" s="5" t="s">
        <v>745</v>
      </c>
      <c r="C67" s="5" t="s">
        <v>746</v>
      </c>
      <c r="D67" s="77" t="str">
        <f>IF('Índice IFRS 16 | Index IFRS 16'!$K$6="Português",$C67,$B67)</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68" spans="2:4">
      <c r="B68" s="5" t="s">
        <v>748</v>
      </c>
      <c r="C68" s="5" t="s">
        <v>747</v>
      </c>
      <c r="D68" s="77" t="str">
        <f>IF('Índice IFRS 16 | Index IFRS 16'!$K$6="Português",$C68,$B68)</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I72"/>
  <sheetViews>
    <sheetView showGridLines="0" zoomScaleNormal="100" workbookViewId="0">
      <pane xSplit="4" ySplit="7" topLeftCell="V8" activePane="bottomRight" state="frozen"/>
      <selection activeCell="F2" sqref="F2"/>
      <selection pane="topRight" activeCell="F2" sqref="F2"/>
      <selection pane="bottomLeft" activeCell="F2" sqref="F2"/>
      <selection pane="bottomRight" activeCell="A2" sqref="A2"/>
    </sheetView>
  </sheetViews>
  <sheetFormatPr defaultRowHeight="14.4"/>
  <cols>
    <col min="1" max="1" width="3.5546875" customWidth="1"/>
    <col min="2" max="3" width="3.5546875" hidden="1" customWidth="1"/>
    <col min="4" max="4" width="48.88671875" bestFit="1" customWidth="1"/>
    <col min="5" max="5" width="10.6640625" customWidth="1"/>
    <col min="6" max="6" width="10.6640625" bestFit="1" customWidth="1"/>
    <col min="7" max="7" width="10.44140625" bestFit="1" customWidth="1"/>
    <col min="8" max="13" width="10.6640625" bestFit="1" customWidth="1"/>
    <col min="14" max="14" width="11.5546875" bestFit="1" customWidth="1"/>
    <col min="15" max="16" width="11.5546875" customWidth="1"/>
    <col min="17" max="18" width="11.5546875" bestFit="1" customWidth="1"/>
    <col min="19" max="19" width="12.44140625" style="2" bestFit="1" customWidth="1"/>
    <col min="20" max="23" width="12.44140625" style="2" customWidth="1"/>
    <col min="24" max="31" width="11.5546875" bestFit="1" customWidth="1"/>
    <col min="32" max="32" width="10" bestFit="1" customWidth="1"/>
  </cols>
  <sheetData>
    <row r="1" spans="1:31" s="138" customFormat="1" hidden="1">
      <c r="E1" s="159" t="s">
        <v>320</v>
      </c>
      <c r="F1" s="159" t="s">
        <v>98</v>
      </c>
      <c r="G1" s="159" t="s">
        <v>101</v>
      </c>
      <c r="H1" s="159" t="s">
        <v>104</v>
      </c>
      <c r="I1" s="159" t="s">
        <v>105</v>
      </c>
      <c r="J1" s="159" t="s">
        <v>321</v>
      </c>
      <c r="K1" s="159" t="s">
        <v>322</v>
      </c>
      <c r="L1" s="159" t="s">
        <v>323</v>
      </c>
      <c r="M1" s="159" t="s">
        <v>324</v>
      </c>
      <c r="N1" s="159" t="s">
        <v>325</v>
      </c>
      <c r="O1" s="156" t="s">
        <v>326</v>
      </c>
      <c r="P1" s="156" t="s">
        <v>327</v>
      </c>
      <c r="Q1" s="156" t="s">
        <v>328</v>
      </c>
      <c r="R1" s="156" t="s">
        <v>329</v>
      </c>
      <c r="S1" s="157" t="s">
        <v>330</v>
      </c>
      <c r="T1" s="160" t="s">
        <v>331</v>
      </c>
      <c r="U1" s="160" t="s">
        <v>161</v>
      </c>
      <c r="V1" s="160" t="s">
        <v>367</v>
      </c>
      <c r="W1" s="160" t="s">
        <v>694</v>
      </c>
      <c r="X1" s="160" t="s">
        <v>700</v>
      </c>
      <c r="Y1" s="160" t="s">
        <v>704</v>
      </c>
      <c r="Z1" s="160" t="s">
        <v>714</v>
      </c>
      <c r="AA1" s="160" t="s">
        <v>725</v>
      </c>
      <c r="AB1" s="160" t="s">
        <v>733</v>
      </c>
      <c r="AC1" s="160" t="s">
        <v>742</v>
      </c>
      <c r="AD1" s="160" t="s">
        <v>749</v>
      </c>
      <c r="AE1" s="160" t="s">
        <v>750</v>
      </c>
    </row>
    <row r="3" spans="1:31">
      <c r="S3"/>
      <c r="T3"/>
      <c r="U3"/>
      <c r="V3"/>
      <c r="W3"/>
    </row>
    <row r="4" spans="1:31">
      <c r="D4" s="169" t="str">
        <f>IF('Índice IFRS 16 | Index IFRS 16'!$K$6="Português","Menu","Home")</f>
        <v>Menu</v>
      </c>
    </row>
    <row r="6" spans="1:31">
      <c r="B6" t="s">
        <v>208</v>
      </c>
      <c r="C6" s="56" t="s">
        <v>55</v>
      </c>
      <c r="D6" s="56" t="str">
        <f>IF('Índice IFRS 16 | Index IFRS 16'!$K$6="Português",$C6,$B6)</f>
        <v>Balanço</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row>
    <row r="7" spans="1:31" ht="15" thickBot="1">
      <c r="B7" t="s">
        <v>96</v>
      </c>
      <c r="C7" t="s">
        <v>0</v>
      </c>
      <c r="D7" s="17" t="str">
        <f>IF('Índice IFRS 16 | Index IFRS 16'!$K$6="Português",$C7,$B7)</f>
        <v xml:space="preserve"> (R$ 000)</v>
      </c>
      <c r="E7" s="42" t="str">
        <f>IF('Índice IFRS 16 | Index IFRS 16'!$K$6="Português",E$1,SUBSTITUTE(E$1,"T","Q"))</f>
        <v>4T17</v>
      </c>
      <c r="F7" s="42" t="str">
        <f>IF('Índice IFRS 16 | Index IFRS 16'!$K$6="Português",F$1,SUBSTITUTE(F$1,"T","Q"))</f>
        <v>1T18</v>
      </c>
      <c r="G7" s="42" t="str">
        <f>IF('Índice IFRS 16 | Index IFRS 16'!$K$6="Português",G$1,SUBSTITUTE(G$1,"T","Q"))</f>
        <v>2T18</v>
      </c>
      <c r="H7" s="42" t="str">
        <f>IF('Índice IFRS 16 | Index IFRS 16'!$K$6="Português",H$1,SUBSTITUTE(H$1,"T","Q"))</f>
        <v>3T18</v>
      </c>
      <c r="I7" s="42" t="str">
        <f>IF('Índice IFRS 16 | Index IFRS 16'!$K$6="Português",I$1,SUBSTITUTE(I$1,"T","Q"))</f>
        <v>4T18</v>
      </c>
      <c r="J7" s="42" t="str">
        <f>IF('Índice IFRS 16 | Index IFRS 16'!$K$6="Português",J$1,SUBSTITUTE(J$1,"T","Q"))</f>
        <v>1T19</v>
      </c>
      <c r="K7" s="42" t="str">
        <f>IF('Índice IFRS 16 | Index IFRS 16'!$K$6="Português",K$1,SUBSTITUTE(K$1,"T","Q"))</f>
        <v>2T19</v>
      </c>
      <c r="L7" s="42" t="str">
        <f>IF('Índice IFRS 16 | Index IFRS 16'!$K$6="Português",L$1,SUBSTITUTE(L$1,"T","Q"))</f>
        <v>3T19</v>
      </c>
      <c r="M7" s="42" t="str">
        <f>IF('Índice IFRS 16 | Index IFRS 16'!$K$6="Português",M$1,SUBSTITUTE(M$1,"T","Q"))</f>
        <v>4T19</v>
      </c>
      <c r="N7" s="42" t="str">
        <f>IF('Índice IFRS 16 | Index IFRS 16'!$K$6="Português",N$1,SUBSTITUTE(N$1,"T","Q"))</f>
        <v>1T20</v>
      </c>
      <c r="O7" s="42" t="str">
        <f>IF('Índice IFRS 16 | Index IFRS 16'!$K$6="Português",O$1,SUBSTITUTE(O$1,"T","Q"))</f>
        <v>2T20</v>
      </c>
      <c r="P7" s="42" t="str">
        <f>IF('Índice IFRS 16 | Index IFRS 16'!$K$6="Português",P$1,SUBSTITUTE(P$1,"T","Q"))</f>
        <v>3T20</v>
      </c>
      <c r="Q7" s="42" t="str">
        <f>IF('Índice IFRS 16 | Index IFRS 16'!$K$6="Português",Q$1,SUBSTITUTE(Q$1,"T","Q"))</f>
        <v>4T20</v>
      </c>
      <c r="R7" s="42" t="str">
        <f>IF('Índice IFRS 16 | Index IFRS 16'!$K$6="Português",R$1,SUBSTITUTE(R$1,"T","Q"))</f>
        <v>1T21</v>
      </c>
      <c r="S7" s="42" t="str">
        <f>IF('Índice IFRS 16 | Index IFRS 16'!$K$6="Português",S$1,SUBSTITUTE(S$1,"T","Q"))</f>
        <v>2T21</v>
      </c>
      <c r="T7" s="42" t="str">
        <f>IF('Índice IFRS 16 | Index IFRS 16'!$K$6="Português",T$1,SUBSTITUTE(T$1,"T","Q"))</f>
        <v>3T21</v>
      </c>
      <c r="U7" s="42" t="str">
        <f>IF('Índice IFRS 16 | Index IFRS 16'!$K$6="Português",U$1,SUBSTITUTE(U$1,"T","Q"))</f>
        <v>4T21</v>
      </c>
      <c r="V7" s="42" t="str">
        <f>IF('Índice IFRS 16 | Index IFRS 16'!$K$6="Português",V$1,SUBSTITUTE(V$1,"T","Q"))</f>
        <v>1T22</v>
      </c>
      <c r="W7" s="42" t="str">
        <f>IF('Índice IFRS 16 | Index IFRS 16'!$K$6="Português",W$1,SUBSTITUTE(W$1,"T","Q"))</f>
        <v>2T22</v>
      </c>
      <c r="X7" s="42" t="str">
        <f>IF('Índice IFRS 16 | Index IFRS 16'!$K$6="Português",X$1,SUBSTITUTE(X$1,"T","Q"))</f>
        <v>3T22</v>
      </c>
      <c r="Y7" s="42" t="str">
        <f>IF('Índice IFRS 16 | Index IFRS 16'!$K$6="Português",Y$1,SUBSTITUTE(Y$1,"T","Q"))</f>
        <v>4T22</v>
      </c>
      <c r="Z7" s="42" t="str">
        <f>IF('Índice IFRS 16 | Index IFRS 16'!$K$6="Português",Z$1,SUBSTITUTE(Z$1,"T","Q"))</f>
        <v>1T23</v>
      </c>
      <c r="AA7" s="42" t="str">
        <f>IF('Índice IFRS 16 | Index IFRS 16'!$K$6="Português",AA$1,SUBSTITUTE(AA$1,"T","Q"))</f>
        <v>2T23</v>
      </c>
      <c r="AB7" s="42" t="str">
        <f>IF('Índice IFRS 16 | Index IFRS 16'!$K$6="Português",AB$1,SUBSTITUTE(AB$1,"T","Q"))</f>
        <v>3T23</v>
      </c>
      <c r="AC7" s="42" t="str">
        <f>IF('Índice IFRS 16 | Index IFRS 16'!$K$6="Português",AC$1,SUBSTITUTE(AC$1,"T","Q"))</f>
        <v>4T23</v>
      </c>
      <c r="AD7" s="42" t="str">
        <f>IF('Índice IFRS 16 | Index IFRS 16'!$K$6="Português",AD$1,SUBSTITUTE(AD$1,"T","Q"))</f>
        <v>1T24</v>
      </c>
      <c r="AE7" s="42" t="str">
        <f>IF('Índice IFRS 16 | Index IFRS 16'!$K$6="Português",AE$1,SUBSTITUTE(AE$1,"T","Q"))</f>
        <v>2T24</v>
      </c>
    </row>
    <row r="8" spans="1:31" ht="6.75" customHeight="1">
      <c r="D8" s="18"/>
      <c r="E8" s="19"/>
      <c r="F8" s="19"/>
      <c r="G8" s="19"/>
      <c r="H8" s="19"/>
      <c r="I8" s="19"/>
      <c r="J8" s="2"/>
      <c r="K8" s="2"/>
      <c r="L8" s="2"/>
      <c r="M8" s="2"/>
      <c r="N8" s="2"/>
      <c r="O8" s="2"/>
      <c r="P8" s="2"/>
      <c r="Q8" s="2"/>
      <c r="R8" s="2"/>
    </row>
    <row r="9" spans="1:31" s="2" customFormat="1" ht="12" customHeight="1">
      <c r="A9" s="4"/>
      <c r="B9" s="4" t="s">
        <v>209</v>
      </c>
      <c r="C9" s="4" t="s">
        <v>56</v>
      </c>
      <c r="D9" s="18" t="str">
        <f>IF('Índice IFRS 16 | Index IFRS 16'!$K$6="Português",$C9,$B9)</f>
        <v>Ativo</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row>
    <row r="10" spans="1:31" s="2" customFormat="1" ht="12" customHeight="1">
      <c r="A10" s="4"/>
      <c r="B10" s="4" t="s">
        <v>210</v>
      </c>
      <c r="C10" s="4" t="s">
        <v>57</v>
      </c>
      <c r="D10" s="22" t="str">
        <f>IF('Índice IFRS 16 | Index IFRS 16'!$K$6="Português",$C10,$B10)</f>
        <v>Circulante</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row>
    <row r="11" spans="1:31" s="2" customFormat="1" ht="12" customHeight="1">
      <c r="A11" s="4"/>
      <c r="B11" s="4" t="s">
        <v>211</v>
      </c>
      <c r="C11" s="4" t="s">
        <v>58</v>
      </c>
      <c r="D11" s="65" t="str">
        <f>IF('Índice IFRS 16 | Index IFRS 16'!$K$6="Português",$C11,$B11)</f>
        <v>Caixa e equivalentes de caixa</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row>
    <row r="12" spans="1:31" s="2" customFormat="1" ht="12" customHeight="1">
      <c r="A12" s="4"/>
      <c r="B12" s="4" t="s">
        <v>212</v>
      </c>
      <c r="C12" s="4" t="s">
        <v>59</v>
      </c>
      <c r="D12" s="65" t="str">
        <f>IF('Índice IFRS 16 | Index IFRS 16'!$K$6="Português",$C12,$B12)</f>
        <v>Aplicações financeiras</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row>
    <row r="13" spans="1:31" s="2" customFormat="1" ht="12" customHeight="1">
      <c r="A13" s="4"/>
      <c r="B13" s="4" t="s">
        <v>213</v>
      </c>
      <c r="C13" s="4" t="s">
        <v>60</v>
      </c>
      <c r="D13" s="65" t="str">
        <f>IF('Índice IFRS 16 | Index IFRS 16'!$K$6="Português",$C13,$B13)</f>
        <v>Aplicações financeiras vinculadas</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row>
    <row r="14" spans="1:31" s="2" customFormat="1" ht="12" customHeight="1">
      <c r="A14" s="4"/>
      <c r="B14" s="4" t="s">
        <v>214</v>
      </c>
      <c r="C14" s="4" t="s">
        <v>61</v>
      </c>
      <c r="D14" s="65" t="str">
        <f>IF('Índice IFRS 16 | Index IFRS 16'!$K$6="Português",$C14,$B14)</f>
        <v>Contas a receber, líquido</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row>
    <row r="15" spans="1:31" s="2" customFormat="1" ht="12" customHeight="1">
      <c r="A15" s="4"/>
      <c r="B15" s="4" t="s">
        <v>215</v>
      </c>
      <c r="C15" s="4" t="s">
        <v>110</v>
      </c>
      <c r="D15" s="65" t="str">
        <f>IF('Índice IFRS 16 | Index IFRS 16'!$K$6="Português",$C15,$B15)</f>
        <v>Subarrendamento de aeronaves a receber</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row>
    <row r="16" spans="1:31" s="2" customFormat="1" ht="12" customHeight="1">
      <c r="A16" s="4"/>
      <c r="B16" s="4" t="s">
        <v>216</v>
      </c>
      <c r="C16" s="4" t="s">
        <v>62</v>
      </c>
      <c r="D16" s="65" t="str">
        <f>IF('Índice IFRS 16 | Index IFRS 16'!$K$6="Português",$C16,$B16)</f>
        <v>Estoques</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row>
    <row r="17" spans="1:31" s="2" customFormat="1" ht="12" customHeight="1">
      <c r="A17" s="4"/>
      <c r="B17" s="4" t="s">
        <v>217</v>
      </c>
      <c r="C17" s="4" t="s">
        <v>70</v>
      </c>
      <c r="D17" s="65" t="str">
        <f>IF('Índice IFRS 16 | Index IFRS 16'!$K$6="Português",$C17,$B17)</f>
        <v>Depósitos em garantia e reservas de manutenção</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row>
    <row r="18" spans="1:31" s="2" customFormat="1" ht="12" customHeight="1">
      <c r="A18" s="4"/>
      <c r="B18" s="4" t="s">
        <v>218</v>
      </c>
      <c r="C18" s="4" t="s">
        <v>102</v>
      </c>
      <c r="D18" s="65" t="str">
        <f>IF('Índice IFRS 16 | Index IFRS 16'!$K$6="Português",$C18,$B18)</f>
        <v>Ativos disponíveis para a venda</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row>
    <row r="19" spans="1:31" s="2" customFormat="1" ht="12" customHeight="1">
      <c r="A19" s="4"/>
      <c r="B19" s="4" t="s">
        <v>219</v>
      </c>
      <c r="C19" s="4" t="s">
        <v>63</v>
      </c>
      <c r="D19" s="65" t="str">
        <f>IF('Índice IFRS 16 | Index IFRS 16'!$K$6="Português",$C19,$B19)</f>
        <v>Tributos a recuperar</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row>
    <row r="20" spans="1:31" s="2" customFormat="1" ht="12" customHeight="1">
      <c r="A20" s="4"/>
      <c r="B20" s="4" t="s">
        <v>220</v>
      </c>
      <c r="C20" s="4" t="s">
        <v>64</v>
      </c>
      <c r="D20" s="65" t="str">
        <f>IF('Índice IFRS 16 | Index IFRS 16'!$K$6="Português",$C20,$B20)</f>
        <v>Instrumentos financeiros derivativos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row>
    <row r="21" spans="1:31" s="2" customFormat="1" ht="12" customHeight="1">
      <c r="A21" s="4"/>
      <c r="B21" s="4" t="s">
        <v>221</v>
      </c>
      <c r="C21" s="4" t="s">
        <v>65</v>
      </c>
      <c r="D21" s="65" t="str">
        <f>IF('Índice IFRS 16 | Index IFRS 16'!$K$6="Português",$C21,$B21)</f>
        <v>Despesas antecipadas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row>
    <row r="22" spans="1:31" s="2" customFormat="1" ht="12" customHeight="1">
      <c r="A22" s="4"/>
      <c r="B22" s="4" t="s">
        <v>222</v>
      </c>
      <c r="C22" s="4" t="s">
        <v>66</v>
      </c>
      <c r="D22" s="66" t="str">
        <f>IF('Índice IFRS 16 | Index IFRS 16'!$K$6="Português",$C22,$B22)</f>
        <v>Outros ativos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row>
    <row r="23" spans="1:31" s="2" customFormat="1" ht="12" customHeight="1">
      <c r="A23" s="4"/>
      <c r="B23" s="4" t="s">
        <v>223</v>
      </c>
      <c r="C23" s="4" t="s">
        <v>67</v>
      </c>
      <c r="D23" s="22" t="str">
        <f>IF('Índice IFRS 16 | Index IFRS 16'!$K$6="Português",$C23,$B23)</f>
        <v>Ativo não circulante</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row>
    <row r="24" spans="1:31" s="2" customFormat="1" ht="12" customHeight="1">
      <c r="A24" s="4"/>
      <c r="B24" s="4" t="s">
        <v>224</v>
      </c>
      <c r="C24" s="4" t="s">
        <v>69</v>
      </c>
      <c r="D24" s="65" t="str">
        <f>IF('Índice IFRS 16 | Index IFRS 16'!$K$6="Português",$C24,$B24)</f>
        <v>Aplicações financeiras de longo prazo</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row>
    <row r="25" spans="1:31" s="2" customFormat="1" ht="12" customHeight="1">
      <c r="A25" s="4"/>
      <c r="B25" s="4" t="s">
        <v>215</v>
      </c>
      <c r="C25" s="4" t="s">
        <v>110</v>
      </c>
      <c r="D25" s="65" t="str">
        <f>IF('Índice IFRS 16 | Index IFRS 16'!$K$6="Português",$C25,$B25)</f>
        <v>Subarrendamento de aeronaves a receber</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row>
    <row r="26" spans="1:31" s="2" customFormat="1" ht="12" customHeight="1">
      <c r="A26" s="4"/>
      <c r="B26" s="4" t="s">
        <v>225</v>
      </c>
      <c r="C26" s="4" t="s">
        <v>70</v>
      </c>
      <c r="D26" s="65" t="str">
        <f>IF('Índice IFRS 16 | Index IFRS 16'!$K$6="Português",$C26,$B26)</f>
        <v>Depósitos em garantia e reservas de manutenção</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row>
    <row r="27" spans="1:31" s="2" customFormat="1" ht="12" customHeight="1">
      <c r="A27" s="4"/>
      <c r="B27" s="4" t="s">
        <v>220</v>
      </c>
      <c r="C27" s="4" t="s">
        <v>64</v>
      </c>
      <c r="D27" s="65" t="str">
        <f>IF('Índice IFRS 16 | Index IFRS 16'!$K$6="Português",$C27,$B27)</f>
        <v>Instrumentos financeiros derivativos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row>
    <row r="28" spans="1:31" s="2" customFormat="1" ht="12" customHeight="1">
      <c r="A28" s="4"/>
      <c r="B28" s="4" t="s">
        <v>226</v>
      </c>
      <c r="C28" s="4" t="s">
        <v>65</v>
      </c>
      <c r="D28" s="65" t="str">
        <f>IF('Índice IFRS 16 | Index IFRS 16'!$K$6="Português",$C28,$B28)</f>
        <v>Despesas antecipadas</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row>
    <row r="29" spans="1:31" s="2" customFormat="1" ht="12" customHeight="1">
      <c r="A29" s="4"/>
      <c r="B29" s="4" t="s">
        <v>219</v>
      </c>
      <c r="C29" s="4" t="s">
        <v>116</v>
      </c>
      <c r="D29" s="65" t="str">
        <f>IF('Índice IFRS 16 | Index IFRS 16'!$K$6="Português",$C29,$B29)</f>
        <v>Impostos a recuperar</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row>
    <row r="30" spans="1:31" s="2" customFormat="1" ht="12" customHeight="1">
      <c r="A30" s="4"/>
      <c r="B30" s="4" t="s">
        <v>227</v>
      </c>
      <c r="C30" s="4" t="s">
        <v>130</v>
      </c>
      <c r="D30" s="65" t="str">
        <f>IF('Índice IFRS 16 | Index IFRS 16'!$K$6="Português",$C30,$B30)</f>
        <v>Impostos de renda diferido</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row>
    <row r="31" spans="1:31" s="2" customFormat="1" ht="12" customHeight="1">
      <c r="A31" s="5"/>
      <c r="B31" s="5" t="s">
        <v>228</v>
      </c>
      <c r="C31" s="5" t="s">
        <v>66</v>
      </c>
      <c r="D31" s="65" t="str">
        <f>IF('Índice IFRS 16 | Index IFRS 16'!$K$6="Português",$C31,$B31)</f>
        <v>Outros ativos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row>
    <row r="32" spans="1:31" s="2" customFormat="1" ht="12" customHeight="1">
      <c r="A32" s="5"/>
      <c r="B32" s="5" t="s">
        <v>229</v>
      </c>
      <c r="C32" s="5" t="s">
        <v>111</v>
      </c>
      <c r="D32" s="65" t="str">
        <f>IF('Índice IFRS 16 | Index IFRS 16'!$K$6="Português",$C32,$B32)</f>
        <v>Direito de uso - arrendamentos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row>
    <row r="33" spans="1:35" s="2" customFormat="1" ht="12" customHeight="1">
      <c r="A33" s="5"/>
      <c r="B33" s="5" t="s">
        <v>230</v>
      </c>
      <c r="C33" s="5" t="s">
        <v>112</v>
      </c>
      <c r="D33" s="65" t="str">
        <f>IF('Índice IFRS 16 | Index IFRS 16'!$K$6="Português",$C33,$B33)</f>
        <v>Direito de uso - manutenção de aeronaves</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row>
    <row r="34" spans="1:35" s="2" customFormat="1" ht="12" customHeight="1">
      <c r="A34" s="5"/>
      <c r="B34" s="5" t="s">
        <v>231</v>
      </c>
      <c r="C34" s="5" t="s">
        <v>71</v>
      </c>
      <c r="D34" s="65" t="str">
        <f>IF('Índice IFRS 16 | Index IFRS 16'!$K$6="Português",$C34,$B34)</f>
        <v>Imobilizado</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row>
    <row r="35" spans="1:35" s="2" customFormat="1" ht="12" customHeight="1" thickBot="1">
      <c r="A35" s="5"/>
      <c r="B35" s="5" t="s">
        <v>232</v>
      </c>
      <c r="C35" s="5" t="s">
        <v>72</v>
      </c>
      <c r="D35" s="69" t="str">
        <f>IF('Índice IFRS 16 | Index IFRS 16'!$K$6="Português",$C35,$B35)</f>
        <v>Intangível</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row>
    <row r="36" spans="1:35" s="2" customFormat="1" ht="12" customHeight="1">
      <c r="A36" s="5"/>
      <c r="B36" s="5" t="s">
        <v>233</v>
      </c>
      <c r="C36" s="5" t="s">
        <v>73</v>
      </c>
      <c r="D36" s="22" t="str">
        <f>IF('Índice IFRS 16 | Index IFRS 16'!$K$6="Português",$C36,$B36)</f>
        <v>Passivo</v>
      </c>
      <c r="E36" s="68">
        <v>13916485</v>
      </c>
      <c r="F36" s="68">
        <f>F37+F53+F66</f>
        <v>14189141</v>
      </c>
      <c r="G36" s="68">
        <f>G37+G53+G66</f>
        <v>14818590</v>
      </c>
      <c r="H36" s="68">
        <f>H37+H53+H66</f>
        <v>15669185</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row>
    <row r="37" spans="1:35" s="2" customFormat="1" ht="12" customHeight="1">
      <c r="A37" s="5"/>
      <c r="B37" s="5" t="s">
        <v>234</v>
      </c>
      <c r="C37" s="5" t="s">
        <v>74</v>
      </c>
      <c r="D37" s="22" t="str">
        <f>IF('Índice IFRS 16 | Index IFRS 16'!$K$6="Português",$C37,$B37)</f>
        <v>Passivo circulante</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G37" s="250"/>
      <c r="AH37" s="250"/>
      <c r="AI37" s="250"/>
    </row>
    <row r="38" spans="1:35">
      <c r="B38" t="s">
        <v>235</v>
      </c>
      <c r="C38" t="s">
        <v>75</v>
      </c>
      <c r="D38" s="65" t="str">
        <f>IF('Índice IFRS 16 | Index IFRS 16'!$K$6="Português",$C38,$B38)</f>
        <v>Empréstimos e financiamentos</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2"/>
      <c r="AG38" s="250"/>
      <c r="AH38" s="250"/>
    </row>
    <row r="39" spans="1:35">
      <c r="B39" t="s">
        <v>730</v>
      </c>
      <c r="C39" t="s">
        <v>728</v>
      </c>
      <c r="D39" s="65" t="str">
        <f>IF('Índice IFRS 16 | Index IFRS 16'!$K$6="Português",$C39,$B39)</f>
        <v>Instrumentos conversíveis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2"/>
    </row>
    <row r="40" spans="1:35">
      <c r="B40" t="s">
        <v>737</v>
      </c>
      <c r="C40" t="s">
        <v>734</v>
      </c>
      <c r="D40" s="65" t="str">
        <f>IF('Índice IFRS 16 | Index IFRS 16'!$K$6="Português",$C40,$B40)</f>
        <v>Arrendamento</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2"/>
    </row>
    <row r="41" spans="1:35">
      <c r="B41" t="s">
        <v>738</v>
      </c>
      <c r="C41" t="s">
        <v>735</v>
      </c>
      <c r="D41" s="65" t="str">
        <f>IF('Índice IFRS 16 | Index IFRS 16'!$K$6="Português",$C41,$B41)</f>
        <v>Arrendamento -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2"/>
    </row>
    <row r="42" spans="1:35">
      <c r="B42" t="s">
        <v>739</v>
      </c>
      <c r="C42" t="s">
        <v>736</v>
      </c>
      <c r="D42" s="65" t="str">
        <f>IF('Índice IFRS 16 | Index IFRS 16'!$K$6="Português",$C42,$B42)</f>
        <v>Arrendamento -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2"/>
    </row>
    <row r="43" spans="1:35">
      <c r="B43" t="s">
        <v>236</v>
      </c>
      <c r="C43" t="s">
        <v>76</v>
      </c>
      <c r="D43" s="65" t="str">
        <f>IF('Índice IFRS 16 | Index IFRS 16'!$K$6="Português",$C43,$B43)</f>
        <v>Fornecedores</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2"/>
    </row>
    <row r="44" spans="1:35">
      <c r="B44" t="s">
        <v>237</v>
      </c>
      <c r="C44" t="s">
        <v>77</v>
      </c>
      <c r="D44" s="65" t="str">
        <f>IF('Índice IFRS 16 | Index IFRS 16'!$K$6="Português",$C44,$B44)</f>
        <v>Transportes a executar</v>
      </c>
      <c r="E44" s="38">
        <v>1350035</v>
      </c>
      <c r="F44" s="38">
        <v>1271456</v>
      </c>
      <c r="G44" s="38">
        <v>1469092</v>
      </c>
      <c r="H44" s="38">
        <v>1646686</v>
      </c>
      <c r="I44" s="38">
        <v>1672452</v>
      </c>
      <c r="J44" s="38">
        <v>1687782</v>
      </c>
      <c r="K44" s="38">
        <v>2113079</v>
      </c>
      <c r="L44" s="38">
        <v>1962884</v>
      </c>
      <c r="M44" s="38">
        <v>2094254</v>
      </c>
      <c r="N44" s="38">
        <v>1693092</v>
      </c>
      <c r="O44" s="38">
        <v>1824715</v>
      </c>
      <c r="P44" s="38">
        <v>2270125</v>
      </c>
      <c r="Q44" s="38">
        <v>2488872</v>
      </c>
      <c r="R44" s="38">
        <v>2308888</v>
      </c>
      <c r="S44" s="38">
        <v>2564234</v>
      </c>
      <c r="T44" s="38">
        <v>3031291</v>
      </c>
      <c r="U44" s="38">
        <v>3063816</v>
      </c>
      <c r="V44" s="38">
        <v>3048012</v>
      </c>
      <c r="W44" s="38">
        <v>3981133</v>
      </c>
      <c r="X44" s="38">
        <v>4250548</v>
      </c>
      <c r="Y44" s="38">
        <v>4140025</v>
      </c>
      <c r="Z44" s="38">
        <v>4091940</v>
      </c>
      <c r="AA44" s="38">
        <v>4476074</v>
      </c>
      <c r="AB44" s="38">
        <v>4333647</v>
      </c>
      <c r="AC44" s="38">
        <v>5205876</v>
      </c>
      <c r="AD44" s="38">
        <v>5168717</v>
      </c>
      <c r="AE44" s="38">
        <v>5821495</v>
      </c>
      <c r="AF44" s="2"/>
    </row>
    <row r="45" spans="1:35">
      <c r="B45" t="s">
        <v>238</v>
      </c>
      <c r="C45" t="s">
        <v>78</v>
      </c>
      <c r="D45" s="65" t="str">
        <f>IF('Índice IFRS 16 | Index IFRS 16'!$K$6="Português",$C45,$B45)</f>
        <v>Salários, provisões e encargos sociais</v>
      </c>
      <c r="E45" s="38">
        <v>246336</v>
      </c>
      <c r="F45" s="38">
        <v>250417</v>
      </c>
      <c r="G45" s="38">
        <v>253793</v>
      </c>
      <c r="H45" s="38">
        <v>301150</v>
      </c>
      <c r="I45" s="38">
        <v>244008</v>
      </c>
      <c r="J45" s="38">
        <v>309806</v>
      </c>
      <c r="K45" s="38">
        <v>332809</v>
      </c>
      <c r="L45" s="38">
        <v>382922</v>
      </c>
      <c r="M45" s="38">
        <v>357571</v>
      </c>
      <c r="N45" s="38">
        <v>383433</v>
      </c>
      <c r="O45" s="38">
        <v>379606</v>
      </c>
      <c r="P45" s="38">
        <v>411757</v>
      </c>
      <c r="Q45" s="38">
        <v>400371</v>
      </c>
      <c r="R45" s="38">
        <v>413167</v>
      </c>
      <c r="S45" s="38">
        <v>549951</v>
      </c>
      <c r="T45" s="38">
        <v>584715</v>
      </c>
      <c r="U45" s="38">
        <v>459697</v>
      </c>
      <c r="V45" s="38">
        <v>478943</v>
      </c>
      <c r="W45" s="38">
        <v>456337</v>
      </c>
      <c r="X45" s="38">
        <v>531677</v>
      </c>
      <c r="Y45" s="38">
        <v>479412</v>
      </c>
      <c r="Z45" s="38">
        <v>491701</v>
      </c>
      <c r="AA45" s="38">
        <v>474426</v>
      </c>
      <c r="AB45" s="38">
        <v>514904</v>
      </c>
      <c r="AC45" s="38">
        <v>474797</v>
      </c>
      <c r="AD45" s="38">
        <v>490320</v>
      </c>
      <c r="AE45" s="38">
        <v>533168</v>
      </c>
      <c r="AF45" s="2"/>
    </row>
    <row r="46" spans="1:35">
      <c r="B46" t="s">
        <v>239</v>
      </c>
      <c r="C46" t="s">
        <v>79</v>
      </c>
      <c r="D46" s="65" t="str">
        <f>IF('Índice IFRS 16 | Index IFRS 16'!$K$6="Português",$C46,$B46)</f>
        <v>Prêmios de seguros a pagar</v>
      </c>
      <c r="E46" s="38">
        <v>24411</v>
      </c>
      <c r="F46" s="38">
        <v>19501</v>
      </c>
      <c r="G46" s="38">
        <v>7672</v>
      </c>
      <c r="H46" s="38">
        <v>123</v>
      </c>
      <c r="I46" s="38">
        <v>34999</v>
      </c>
      <c r="J46" s="38">
        <v>19263</v>
      </c>
      <c r="K46" s="38">
        <v>9669</v>
      </c>
      <c r="L46" s="38">
        <v>1400</v>
      </c>
      <c r="M46" s="38">
        <v>49938</v>
      </c>
      <c r="N46" s="38">
        <v>38122</v>
      </c>
      <c r="O46" s="38">
        <v>31950</v>
      </c>
      <c r="P46" s="38">
        <v>13254</v>
      </c>
      <c r="Q46" s="38">
        <v>52427</v>
      </c>
      <c r="R46" s="38">
        <v>63079</v>
      </c>
      <c r="S46" s="38">
        <v>19850</v>
      </c>
      <c r="T46" s="38">
        <v>5252</v>
      </c>
      <c r="U46" s="38">
        <v>92793</v>
      </c>
      <c r="V46" s="38">
        <v>44505</v>
      </c>
      <c r="W46" s="38">
        <v>33101</v>
      </c>
      <c r="X46" s="38">
        <v>12399</v>
      </c>
      <c r="Y46" s="38">
        <v>84985</v>
      </c>
      <c r="Z46" s="38">
        <v>62798</v>
      </c>
      <c r="AA46" s="38">
        <v>21906</v>
      </c>
      <c r="AB46" s="38">
        <v>421</v>
      </c>
      <c r="AC46" s="38">
        <v>75857</v>
      </c>
      <c r="AD46" s="38">
        <v>1119</v>
      </c>
      <c r="AE46" s="38">
        <v>1079</v>
      </c>
      <c r="AF46" s="2"/>
    </row>
    <row r="47" spans="1:35">
      <c r="B47" t="s">
        <v>240</v>
      </c>
      <c r="C47" t="s">
        <v>80</v>
      </c>
      <c r="D47" s="65" t="str">
        <f>IF('Índice IFRS 16 | Index IFRS 16'!$K$6="Português",$C47,$B47)</f>
        <v>Tributos a recolher</v>
      </c>
      <c r="E47" s="38">
        <v>44418</v>
      </c>
      <c r="F47" s="38">
        <v>29945</v>
      </c>
      <c r="G47" s="38">
        <v>29749</v>
      </c>
      <c r="H47" s="38">
        <v>33545</v>
      </c>
      <c r="I47" s="38">
        <v>56999</v>
      </c>
      <c r="J47" s="38">
        <v>30075</v>
      </c>
      <c r="K47" s="38">
        <v>29474</v>
      </c>
      <c r="L47" s="38">
        <v>32986</v>
      </c>
      <c r="M47" s="38">
        <v>49060</v>
      </c>
      <c r="N47" s="38">
        <v>44367</v>
      </c>
      <c r="O47" s="38">
        <v>30929</v>
      </c>
      <c r="P47" s="38">
        <v>31221</v>
      </c>
      <c r="Q47" s="38">
        <v>55260</v>
      </c>
      <c r="R47" s="38">
        <v>59518</v>
      </c>
      <c r="S47" s="38">
        <v>47843</v>
      </c>
      <c r="T47" s="38">
        <v>60694</v>
      </c>
      <c r="U47" s="38">
        <v>150084</v>
      </c>
      <c r="V47" s="38">
        <v>88860</v>
      </c>
      <c r="W47" s="38">
        <v>103086</v>
      </c>
      <c r="X47" s="38">
        <v>126048</v>
      </c>
      <c r="Y47" s="38">
        <v>168636</v>
      </c>
      <c r="Z47" s="38">
        <v>93183</v>
      </c>
      <c r="AA47" s="38">
        <v>87295</v>
      </c>
      <c r="AB47" s="38">
        <v>73485</v>
      </c>
      <c r="AC47" s="38">
        <v>96485</v>
      </c>
      <c r="AD47" s="38">
        <v>87041</v>
      </c>
      <c r="AE47" s="38">
        <v>84285</v>
      </c>
      <c r="AF47" s="2"/>
    </row>
    <row r="48" spans="1:35">
      <c r="B48" t="s">
        <v>241</v>
      </c>
      <c r="C48" t="s">
        <v>81</v>
      </c>
      <c r="D48" s="65" t="str">
        <f>IF('Índice IFRS 16 | Index IFRS 16'!$K$6="Português",$C48,$B48)</f>
        <v>Programa de recuperação fiscal</v>
      </c>
      <c r="E48" s="38">
        <v>9772</v>
      </c>
      <c r="F48" s="38">
        <v>9749</v>
      </c>
      <c r="G48" s="38">
        <v>9749</v>
      </c>
      <c r="H48" s="38">
        <v>9749</v>
      </c>
      <c r="I48" s="38">
        <v>9749</v>
      </c>
      <c r="J48" s="38">
        <v>9749</v>
      </c>
      <c r="K48" s="38">
        <v>9749</v>
      </c>
      <c r="L48" s="38">
        <v>9749</v>
      </c>
      <c r="M48" s="38">
        <v>13480</v>
      </c>
      <c r="N48" s="38">
        <v>13510</v>
      </c>
      <c r="O48" s="38">
        <v>15168</v>
      </c>
      <c r="P48" s="38">
        <v>15114</v>
      </c>
      <c r="Q48" s="38">
        <v>13358</v>
      </c>
      <c r="R48" s="38">
        <v>0</v>
      </c>
      <c r="S48" s="38">
        <v>0</v>
      </c>
      <c r="T48" s="38">
        <v>0</v>
      </c>
      <c r="U48" s="38">
        <v>0</v>
      </c>
      <c r="V48" s="38">
        <v>0</v>
      </c>
      <c r="W48" s="38">
        <v>0</v>
      </c>
      <c r="X48" s="38">
        <v>0</v>
      </c>
      <c r="Y48" s="38">
        <v>24952</v>
      </c>
      <c r="Z48" s="38">
        <v>42228</v>
      </c>
      <c r="AA48" s="38">
        <v>42228</v>
      </c>
      <c r="AB48" s="38">
        <v>45683</v>
      </c>
      <c r="AC48" s="38">
        <v>45683</v>
      </c>
      <c r="AD48" s="38">
        <v>45683</v>
      </c>
      <c r="AE48" s="38">
        <v>77531</v>
      </c>
      <c r="AF48" s="2"/>
    </row>
    <row r="49" spans="2:32">
      <c r="B49" t="s">
        <v>220</v>
      </c>
      <c r="C49" t="s">
        <v>64</v>
      </c>
      <c r="D49" s="65" t="str">
        <f>IF('Índice IFRS 16 | Index IFRS 16'!$K$6="Português",$C49,$B49)</f>
        <v>Instrumentos financeiros derivativos</v>
      </c>
      <c r="E49" s="38">
        <v>48522</v>
      </c>
      <c r="F49" s="38">
        <v>46103</v>
      </c>
      <c r="G49" s="38">
        <v>41612</v>
      </c>
      <c r="H49" s="38">
        <v>55868</v>
      </c>
      <c r="I49" s="38">
        <v>180975</v>
      </c>
      <c r="J49" s="38">
        <v>56333</v>
      </c>
      <c r="K49" s="38">
        <v>74543</v>
      </c>
      <c r="L49" s="38">
        <v>129324</v>
      </c>
      <c r="M49" s="38">
        <v>81196</v>
      </c>
      <c r="N49" s="38">
        <v>310423</v>
      </c>
      <c r="O49" s="38">
        <v>246091</v>
      </c>
      <c r="P49" s="38">
        <v>195025</v>
      </c>
      <c r="Q49" s="38">
        <v>173769</v>
      </c>
      <c r="R49" s="38">
        <v>116296</v>
      </c>
      <c r="S49" s="38">
        <v>78133</v>
      </c>
      <c r="T49" s="38">
        <v>79786</v>
      </c>
      <c r="U49" s="38">
        <v>77509</v>
      </c>
      <c r="V49" s="38">
        <v>66004</v>
      </c>
      <c r="W49" s="38">
        <v>65899</v>
      </c>
      <c r="X49" s="38">
        <v>160074</v>
      </c>
      <c r="Y49" s="38">
        <v>69364</v>
      </c>
      <c r="Z49" s="38">
        <v>139941</v>
      </c>
      <c r="AA49" s="38">
        <v>120534</v>
      </c>
      <c r="AB49" s="38">
        <v>9723</v>
      </c>
      <c r="AC49" s="38">
        <v>68905</v>
      </c>
      <c r="AD49" s="38">
        <v>15625</v>
      </c>
      <c r="AE49" s="38">
        <v>35499</v>
      </c>
      <c r="AF49" s="2"/>
    </row>
    <row r="50" spans="2:32">
      <c r="B50" t="s">
        <v>242</v>
      </c>
      <c r="C50" t="s">
        <v>155</v>
      </c>
      <c r="D50" s="65" t="str">
        <f>IF('Índice IFRS 16 | Index IFRS 16'!$K$6="Português",$C50,$B50)</f>
        <v>Reembolso a clientes</v>
      </c>
      <c r="E50" s="38">
        <v>0</v>
      </c>
      <c r="F50" s="38">
        <v>0</v>
      </c>
      <c r="G50" s="38">
        <v>0</v>
      </c>
      <c r="H50" s="38">
        <v>0</v>
      </c>
      <c r="I50" s="38">
        <v>0</v>
      </c>
      <c r="J50" s="38">
        <v>0</v>
      </c>
      <c r="K50" s="38">
        <v>0</v>
      </c>
      <c r="L50" s="38">
        <v>0</v>
      </c>
      <c r="M50" s="38">
        <v>0</v>
      </c>
      <c r="N50" s="38">
        <v>0</v>
      </c>
      <c r="O50" s="38">
        <v>0</v>
      </c>
      <c r="P50" s="38">
        <v>0</v>
      </c>
      <c r="Q50" s="38">
        <v>221342</v>
      </c>
      <c r="R50" s="38">
        <v>237833</v>
      </c>
      <c r="S50" s="38">
        <v>213828</v>
      </c>
      <c r="T50" s="38">
        <v>145461</v>
      </c>
      <c r="U50" s="38">
        <v>173686</v>
      </c>
      <c r="V50" s="38">
        <v>99730</v>
      </c>
      <c r="W50" s="38">
        <v>48683</v>
      </c>
      <c r="X50" s="38">
        <v>36928</v>
      </c>
      <c r="Y50" s="38">
        <v>13822</v>
      </c>
      <c r="Z50" s="38">
        <v>8250</v>
      </c>
      <c r="AA50" s="38">
        <v>26494</v>
      </c>
      <c r="AB50" s="38">
        <v>24351</v>
      </c>
      <c r="AC50" s="38">
        <v>14159</v>
      </c>
      <c r="AD50" s="38">
        <v>7993</v>
      </c>
      <c r="AE50" s="38">
        <v>25643</v>
      </c>
      <c r="AF50" s="2"/>
    </row>
    <row r="51" spans="2:32">
      <c r="B51" t="s">
        <v>243</v>
      </c>
      <c r="C51" t="s">
        <v>117</v>
      </c>
      <c r="D51" s="65" t="str">
        <f>IF('Índice IFRS 16 | Index IFRS 16'!$K$6="Português",$C51,$B51)</f>
        <v>Provisões</v>
      </c>
      <c r="E51" s="38">
        <v>0</v>
      </c>
      <c r="F51" s="38">
        <v>0</v>
      </c>
      <c r="G51" s="38">
        <v>0</v>
      </c>
      <c r="H51" s="38">
        <v>24494</v>
      </c>
      <c r="I51" s="38">
        <v>36083</v>
      </c>
      <c r="J51" s="38">
        <v>37179</v>
      </c>
      <c r="K51" s="38">
        <v>37463</v>
      </c>
      <c r="L51" s="38">
        <v>56422</v>
      </c>
      <c r="M51" s="38">
        <v>323441</v>
      </c>
      <c r="N51" s="38">
        <v>717920</v>
      </c>
      <c r="O51" s="38">
        <v>1026912</v>
      </c>
      <c r="P51" s="38">
        <v>1060075</v>
      </c>
      <c r="Q51" s="38">
        <v>853810</v>
      </c>
      <c r="R51" s="38">
        <v>859746</v>
      </c>
      <c r="S51" s="38">
        <v>926672</v>
      </c>
      <c r="T51" s="38">
        <v>849972</v>
      </c>
      <c r="U51" s="38">
        <v>977103</v>
      </c>
      <c r="V51" s="38">
        <v>970107</v>
      </c>
      <c r="W51" s="38">
        <v>991338</v>
      </c>
      <c r="X51" s="38">
        <v>991525</v>
      </c>
      <c r="Y51" s="38">
        <v>834288</v>
      </c>
      <c r="Z51" s="38">
        <v>1079069</v>
      </c>
      <c r="AA51" s="38">
        <v>1006696</v>
      </c>
      <c r="AB51" s="38">
        <v>713629</v>
      </c>
      <c r="AC51" s="38">
        <v>736430</v>
      </c>
      <c r="AD51" s="38">
        <v>399147</v>
      </c>
      <c r="AE51" s="38">
        <v>624708</v>
      </c>
      <c r="AF51" s="2"/>
    </row>
    <row r="52" spans="2:32">
      <c r="B52" t="s">
        <v>244</v>
      </c>
      <c r="C52" t="s">
        <v>83</v>
      </c>
      <c r="D52" s="66" t="str">
        <f>IF('Índice IFRS 16 | Index IFRS 16'!$K$6="Português",$C52,$B52)</f>
        <v>Outros passivos circulantes</v>
      </c>
      <c r="E52" s="38">
        <v>151696</v>
      </c>
      <c r="F52" s="38">
        <v>160141</v>
      </c>
      <c r="G52" s="38">
        <v>169093</v>
      </c>
      <c r="H52" s="38">
        <v>186053</v>
      </c>
      <c r="I52" s="38">
        <v>193492</v>
      </c>
      <c r="J52" s="38">
        <v>213304</v>
      </c>
      <c r="K52" s="38">
        <v>239948</v>
      </c>
      <c r="L52" s="38">
        <v>184167</v>
      </c>
      <c r="M52" s="38">
        <v>200043</v>
      </c>
      <c r="N52" s="38">
        <v>161987</v>
      </c>
      <c r="O52" s="38">
        <v>238682</v>
      </c>
      <c r="P52" s="38">
        <v>276672</v>
      </c>
      <c r="Q52" s="38">
        <v>426272</v>
      </c>
      <c r="R52" s="38">
        <v>810843</v>
      </c>
      <c r="S52" s="38">
        <v>843872</v>
      </c>
      <c r="T52" s="38">
        <v>628152</v>
      </c>
      <c r="U52" s="38">
        <v>660331</v>
      </c>
      <c r="V52" s="38">
        <v>752213</v>
      </c>
      <c r="W52" s="38">
        <v>771144</v>
      </c>
      <c r="X52" s="38">
        <v>1011196</v>
      </c>
      <c r="Y52" s="38">
        <v>900745.75</v>
      </c>
      <c r="Z52" s="38">
        <v>1139129</v>
      </c>
      <c r="AA52" s="38">
        <v>1306127</v>
      </c>
      <c r="AB52" s="38">
        <f>+AB37-SUM(AB38:AB51)</f>
        <v>1493606</v>
      </c>
      <c r="AC52" s="38">
        <v>1015454</v>
      </c>
      <c r="AD52" s="38">
        <v>886536</v>
      </c>
      <c r="AE52" s="38">
        <v>988258</v>
      </c>
      <c r="AF52" s="2"/>
    </row>
    <row r="53" spans="2:32">
      <c r="B53" t="s">
        <v>245</v>
      </c>
      <c r="C53" t="s">
        <v>84</v>
      </c>
      <c r="D53" s="22" t="str">
        <f>IF('Índice IFRS 16 | Index IFRS 16'!$K$6="Português",$C53,$B53)</f>
        <v>Não circulante</v>
      </c>
      <c r="E53" s="72">
        <v>10168450</v>
      </c>
      <c r="F53" s="72">
        <v>10240056</v>
      </c>
      <c r="G53" s="72">
        <v>11633640</v>
      </c>
      <c r="H53" s="72">
        <v>12196086</v>
      </c>
      <c r="I53" s="72">
        <v>11968518</v>
      </c>
      <c r="J53" s="72">
        <v>12700607</v>
      </c>
      <c r="K53" s="72">
        <v>12796692</v>
      </c>
      <c r="L53" s="72">
        <v>13985446</v>
      </c>
      <c r="M53" s="72">
        <v>15854644</v>
      </c>
      <c r="N53" s="72">
        <v>18709750</v>
      </c>
      <c r="O53" s="72">
        <v>18044857</v>
      </c>
      <c r="P53" s="72">
        <v>16951046</v>
      </c>
      <c r="Q53" s="72">
        <v>19730576</v>
      </c>
      <c r="R53" s="72">
        <v>21849809</v>
      </c>
      <c r="S53" s="72">
        <v>22766295</v>
      </c>
      <c r="T53" s="72">
        <v>24287879</v>
      </c>
      <c r="U53" s="72">
        <v>25156223</v>
      </c>
      <c r="V53" s="72">
        <v>21628325</v>
      </c>
      <c r="W53" s="72">
        <v>23077021</v>
      </c>
      <c r="X53" s="72">
        <v>23591806</v>
      </c>
      <c r="Y53" s="72">
        <v>22672688</v>
      </c>
      <c r="Z53" s="72">
        <v>21244543</v>
      </c>
      <c r="AA53" s="72">
        <v>19980999</v>
      </c>
      <c r="AB53" s="72">
        <v>26827162</v>
      </c>
      <c r="AC53" s="72">
        <v>27111870</v>
      </c>
      <c r="AD53" s="72">
        <v>28852455</v>
      </c>
      <c r="AE53" s="72">
        <v>31594155</v>
      </c>
      <c r="AF53" s="2"/>
    </row>
    <row r="54" spans="2:32">
      <c r="B54" t="s">
        <v>246</v>
      </c>
      <c r="C54" t="s">
        <v>75</v>
      </c>
      <c r="D54" s="65" t="str">
        <f>IF('Índice IFRS 16 | Index IFRS 16'!$K$6="Português",$C54,$B54)</f>
        <v>Empréstimos e financiamentos</v>
      </c>
      <c r="E54" s="67">
        <v>2159241</v>
      </c>
      <c r="F54" s="67">
        <v>2077734</v>
      </c>
      <c r="G54" s="67">
        <v>2436844</v>
      </c>
      <c r="H54" s="67">
        <v>2477286</v>
      </c>
      <c r="I54" s="67">
        <v>2597313</v>
      </c>
      <c r="J54" s="67">
        <v>2926700</v>
      </c>
      <c r="K54" s="67">
        <v>2868178</v>
      </c>
      <c r="L54" s="67">
        <v>3121663</v>
      </c>
      <c r="M54" s="67">
        <v>3036929</v>
      </c>
      <c r="N54" s="67">
        <v>2926586</v>
      </c>
      <c r="O54" s="67">
        <v>3860831</v>
      </c>
      <c r="P54" s="67">
        <v>4122062</v>
      </c>
      <c r="Q54" s="67">
        <v>6502182</v>
      </c>
      <c r="R54" s="67">
        <v>7254058</v>
      </c>
      <c r="S54" s="67">
        <v>9646952</v>
      </c>
      <c r="T54" s="67">
        <v>9646250</v>
      </c>
      <c r="U54" s="67">
        <v>7161464</v>
      </c>
      <c r="V54" s="67">
        <v>5893102</v>
      </c>
      <c r="W54" s="67">
        <v>6519205</v>
      </c>
      <c r="X54" s="67">
        <v>6460614</v>
      </c>
      <c r="Y54" s="67">
        <v>6119759</v>
      </c>
      <c r="Z54" s="67">
        <v>5720103</v>
      </c>
      <c r="AA54" s="67">
        <v>5399608</v>
      </c>
      <c r="AB54" s="67">
        <v>9153444</v>
      </c>
      <c r="AC54" s="67">
        <v>8598861</v>
      </c>
      <c r="AD54" s="67">
        <v>9884104</v>
      </c>
      <c r="AE54" s="67">
        <v>11098565</v>
      </c>
      <c r="AF54" s="2"/>
    </row>
    <row r="55" spans="2:32">
      <c r="B55" t="s">
        <v>729</v>
      </c>
      <c r="C55" t="s">
        <v>728</v>
      </c>
      <c r="D55" s="65" t="str">
        <f>IF('Índice IFRS 16 | Index IFRS 16'!$K$6="Português",$C55,$B55)</f>
        <v>Instrumentos conversíveis</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1833877</v>
      </c>
      <c r="V55" s="67">
        <v>1606563</v>
      </c>
      <c r="W55" s="67">
        <v>1434852</v>
      </c>
      <c r="X55" s="67">
        <v>1723638</v>
      </c>
      <c r="Y55" s="67">
        <v>1388930</v>
      </c>
      <c r="Z55" s="67">
        <v>1482745</v>
      </c>
      <c r="AA55" s="67">
        <v>1641536</v>
      </c>
      <c r="AB55" s="67">
        <v>1118815</v>
      </c>
      <c r="AC55" s="67">
        <v>1175803</v>
      </c>
      <c r="AD55" s="67">
        <v>1070272</v>
      </c>
      <c r="AE55" s="67">
        <v>971997</v>
      </c>
      <c r="AF55" s="2"/>
    </row>
    <row r="56" spans="2:32">
      <c r="B56" t="s">
        <v>737</v>
      </c>
      <c r="C56" t="s">
        <v>734</v>
      </c>
      <c r="D56" s="65" t="str">
        <f>IF('Índice IFRS 16 | Index IFRS 16'!$K$6="Português",$C56,$B56)</f>
        <v>Arrendamento</v>
      </c>
      <c r="E56" s="67">
        <v>6428893</v>
      </c>
      <c r="F56" s="67">
        <v>6564309</v>
      </c>
      <c r="G56" s="67">
        <v>7507015</v>
      </c>
      <c r="H56" s="67">
        <v>7905375</v>
      </c>
      <c r="I56" s="67">
        <v>7681837</v>
      </c>
      <c r="J56" s="67">
        <v>8069949</v>
      </c>
      <c r="K56" s="67">
        <v>8254097</v>
      </c>
      <c r="L56" s="67">
        <v>9087188</v>
      </c>
      <c r="M56" s="67">
        <v>10521388</v>
      </c>
      <c r="N56" s="67">
        <v>13446307</v>
      </c>
      <c r="O56" s="67">
        <v>11997497</v>
      </c>
      <c r="P56" s="67">
        <v>10521242</v>
      </c>
      <c r="Q56" s="67">
        <v>10248463</v>
      </c>
      <c r="R56" s="67">
        <v>11134687</v>
      </c>
      <c r="S56" s="67">
        <v>9775603</v>
      </c>
      <c r="T56" s="67">
        <v>10623669</v>
      </c>
      <c r="U56" s="67">
        <v>11392910</v>
      </c>
      <c r="V56" s="67">
        <v>9697507</v>
      </c>
      <c r="W56" s="67">
        <v>10485994</v>
      </c>
      <c r="X56" s="67">
        <v>10605914</v>
      </c>
      <c r="Y56" s="67">
        <v>10556885</v>
      </c>
      <c r="Z56" s="67">
        <v>9921373</v>
      </c>
      <c r="AA56" s="67">
        <v>8833430</v>
      </c>
      <c r="AB56" s="67">
        <v>8974631</v>
      </c>
      <c r="AC56" s="67">
        <v>9106771</v>
      </c>
      <c r="AD56" s="67">
        <v>9073291</v>
      </c>
      <c r="AE56" s="67">
        <v>10666880</v>
      </c>
      <c r="AF56" s="2"/>
    </row>
    <row r="57" spans="2:32">
      <c r="B57" t="s">
        <v>738</v>
      </c>
      <c r="C57" t="s">
        <v>735</v>
      </c>
      <c r="D57" s="65" t="str">
        <f>IF('Índice IFRS 16 | Index IFRS 16'!$K$6="Português",$C57,$B57)</f>
        <v>Arrendamento - Notes</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930655</v>
      </c>
      <c r="AC57" s="67">
        <v>908897</v>
      </c>
      <c r="AD57" s="67">
        <v>947378</v>
      </c>
      <c r="AE57" s="67">
        <v>1064596</v>
      </c>
      <c r="AF57" s="2"/>
    </row>
    <row r="58" spans="2:32">
      <c r="B58" t="s">
        <v>739</v>
      </c>
      <c r="C58" t="s">
        <v>736</v>
      </c>
      <c r="D58" s="65" t="str">
        <f>IF('Índice IFRS 16 | Index IFRS 16'!$K$6="Português",$C58,$B58)</f>
        <v>Arrendamento - Equity</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1444879</v>
      </c>
      <c r="AC58" s="67">
        <v>1443351</v>
      </c>
      <c r="AD58" s="67">
        <v>1634241</v>
      </c>
      <c r="AE58" s="67">
        <v>1659882</v>
      </c>
      <c r="AF58" s="2"/>
    </row>
    <row r="59" spans="2:32">
      <c r="B59" t="s">
        <v>156</v>
      </c>
      <c r="C59" t="s">
        <v>156</v>
      </c>
      <c r="D59" s="65" t="str">
        <f>IF('Índice IFRS 16 | Index IFRS 16'!$K$6="Português",$C59,$B59)</f>
        <v>Accounts payable</v>
      </c>
      <c r="E59" s="67">
        <v>0</v>
      </c>
      <c r="F59" s="67">
        <v>0</v>
      </c>
      <c r="G59" s="67">
        <v>0</v>
      </c>
      <c r="H59" s="67">
        <v>0</v>
      </c>
      <c r="I59" s="67">
        <v>0</v>
      </c>
      <c r="J59" s="67">
        <v>0</v>
      </c>
      <c r="K59" s="67">
        <v>0</v>
      </c>
      <c r="L59" s="67">
        <v>0</v>
      </c>
      <c r="M59" s="67">
        <v>0</v>
      </c>
      <c r="N59" s="67">
        <v>0</v>
      </c>
      <c r="O59" s="67">
        <v>0</v>
      </c>
      <c r="P59" s="67">
        <v>0</v>
      </c>
      <c r="Q59" s="67">
        <v>323059</v>
      </c>
      <c r="R59" s="67">
        <v>593524</v>
      </c>
      <c r="S59" s="67">
        <v>445093</v>
      </c>
      <c r="T59" s="67">
        <v>451364</v>
      </c>
      <c r="U59" s="67">
        <v>342200</v>
      </c>
      <c r="V59" s="67">
        <v>540831</v>
      </c>
      <c r="W59" s="67">
        <v>512219</v>
      </c>
      <c r="X59" s="67">
        <v>428939</v>
      </c>
      <c r="Y59" s="67">
        <v>516971</v>
      </c>
      <c r="Z59" s="67">
        <v>403249</v>
      </c>
      <c r="AA59" s="67">
        <v>436155</v>
      </c>
      <c r="AB59" s="67">
        <v>1426007</v>
      </c>
      <c r="AC59" s="67">
        <v>1320927</v>
      </c>
      <c r="AD59" s="67">
        <v>1296429</v>
      </c>
      <c r="AE59" s="67">
        <v>1329969</v>
      </c>
      <c r="AF59" s="67"/>
    </row>
    <row r="60" spans="2:32">
      <c r="B60" t="s">
        <v>247</v>
      </c>
      <c r="C60" t="s">
        <v>155</v>
      </c>
      <c r="D60" s="65" t="str">
        <f>IF('Índice IFRS 16 | Index IFRS 16'!$K$6="Português",$C60,$B60)</f>
        <v>Reembolso a clientes</v>
      </c>
      <c r="E60" s="67">
        <v>0</v>
      </c>
      <c r="F60" s="67">
        <v>0</v>
      </c>
      <c r="G60" s="67">
        <v>0</v>
      </c>
      <c r="H60" s="67">
        <v>0</v>
      </c>
      <c r="I60" s="67">
        <v>0</v>
      </c>
      <c r="J60" s="67">
        <v>0</v>
      </c>
      <c r="K60" s="67">
        <v>0</v>
      </c>
      <c r="L60" s="67">
        <v>0</v>
      </c>
      <c r="M60" s="67">
        <v>0</v>
      </c>
      <c r="N60" s="67">
        <v>0</v>
      </c>
      <c r="O60" s="67">
        <v>0</v>
      </c>
      <c r="P60" s="67">
        <v>0</v>
      </c>
      <c r="Q60" s="67">
        <v>0</v>
      </c>
      <c r="R60" s="67">
        <v>0</v>
      </c>
      <c r="S60" s="67">
        <v>0</v>
      </c>
      <c r="T60" s="67">
        <v>84981</v>
      </c>
      <c r="U60" s="67">
        <v>0</v>
      </c>
      <c r="V60" s="67">
        <v>0</v>
      </c>
      <c r="W60" s="67">
        <v>0</v>
      </c>
      <c r="X60" s="67">
        <v>0</v>
      </c>
      <c r="Y60" s="67">
        <v>0</v>
      </c>
      <c r="Z60" s="67">
        <v>0</v>
      </c>
      <c r="AA60" s="67">
        <v>0</v>
      </c>
      <c r="AB60" s="67">
        <v>0</v>
      </c>
      <c r="AC60" s="67">
        <v>0</v>
      </c>
      <c r="AD60" s="67">
        <v>0</v>
      </c>
      <c r="AE60" s="67">
        <v>0</v>
      </c>
      <c r="AF60" s="67"/>
    </row>
    <row r="61" spans="2:32">
      <c r="B61" t="s">
        <v>248</v>
      </c>
      <c r="C61" t="s">
        <v>64</v>
      </c>
      <c r="D61" s="65" t="str">
        <f>IF('Índice IFRS 16 | Index IFRS 16'!$K$6="Português",$C61,$B61)</f>
        <v>Instrumentos financeiros derivativos</v>
      </c>
      <c r="E61" s="67">
        <v>378415</v>
      </c>
      <c r="F61" s="67">
        <v>384436</v>
      </c>
      <c r="G61" s="67">
        <v>310331</v>
      </c>
      <c r="H61" s="67">
        <v>381940</v>
      </c>
      <c r="I61" s="67">
        <v>260019</v>
      </c>
      <c r="J61" s="67">
        <v>269923</v>
      </c>
      <c r="K61" s="67">
        <v>231320</v>
      </c>
      <c r="L61" s="67">
        <v>302562</v>
      </c>
      <c r="M61" s="67">
        <v>228994</v>
      </c>
      <c r="N61" s="67">
        <v>325433</v>
      </c>
      <c r="O61" s="67">
        <v>267598</v>
      </c>
      <c r="P61" s="67">
        <v>229473</v>
      </c>
      <c r="Q61" s="67">
        <v>247265</v>
      </c>
      <c r="R61" s="67">
        <v>180794</v>
      </c>
      <c r="S61" s="67">
        <v>177716</v>
      </c>
      <c r="T61" s="67">
        <v>178644</v>
      </c>
      <c r="U61" s="67">
        <v>209542</v>
      </c>
      <c r="V61" s="67">
        <v>186911</v>
      </c>
      <c r="W61" s="67">
        <v>129915</v>
      </c>
      <c r="X61" s="67">
        <v>105481</v>
      </c>
      <c r="Y61" s="67">
        <v>175210</v>
      </c>
      <c r="Z61" s="67">
        <v>0</v>
      </c>
      <c r="AA61" s="67">
        <v>127</v>
      </c>
      <c r="AB61" s="67">
        <v>325</v>
      </c>
      <c r="AC61" s="67">
        <v>840</v>
      </c>
      <c r="AD61" s="67">
        <v>76</v>
      </c>
      <c r="AE61" s="67">
        <v>20</v>
      </c>
      <c r="AF61" s="67"/>
    </row>
    <row r="62" spans="2:32">
      <c r="B62" t="s">
        <v>249</v>
      </c>
      <c r="C62" t="s">
        <v>85</v>
      </c>
      <c r="D62" s="65" t="str">
        <f>IF('Índice IFRS 16 | Index IFRS 16'!$K$6="Português",$C62,$B62)</f>
        <v>Imposto de renda e contribuição social diferidos</v>
      </c>
      <c r="E62" s="67">
        <v>120603</v>
      </c>
      <c r="F62" s="67">
        <v>142141</v>
      </c>
      <c r="G62" s="67">
        <v>184597</v>
      </c>
      <c r="H62" s="67">
        <v>213248</v>
      </c>
      <c r="I62" s="67">
        <v>293211</v>
      </c>
      <c r="J62" s="67">
        <v>254241</v>
      </c>
      <c r="K62" s="67">
        <v>254291</v>
      </c>
      <c r="L62" s="67">
        <v>262525</v>
      </c>
      <c r="M62" s="67">
        <v>242516</v>
      </c>
      <c r="N62" s="67">
        <v>0</v>
      </c>
      <c r="O62" s="67">
        <v>0</v>
      </c>
      <c r="P62" s="67">
        <v>0</v>
      </c>
      <c r="Q62" s="67">
        <v>0</v>
      </c>
      <c r="R62" s="67">
        <v>0</v>
      </c>
      <c r="S62" s="67">
        <v>0</v>
      </c>
      <c r="T62" s="132">
        <v>0</v>
      </c>
      <c r="U62" s="132">
        <v>0</v>
      </c>
      <c r="V62" s="132">
        <v>0</v>
      </c>
      <c r="W62" s="132">
        <v>0</v>
      </c>
      <c r="X62" s="132">
        <v>0</v>
      </c>
      <c r="Y62" s="132">
        <v>0</v>
      </c>
      <c r="Z62" s="132">
        <v>0</v>
      </c>
      <c r="AA62" s="67">
        <v>0</v>
      </c>
      <c r="AB62" s="67">
        <v>0</v>
      </c>
      <c r="AC62" s="67">
        <v>0</v>
      </c>
      <c r="AD62" s="67">
        <v>0</v>
      </c>
      <c r="AE62" s="67">
        <v>0</v>
      </c>
      <c r="AF62" s="132"/>
    </row>
    <row r="63" spans="2:32">
      <c r="B63" t="s">
        <v>250</v>
      </c>
      <c r="C63" t="s">
        <v>81</v>
      </c>
      <c r="D63" s="65" t="str">
        <f>IF('Índice IFRS 16 | Index IFRS 16'!$K$6="Português",$C63,$B63)</f>
        <v>Programa de recuperação fiscal</v>
      </c>
      <c r="E63" s="67">
        <v>120603</v>
      </c>
      <c r="F63" s="67">
        <v>142141</v>
      </c>
      <c r="G63" s="67">
        <v>184597</v>
      </c>
      <c r="H63" s="67">
        <v>213248</v>
      </c>
      <c r="I63" s="67">
        <v>293211</v>
      </c>
      <c r="J63" s="67">
        <v>254241</v>
      </c>
      <c r="K63" s="67">
        <v>254291</v>
      </c>
      <c r="L63" s="67">
        <v>262525</v>
      </c>
      <c r="M63" s="67">
        <v>242516</v>
      </c>
      <c r="N63" s="67">
        <v>0</v>
      </c>
      <c r="O63" s="67">
        <v>0</v>
      </c>
      <c r="P63" s="67">
        <v>0</v>
      </c>
      <c r="Q63" s="67">
        <v>0</v>
      </c>
      <c r="R63" s="67">
        <v>0</v>
      </c>
      <c r="S63" s="67">
        <v>0</v>
      </c>
      <c r="T63" s="67">
        <v>1450</v>
      </c>
      <c r="U63" s="67">
        <v>101046</v>
      </c>
      <c r="V63" s="67">
        <v>91652</v>
      </c>
      <c r="W63" s="67">
        <v>84071</v>
      </c>
      <c r="X63" s="67">
        <v>77833</v>
      </c>
      <c r="Y63" s="67">
        <v>71595</v>
      </c>
      <c r="Z63" s="67">
        <v>148277</v>
      </c>
      <c r="AA63" s="67">
        <v>136856</v>
      </c>
      <c r="AB63" s="67">
        <v>123708</v>
      </c>
      <c r="AC63" s="67">
        <v>151813</v>
      </c>
      <c r="AD63" s="67">
        <v>133613</v>
      </c>
      <c r="AE63" s="67">
        <v>89446</v>
      </c>
      <c r="AF63" s="67"/>
    </row>
    <row r="64" spans="2:32">
      <c r="B64" t="s">
        <v>251</v>
      </c>
      <c r="C64" t="s">
        <v>117</v>
      </c>
      <c r="D64" s="65" t="str">
        <f>IF('Índice IFRS 16 | Index IFRS 16'!$K$6="Português",$C64,$B64)</f>
        <v>Provisões</v>
      </c>
      <c r="E64" s="67">
        <v>553155</v>
      </c>
      <c r="F64" s="67">
        <v>587492</v>
      </c>
      <c r="G64" s="67">
        <v>691672</v>
      </c>
      <c r="H64" s="67">
        <v>726528</v>
      </c>
      <c r="I64" s="67">
        <v>713941</v>
      </c>
      <c r="J64" s="67">
        <v>761104</v>
      </c>
      <c r="K64" s="67">
        <v>793321</v>
      </c>
      <c r="L64" s="67">
        <v>880872</v>
      </c>
      <c r="M64" s="67">
        <v>1489911</v>
      </c>
      <c r="N64" s="67">
        <v>1656384</v>
      </c>
      <c r="O64" s="67">
        <v>1575713</v>
      </c>
      <c r="P64" s="67">
        <v>1765698</v>
      </c>
      <c r="Q64" s="67">
        <v>1988665</v>
      </c>
      <c r="R64" s="67">
        <v>2260444</v>
      </c>
      <c r="S64" s="67">
        <v>1862221</v>
      </c>
      <c r="T64" s="67">
        <v>2175877</v>
      </c>
      <c r="U64" s="67">
        <v>2522486</v>
      </c>
      <c r="V64" s="67">
        <v>2112467</v>
      </c>
      <c r="W64" s="67">
        <v>2378288</v>
      </c>
      <c r="X64" s="67">
        <v>2712224</v>
      </c>
      <c r="Y64" s="67">
        <v>2408706</v>
      </c>
      <c r="Z64" s="67">
        <v>2140378</v>
      </c>
      <c r="AA64" s="67">
        <v>2071153</v>
      </c>
      <c r="AB64" s="67">
        <v>2139925</v>
      </c>
      <c r="AC64" s="67">
        <v>2404423</v>
      </c>
      <c r="AD64" s="67">
        <v>2846750</v>
      </c>
      <c r="AE64" s="67">
        <v>2972949</v>
      </c>
      <c r="AF64" s="67"/>
    </row>
    <row r="65" spans="2:32">
      <c r="B65" t="s">
        <v>252</v>
      </c>
      <c r="C65" t="s">
        <v>88</v>
      </c>
      <c r="D65" s="66" t="str">
        <f>IF('Índice IFRS 16 | Index IFRS 16'!$K$6="Português",$C65,$B65)</f>
        <v>Outros passivos não circulantes</v>
      </c>
      <c r="E65" s="67">
        <v>407540</v>
      </c>
      <c r="F65" s="67">
        <v>341803</v>
      </c>
      <c r="G65" s="67">
        <v>318584</v>
      </c>
      <c r="H65" s="67">
        <v>278461</v>
      </c>
      <c r="I65" s="67">
        <v>128986</v>
      </c>
      <c r="J65" s="67">
        <v>164449</v>
      </c>
      <c r="K65" s="67">
        <v>141194</v>
      </c>
      <c r="L65" s="67">
        <v>68111</v>
      </c>
      <c r="M65" s="67">
        <v>92390</v>
      </c>
      <c r="N65" s="67">
        <v>355040</v>
      </c>
      <c r="O65" s="67">
        <v>343218</v>
      </c>
      <c r="P65" s="67">
        <v>312571</v>
      </c>
      <c r="Q65" s="67">
        <v>420942</v>
      </c>
      <c r="R65" s="67">
        <v>426302</v>
      </c>
      <c r="S65" s="67">
        <v>858710</v>
      </c>
      <c r="T65" s="67">
        <v>1125644</v>
      </c>
      <c r="U65" s="67">
        <v>1592698</v>
      </c>
      <c r="V65" s="67">
        <v>1499292</v>
      </c>
      <c r="W65" s="67">
        <v>1532477</v>
      </c>
      <c r="X65" s="67">
        <v>1477163</v>
      </c>
      <c r="Y65" s="67">
        <v>1434632</v>
      </c>
      <c r="Z65" s="67">
        <v>1428418</v>
      </c>
      <c r="AA65" s="67">
        <v>1462134</v>
      </c>
      <c r="AB65" s="67">
        <v>1514773</v>
      </c>
      <c r="AC65" s="67">
        <v>2000184</v>
      </c>
      <c r="AD65" s="67">
        <v>1966301</v>
      </c>
      <c r="AE65" s="67">
        <v>1739851</v>
      </c>
      <c r="AF65" s="67"/>
    </row>
    <row r="66" spans="2:32">
      <c r="B66" t="s">
        <v>253</v>
      </c>
      <c r="C66" t="s">
        <v>89</v>
      </c>
      <c r="D66" s="22" t="str">
        <f>IF('Índice IFRS 16 | Index IFRS 16'!$K$6="Português",$C66,$B66)</f>
        <v>Patrimônio líquido</v>
      </c>
      <c r="E66" s="93">
        <v>-432703</v>
      </c>
      <c r="F66" s="93">
        <v>-247881</v>
      </c>
      <c r="G66" s="93">
        <v>-1484779</v>
      </c>
      <c r="H66" s="93">
        <v>-1618403</v>
      </c>
      <c r="I66" s="93">
        <v>-1150038</v>
      </c>
      <c r="J66" s="93">
        <v>-1048241</v>
      </c>
      <c r="K66" s="93">
        <v>-613148</v>
      </c>
      <c r="L66" s="93">
        <v>-1266216</v>
      </c>
      <c r="M66" s="93">
        <v>-3519174</v>
      </c>
      <c r="N66" s="93">
        <v>-9646723</v>
      </c>
      <c r="O66" s="93">
        <v>-12648243</v>
      </c>
      <c r="P66" s="93">
        <v>-13866371</v>
      </c>
      <c r="Q66" s="93">
        <v>-14148750</v>
      </c>
      <c r="R66" s="93">
        <v>-16908830</v>
      </c>
      <c r="S66" s="93">
        <v>-15742548</v>
      </c>
      <c r="T66" s="93">
        <v>-17945934</v>
      </c>
      <c r="U66" s="93">
        <v>-18332998</v>
      </c>
      <c r="V66" s="93">
        <v>-15638829</v>
      </c>
      <c r="W66" s="93">
        <v>-18116800</v>
      </c>
      <c r="X66" s="93">
        <v>-20130507</v>
      </c>
      <c r="Y66" s="93">
        <v>-19007498</v>
      </c>
      <c r="Z66" s="93">
        <v>-19726750</v>
      </c>
      <c r="AA66" s="93">
        <v>-19681998</v>
      </c>
      <c r="AB66" s="93">
        <v>-21286126</v>
      </c>
      <c r="AC66" s="93">
        <v>-21327844</v>
      </c>
      <c r="AD66" s="93">
        <v>-22368423</v>
      </c>
      <c r="AE66" s="93">
        <v>-26166560</v>
      </c>
    </row>
    <row r="67" spans="2:32">
      <c r="B67" t="s">
        <v>254</v>
      </c>
      <c r="C67" t="s">
        <v>90</v>
      </c>
      <c r="D67" s="65" t="str">
        <f>IF('Índice IFRS 16 | Index IFRS 16'!$K$6="Português",$C67,$B67)</f>
        <v>Capital social</v>
      </c>
      <c r="E67" s="67">
        <v>2163377</v>
      </c>
      <c r="F67" s="67">
        <v>2182514</v>
      </c>
      <c r="G67" s="67">
        <v>2204884</v>
      </c>
      <c r="H67" s="67">
        <v>2205162</v>
      </c>
      <c r="I67" s="67">
        <v>2209415</v>
      </c>
      <c r="J67" s="67">
        <v>2214757</v>
      </c>
      <c r="K67" s="67">
        <v>2236621</v>
      </c>
      <c r="L67" s="67">
        <v>2240593</v>
      </c>
      <c r="M67" s="67">
        <v>2243215</v>
      </c>
      <c r="N67" s="67">
        <v>2245075</v>
      </c>
      <c r="O67" s="67">
        <v>2245075</v>
      </c>
      <c r="P67" s="67">
        <v>2246367</v>
      </c>
      <c r="Q67" s="67">
        <v>2246367</v>
      </c>
      <c r="R67" s="67">
        <v>2266992</v>
      </c>
      <c r="S67" s="67">
        <v>2289312</v>
      </c>
      <c r="T67" s="67">
        <v>2290337</v>
      </c>
      <c r="U67" s="67">
        <v>2290876</v>
      </c>
      <c r="V67" s="67">
        <v>2290996</v>
      </c>
      <c r="W67" s="67">
        <v>2313855</v>
      </c>
      <c r="X67" s="67">
        <v>2313924</v>
      </c>
      <c r="Y67" s="67">
        <v>2313941</v>
      </c>
      <c r="Z67" s="67">
        <v>2314002</v>
      </c>
      <c r="AA67" s="67">
        <v>2314002</v>
      </c>
      <c r="AB67" s="67">
        <v>2314821</v>
      </c>
      <c r="AC67" s="67">
        <v>2314821</v>
      </c>
      <c r="AD67" s="67">
        <v>2315610</v>
      </c>
      <c r="AE67" s="67">
        <v>2315628</v>
      </c>
    </row>
    <row r="68" spans="2:32">
      <c r="B68" t="s">
        <v>255</v>
      </c>
      <c r="C68" t="s">
        <v>157</v>
      </c>
      <c r="D68" s="65" t="str">
        <f>IF('Índice IFRS 16 | Index IFRS 16'!$K$6="Português",$C68,$B68)</f>
        <v>Adiantamentos para aumento de capital</v>
      </c>
      <c r="E68" s="67">
        <v>0</v>
      </c>
      <c r="F68" s="67">
        <v>0</v>
      </c>
      <c r="G68" s="67">
        <v>0</v>
      </c>
      <c r="H68" s="67">
        <v>0</v>
      </c>
      <c r="I68" s="67">
        <v>0</v>
      </c>
      <c r="J68" s="67">
        <v>0</v>
      </c>
      <c r="K68" s="67">
        <v>0</v>
      </c>
      <c r="L68" s="67">
        <v>0</v>
      </c>
      <c r="M68" s="67">
        <v>0</v>
      </c>
      <c r="N68" s="67">
        <v>0</v>
      </c>
      <c r="O68" s="67">
        <v>0</v>
      </c>
      <c r="P68" s="67">
        <v>0</v>
      </c>
      <c r="Q68" s="67">
        <v>20625</v>
      </c>
      <c r="R68" s="67">
        <v>22320</v>
      </c>
      <c r="S68" s="67">
        <v>1024</v>
      </c>
      <c r="T68" s="67">
        <v>539</v>
      </c>
      <c r="U68" s="67">
        <v>120</v>
      </c>
      <c r="V68" s="67">
        <v>22859</v>
      </c>
      <c r="W68" s="67">
        <v>68</v>
      </c>
      <c r="X68" s="67">
        <v>17</v>
      </c>
      <c r="Y68" s="67">
        <v>61</v>
      </c>
      <c r="Z68" s="67">
        <v>0</v>
      </c>
      <c r="AA68" s="67">
        <v>819</v>
      </c>
      <c r="AB68" s="67">
        <v>789</v>
      </c>
      <c r="AC68" s="67">
        <v>789</v>
      </c>
      <c r="AD68" s="67">
        <v>18</v>
      </c>
      <c r="AE68" s="67">
        <v>0</v>
      </c>
    </row>
    <row r="69" spans="2:32">
      <c r="B69" t="s">
        <v>256</v>
      </c>
      <c r="C69" t="s">
        <v>91</v>
      </c>
      <c r="D69" s="65" t="str">
        <f>IF('Índice IFRS 16 | Index IFRS 16'!$K$6="Português",$C69,$B69)</f>
        <v>Reserva de capital</v>
      </c>
      <c r="E69" s="67">
        <v>1898926</v>
      </c>
      <c r="F69" s="67">
        <v>1895385</v>
      </c>
      <c r="G69" s="67">
        <v>1901083</v>
      </c>
      <c r="H69" s="67">
        <v>1900001</v>
      </c>
      <c r="I69" s="67">
        <v>1918373</v>
      </c>
      <c r="J69" s="67">
        <v>1920223</v>
      </c>
      <c r="K69" s="67">
        <v>1927569</v>
      </c>
      <c r="L69" s="67">
        <v>1921902</v>
      </c>
      <c r="M69" s="67">
        <v>1928830</v>
      </c>
      <c r="N69" s="67">
        <v>1932996</v>
      </c>
      <c r="O69" s="67">
        <v>1937724</v>
      </c>
      <c r="P69" s="67">
        <v>1940952</v>
      </c>
      <c r="Q69" s="67">
        <v>1947887</v>
      </c>
      <c r="R69" s="67">
        <v>1953738</v>
      </c>
      <c r="S69" s="32">
        <v>1959526</v>
      </c>
      <c r="T69" s="67">
        <v>1941100</v>
      </c>
      <c r="U69" s="67">
        <v>1946472</v>
      </c>
      <c r="V69" s="67">
        <v>1950778</v>
      </c>
      <c r="W69" s="67">
        <v>1954094</v>
      </c>
      <c r="X69" s="67">
        <v>1945404</v>
      </c>
      <c r="Y69" s="67">
        <v>1970099</v>
      </c>
      <c r="Z69" s="67">
        <v>1990369</v>
      </c>
      <c r="AA69" s="67">
        <v>2010393</v>
      </c>
      <c r="AB69" s="67">
        <v>2016320</v>
      </c>
      <c r="AC69" s="67">
        <v>2029610</v>
      </c>
      <c r="AD69" s="67">
        <v>2041833</v>
      </c>
      <c r="AE69" s="67">
        <v>2053308</v>
      </c>
    </row>
    <row r="70" spans="2:32">
      <c r="B70" t="s">
        <v>257</v>
      </c>
      <c r="C70" t="s">
        <v>97</v>
      </c>
      <c r="D70" s="65" t="str">
        <f>IF('Índice IFRS 16 | Index IFRS 16'!$K$6="Português",$C70,$B70)</f>
        <v>Ações em tesouraria</v>
      </c>
      <c r="E70" s="32">
        <v>-2745</v>
      </c>
      <c r="F70" s="32">
        <v>-4075</v>
      </c>
      <c r="G70" s="32">
        <v>-13781</v>
      </c>
      <c r="H70" s="32">
        <v>-9404</v>
      </c>
      <c r="I70" s="32">
        <v>-10550</v>
      </c>
      <c r="J70" s="32">
        <v>-10550</v>
      </c>
      <c r="K70" s="32">
        <v>-13719</v>
      </c>
      <c r="L70" s="32">
        <v>-8120</v>
      </c>
      <c r="M70" s="32">
        <v>-15565</v>
      </c>
      <c r="N70" s="32">
        <v>-15565</v>
      </c>
      <c r="O70" s="32">
        <v>-15565</v>
      </c>
      <c r="P70" s="32">
        <v>-13182</v>
      </c>
      <c r="Q70" s="32">
        <v>-13182</v>
      </c>
      <c r="R70" s="32">
        <v>-14807</v>
      </c>
      <c r="S70" s="32">
        <v>-17390</v>
      </c>
      <c r="T70" s="32">
        <v>-6592</v>
      </c>
      <c r="U70" s="32">
        <v>-11959</v>
      </c>
      <c r="V70" s="32">
        <v>-11999</v>
      </c>
      <c r="W70" s="32">
        <v>-12882</v>
      </c>
      <c r="X70" s="32">
        <v>-2921</v>
      </c>
      <c r="Y70" s="32">
        <v>-10204</v>
      </c>
      <c r="Z70" s="32">
        <v>-13085</v>
      </c>
      <c r="AA70" s="32">
        <v>-13085</v>
      </c>
      <c r="AB70" s="32">
        <v>-9041</v>
      </c>
      <c r="AC70" s="32">
        <v>-9041</v>
      </c>
      <c r="AD70" s="32">
        <v>-11566</v>
      </c>
      <c r="AE70" s="32">
        <v>-11566</v>
      </c>
    </row>
    <row r="71" spans="2:32">
      <c r="B71" t="s">
        <v>258</v>
      </c>
      <c r="C71" t="s">
        <v>92</v>
      </c>
      <c r="D71" s="65" t="str">
        <f>IF('Índice IFRS 16 | Index IFRS 16'!$K$6="Português",$C71,$B71)</f>
        <v>Outros resultados abrangentes</v>
      </c>
      <c r="E71" s="32">
        <v>-14688</v>
      </c>
      <c r="F71" s="32">
        <v>-14150</v>
      </c>
      <c r="G71" s="32">
        <v>-178306</v>
      </c>
      <c r="H71" s="32">
        <v>-225230</v>
      </c>
      <c r="I71" s="32">
        <v>-153969</v>
      </c>
      <c r="J71" s="32">
        <v>-176653</v>
      </c>
      <c r="K71" s="32">
        <v>-110816</v>
      </c>
      <c r="L71" s="32">
        <v>-217269</v>
      </c>
      <c r="M71" s="32">
        <v>-159261</v>
      </c>
      <c r="N71" s="32">
        <v>-142209</v>
      </c>
      <c r="O71" s="32">
        <v>-8047</v>
      </c>
      <c r="P71" s="32">
        <v>-6797</v>
      </c>
      <c r="Q71" s="32">
        <v>655</v>
      </c>
      <c r="R71" s="32">
        <v>655</v>
      </c>
      <c r="S71" s="32">
        <v>655</v>
      </c>
      <c r="T71" s="32">
        <v>655</v>
      </c>
      <c r="U71" s="32">
        <v>5799</v>
      </c>
      <c r="V71" s="32">
        <v>5799</v>
      </c>
      <c r="W71" s="32">
        <v>5799</v>
      </c>
      <c r="X71" s="32">
        <v>5799</v>
      </c>
      <c r="Y71" s="32">
        <v>5281</v>
      </c>
      <c r="Z71" s="32">
        <v>5281</v>
      </c>
      <c r="AA71" s="32">
        <v>5281</v>
      </c>
      <c r="AB71" s="32">
        <v>5281</v>
      </c>
      <c r="AC71" s="32">
        <v>3106</v>
      </c>
      <c r="AD71" s="32">
        <v>3106</v>
      </c>
      <c r="AE71" s="32">
        <v>3106</v>
      </c>
    </row>
    <row r="72" spans="2:32" ht="15" thickBot="1">
      <c r="B72" t="s">
        <v>259</v>
      </c>
      <c r="C72" t="s">
        <v>93</v>
      </c>
      <c r="D72" s="69" t="str">
        <f>IF('Índice IFRS 16 | Index IFRS 16'!$K$6="Português",$C72,$B72)</f>
        <v>Prejuízo acumulado</v>
      </c>
      <c r="E72" s="73">
        <v>-4477573</v>
      </c>
      <c r="F72" s="73">
        <v>-4307555</v>
      </c>
      <c r="G72" s="73">
        <v>-5398659</v>
      </c>
      <c r="H72" s="73">
        <v>-5488932</v>
      </c>
      <c r="I72" s="73">
        <v>-5113307</v>
      </c>
      <c r="J72" s="73">
        <v>-4996018</v>
      </c>
      <c r="K72" s="73">
        <v>-4652803</v>
      </c>
      <c r="L72" s="73">
        <v>-5203322</v>
      </c>
      <c r="M72" s="73">
        <v>-7516393</v>
      </c>
      <c r="N72" s="73">
        <v>-13667020</v>
      </c>
      <c r="O72" s="73">
        <v>-16807430</v>
      </c>
      <c r="P72" s="73">
        <v>-18033711</v>
      </c>
      <c r="Q72" s="73">
        <v>-18351102</v>
      </c>
      <c r="R72" s="73">
        <v>-21137728</v>
      </c>
      <c r="S72" s="73">
        <v>-19975675</v>
      </c>
      <c r="T72" s="73">
        <v>-22171973</v>
      </c>
      <c r="U72" s="73">
        <v>-22564306</v>
      </c>
      <c r="V72" s="73">
        <v>-19897262</v>
      </c>
      <c r="W72" s="73">
        <v>-22377734</v>
      </c>
      <c r="X72" s="73">
        <v>-24392730</v>
      </c>
      <c r="Y72" s="73">
        <v>-23286676</v>
      </c>
      <c r="Z72" s="73">
        <v>-24023317</v>
      </c>
      <c r="AA72" s="73">
        <v>-23999408</v>
      </c>
      <c r="AB72" s="73">
        <v>-25614296</v>
      </c>
      <c r="AC72" s="73">
        <v>-25667129</v>
      </c>
      <c r="AD72" s="73">
        <v>-26717424</v>
      </c>
      <c r="AE72" s="73">
        <v>-30527036</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N54"/>
  <sheetViews>
    <sheetView showGridLines="0" workbookViewId="0">
      <pane xSplit="4" ySplit="8" topLeftCell="U15" activePane="bottomRight" state="frozen"/>
      <selection activeCell="A2" sqref="A2"/>
      <selection pane="topRight" activeCell="E2" sqref="E2"/>
      <selection pane="bottomLeft" activeCell="A9" sqref="A9"/>
      <selection pane="bottomRight" activeCell="A2" sqref="A2"/>
    </sheetView>
  </sheetViews>
  <sheetFormatPr defaultRowHeight="14.4"/>
  <cols>
    <col min="1" max="1" width="4.109375" customWidth="1"/>
    <col min="2" max="3" width="4.109375" hidden="1" customWidth="1"/>
    <col min="4" max="4" width="54.88671875" customWidth="1"/>
    <col min="12" max="13" width="8.6640625"/>
    <col min="33" max="35" width="10" bestFit="1" customWidth="1"/>
    <col min="39" max="39" width="13.33203125" bestFit="1" customWidth="1"/>
  </cols>
  <sheetData>
    <row r="1" spans="1:40" s="138" customFormat="1" hidden="1">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c r="AF1" s="172" t="s">
        <v>118</v>
      </c>
      <c r="AG1" s="172" t="s">
        <v>114</v>
      </c>
      <c r="AH1" s="172" t="s">
        <v>126</v>
      </c>
      <c r="AI1" s="137" t="s">
        <v>332</v>
      </c>
      <c r="AJ1" s="137" t="s">
        <v>712</v>
      </c>
      <c r="AK1" s="137" t="s">
        <v>713</v>
      </c>
      <c r="AL1" s="137" t="s">
        <v>744</v>
      </c>
    </row>
    <row r="2" spans="1:40">
      <c r="AI2" s="138"/>
    </row>
    <row r="4" spans="1:40">
      <c r="D4" s="169" t="str">
        <f>IF('Índice IFRS 16 | Index IFRS 16'!$K$6="Português","Menu","Home")</f>
        <v>Menu</v>
      </c>
    </row>
    <row r="7" spans="1:40" ht="15" thickBot="1">
      <c r="A7" s="7"/>
      <c r="B7" s="7" t="s">
        <v>260</v>
      </c>
      <c r="C7" s="7" t="s">
        <v>23</v>
      </c>
      <c r="D7" s="3" t="str">
        <f>IF('Índice IFRS 16 | Index IFRS 16'!$K$6="Português",$C7,$B7)</f>
        <v>Dados Operacionais</v>
      </c>
      <c r="E7" s="42" t="str">
        <f>IF('Índice IFRS 16 | Index IFRS 16'!$K$6="Português",E$1,SUBSTITUTE(E$1,"T","Q"))</f>
        <v>1T18¹</v>
      </c>
      <c r="F7" s="42" t="str">
        <f>IF('Índice IFRS 16 | Index IFRS 16'!$K$6="Português",F$1,SUBSTITUTE(F$1,"T","Q"))</f>
        <v>2T18¹</v>
      </c>
      <c r="G7" s="42" t="str">
        <f>IF('Índice IFRS 16 | Index IFRS 16'!$K$6="Português",G$1,SUBSTITUTE(G$1,"T","Q"))</f>
        <v>3T18¹</v>
      </c>
      <c r="H7" s="42" t="str">
        <f>IF('Índice IFRS 16 | Index IFRS 16'!$K$6="Português",H$1,SUBSTITUTE(H$1,"T","Q"))</f>
        <v>4T18¹</v>
      </c>
      <c r="I7" s="42" t="str">
        <f>IF('Índice IFRS 16 | Index IFRS 16'!$K$6="Português",I$1,SUBSTITUTE(I$1,"T","Q"))</f>
        <v>1T19²</v>
      </c>
      <c r="J7" s="42" t="str">
        <f>IF('Índice IFRS 16 | Index IFRS 16'!$K$6="Português",J$1,SUBSTITUTE(J$1,"T","Q"))</f>
        <v>2T19²</v>
      </c>
      <c r="K7" s="42" t="str">
        <f>IF('Índice IFRS 16 | Index IFRS 16'!$K$6="Português",K$1,SUBSTITUTE(K$1,"T","Q"))</f>
        <v>3T19²</v>
      </c>
      <c r="L7" s="42" t="str">
        <f>IF('Índice IFRS 16 | Index IFRS 16'!$K$6="Português",L$1,SUBSTITUTE(L$1,"T","Q"))</f>
        <v>4T19²</v>
      </c>
      <c r="M7" s="42" t="str">
        <f>IF('Índice IFRS 16 | Index IFRS 16'!$K$6="Português",M$1,SUBSTITUTE(M$1,"T","Q"))</f>
        <v>1T20³</v>
      </c>
      <c r="N7" s="42" t="str">
        <f>IF('Índice IFRS 16 | Index IFRS 16'!$K$6="Português",N$1,SUBSTITUTE(N$1,"T","Q"))</f>
        <v>2T20⁴</v>
      </c>
      <c r="O7" s="42" t="str">
        <f>IF('Índice IFRS 16 | Index IFRS 16'!$K$6="Português",O$1,SUBSTITUTE(O$1,"T","Q"))</f>
        <v>3T20⁵</v>
      </c>
      <c r="P7" s="42" t="str">
        <f>IF('Índice IFRS 16 | Index IFRS 16'!$K$6="Português",P$1,SUBSTITUTE(P$1,"T","Q"))</f>
        <v>4T20⁶</v>
      </c>
      <c r="Q7" s="42" t="str">
        <f>IF('Índice IFRS 16 | Index IFRS 16'!$K$6="Português",Q$1,SUBSTITUTE(Q$1,"T","Q"))</f>
        <v>1T21⁸</v>
      </c>
      <c r="R7" s="42" t="str">
        <f>IF('Índice IFRS 16 | Index IFRS 16'!$K$6="Português",R$1,SUBSTITUTE(R$1,"T","Q"))</f>
        <v>2T21⁹</v>
      </c>
      <c r="S7" s="42" t="str">
        <f>IF('Índice IFRS 16 | Index IFRS 16'!$K$6="Português",S$1,SUBSTITUTE(S$1,"T","Q"))</f>
        <v>3T21¹⁰</v>
      </c>
      <c r="T7" s="42" t="str">
        <f>IF('Índice IFRS 16 | Index IFRS 16'!$K$6="Português",T$1,SUBSTITUTE(T$1,"T","Q"))</f>
        <v>4T21¹¹</v>
      </c>
      <c r="U7" s="42" t="str">
        <f>IF('Índice IFRS 16 | Index IFRS 16'!$K$6="Português",U$1,SUBSTITUTE(U$1,"T","Q"))</f>
        <v>1T22¹²</v>
      </c>
      <c r="V7" s="42" t="str">
        <f>IF('Índice IFRS 16 | Index IFRS 16'!$K$6="Português",V$1,SUBSTITUTE(V$1,"T","Q"))</f>
        <v>2T22¹³</v>
      </c>
      <c r="W7" s="42" t="str">
        <f>IF('Índice IFRS 16 | Index IFRS 16'!$K$6="Português",W$1,SUBSTITUTE(W$1,"T","Q"))</f>
        <v>3T22¹⁴</v>
      </c>
      <c r="X7" s="42" t="str">
        <f>IF('Índice IFRS 16 | Index IFRS 16'!$K$6="Português",X$1,SUBSTITUTE(X$1,"T","Q"))</f>
        <v>4T22¹⁵</v>
      </c>
      <c r="Y7" s="42" t="str">
        <f>IF('Índice IFRS 16 | Index IFRS 16'!$K$6="Português",Y$1,SUBSTITUTE(Y$1,"T","Q"))</f>
        <v>1T23¹⁸</v>
      </c>
      <c r="Z7" s="42" t="str">
        <f>IF('Índice IFRS 16 | Index IFRS 16'!$K$6="Português",Z$1,SUBSTITUTE(Z$1,"T","Q"))</f>
        <v>2T23¹⁹</v>
      </c>
      <c r="AA7" s="42" t="str">
        <f>IF('Índice IFRS 16 | Index IFRS 16'!$K$6="Português",AA$1,SUBSTITUTE(AA$1,"T","Q"))</f>
        <v>3T23²⁰</v>
      </c>
      <c r="AB7" s="42" t="str">
        <f>IF('Índice IFRS 16 | Index IFRS 16'!$K$6="Português",AB$1,SUBSTITUTE(AB$1,"T","Q"))</f>
        <v>4T23²¹</v>
      </c>
      <c r="AC7" s="42" t="str">
        <f>IF('Índice IFRS 16 | Index IFRS 16'!$K$6="Português",AC$1,SUBSTITUTE(AC$1,"T","Q"))</f>
        <v>1T24</v>
      </c>
      <c r="AD7" s="42" t="str">
        <f>IF('Índice IFRS 16 | Index IFRS 16'!$K$6="Português",AD$1,SUBSTITUTE(AD$1,"T","Q"))</f>
        <v>2T24</v>
      </c>
      <c r="AE7" s="43"/>
      <c r="AF7" s="42" t="str">
        <f>IF('Índice IFRS 16 | Index IFRS 16'!$K$6="Português",AF$1,SUBSTITUTE(AF$1,"T","Q"))</f>
        <v>2017</v>
      </c>
      <c r="AG7" s="42" t="str">
        <f>IF('Índice IFRS 16 | Index IFRS 16'!$K$6="Português",AG$1,SUBSTITUTE(AG$1,"T","Q"))</f>
        <v>2018¹</v>
      </c>
      <c r="AH7" s="42" t="str">
        <f>IF('Índice IFRS 16 | Index IFRS 16'!$K$6="Português",AH$1,SUBSTITUTE(AH$1,"T","Q"))</f>
        <v>2019²</v>
      </c>
      <c r="AI7" s="42" t="str">
        <f>IF('Índice IFRS 16 | Index IFRS 16'!$K$6="Português",AI$1,SUBSTITUTE(AI$1,"T","Q"))</f>
        <v>2020⁷</v>
      </c>
      <c r="AJ7" s="42" t="str">
        <f>IF('Índice IFRS 16 | Index IFRS 16'!$K$6="Português",AJ$1,SUBSTITUTE(AJ$1,"T","Q"))</f>
        <v>2021¹⁶</v>
      </c>
      <c r="AK7" s="42" t="str">
        <f>IF('Índice IFRS 16 | Index IFRS 16'!$K$6="Português",AK$1,SUBSTITUTE(AK$1,"T","Q"))</f>
        <v>2022¹⁷</v>
      </c>
      <c r="AL7" s="42" t="str">
        <f>IF('Índice IFRS 16 | Index IFRS 16'!$K$6="Português",AL$1,SUBSTITUTE(AL$1,"T","Q"))</f>
        <v>2023²²</v>
      </c>
    </row>
    <row r="8" spans="1:40"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6"/>
      <c r="AG8" s="6"/>
      <c r="AH8" s="6"/>
      <c r="AI8" s="6"/>
      <c r="AJ8" s="6"/>
      <c r="AK8" s="6"/>
      <c r="AL8" s="6"/>
    </row>
    <row r="9" spans="1:40">
      <c r="A9" s="12"/>
      <c r="B9" s="12" t="s">
        <v>261</v>
      </c>
      <c r="C9" s="12" t="s">
        <v>16</v>
      </c>
      <c r="D9" s="20" t="str">
        <f>IF('Índice IFRS 16 | Index IFRS 16'!$K$6="Português",$C9,$B9)</f>
        <v xml:space="preserve">Receitas de transporte de passageiros (em milhões de reais)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c r="AF9" s="11">
        <v>7399.7309999999998</v>
      </c>
      <c r="AG9" s="11">
        <v>8670.1319999999996</v>
      </c>
      <c r="AH9" s="11">
        <v>10907.888999999999</v>
      </c>
      <c r="AI9" s="11">
        <v>5088.7466092699997</v>
      </c>
      <c r="AJ9" s="11">
        <v>8811.0439999999999</v>
      </c>
      <c r="AK9" s="11">
        <v>14595.579</v>
      </c>
      <c r="AL9" s="11">
        <v>17362.895540130001</v>
      </c>
      <c r="AM9" s="86"/>
      <c r="AN9" s="86"/>
    </row>
    <row r="10" spans="1:40">
      <c r="A10" s="12"/>
      <c r="B10" s="12" t="s">
        <v>262</v>
      </c>
      <c r="C10" s="12" t="s">
        <v>154</v>
      </c>
      <c r="D10" s="20" t="str">
        <f>IF('Índice IFRS 16 | Index IFRS 16'!$K$6="Português",$C10,$B10)</f>
        <v>Aeronaves operacionais de passageiros no final do período</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F10" s="11">
        <v>122</v>
      </c>
      <c r="AG10" s="11">
        <v>125</v>
      </c>
      <c r="AH10" s="11">
        <v>142</v>
      </c>
      <c r="AI10" s="11">
        <v>145</v>
      </c>
      <c r="AJ10" s="11">
        <v>161</v>
      </c>
      <c r="AK10" s="11">
        <v>177</v>
      </c>
      <c r="AL10" s="11">
        <v>183</v>
      </c>
      <c r="AM10" s="86"/>
      <c r="AN10" s="86"/>
    </row>
    <row r="11" spans="1:40">
      <c r="A11" s="7"/>
      <c r="B11" s="7" t="s">
        <v>263</v>
      </c>
      <c r="C11" s="7" t="s">
        <v>17</v>
      </c>
      <c r="D11" s="20" t="str">
        <f>IF('Índice IFRS 16 | Index IFRS 16'!$K$6="Português",$C11,$B11)</f>
        <v xml:space="preserve">Assento-quilômetro oferecido (ASKs) (milhões)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F11" s="11">
        <v>25299.973300999998</v>
      </c>
      <c r="AG11" s="11">
        <v>29352.992834000001</v>
      </c>
      <c r="AH11" s="28">
        <v>35868.255697000008</v>
      </c>
      <c r="AI11" s="28">
        <v>20394.652486699997</v>
      </c>
      <c r="AJ11" s="11">
        <v>31386.4183873</v>
      </c>
      <c r="AK11" s="11">
        <v>39579.444082000002</v>
      </c>
      <c r="AL11" s="11">
        <v>44006.092320000011</v>
      </c>
      <c r="AM11" s="86"/>
      <c r="AN11" s="86"/>
    </row>
    <row r="12" spans="1:40">
      <c r="A12" s="7"/>
      <c r="B12" s="7" t="s">
        <v>264</v>
      </c>
      <c r="C12" s="7" t="s">
        <v>52</v>
      </c>
      <c r="D12" s="63" t="str">
        <f>IF('Índice IFRS 16 | Index IFRS 16'!$K$6="Português",$C12,$B12)</f>
        <v>Doméstico</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F12" s="97">
        <v>20457.690465</v>
      </c>
      <c r="AG12" s="97">
        <v>22103.242879000001</v>
      </c>
      <c r="AH12" s="59">
        <v>27520.686533</v>
      </c>
      <c r="AI12" s="59">
        <v>17157.800475699998</v>
      </c>
      <c r="AJ12" s="11">
        <v>29379.916025300001</v>
      </c>
      <c r="AK12" s="11">
        <v>33605.459822999997</v>
      </c>
      <c r="AL12" s="11">
        <v>34367.197417000003</v>
      </c>
      <c r="AM12" s="86"/>
      <c r="AN12" s="86"/>
    </row>
    <row r="13" spans="1:40">
      <c r="A13" s="7"/>
      <c r="B13" s="7" t="s">
        <v>265</v>
      </c>
      <c r="C13" s="7" t="s">
        <v>53</v>
      </c>
      <c r="D13" s="63" t="str">
        <f>IF('Índice IFRS 16 | Index IFRS 16'!$K$6="Português",$C13,$B13)</f>
        <v>Internacional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F13" s="97">
        <v>4842.2829250000004</v>
      </c>
      <c r="AG13" s="97">
        <v>7249.7499550000002</v>
      </c>
      <c r="AH13" s="59">
        <v>8347.5691640000005</v>
      </c>
      <c r="AI13" s="59">
        <v>3236.8520109999999</v>
      </c>
      <c r="AJ13" s="11">
        <v>2006.5023620000002</v>
      </c>
      <c r="AK13" s="11">
        <v>5973.9842589999998</v>
      </c>
      <c r="AL13" s="11">
        <v>9638.8949029999985</v>
      </c>
      <c r="AM13" s="86"/>
      <c r="AN13" s="86"/>
    </row>
    <row r="14" spans="1:40">
      <c r="A14" s="7"/>
      <c r="B14" s="7" t="s">
        <v>266</v>
      </c>
      <c r="C14" s="7" t="s">
        <v>54</v>
      </c>
      <c r="D14" s="20" t="str">
        <f>IF('Índice IFRS 16 | Index IFRS 16'!$K$6="Português",$C14,$B14)</f>
        <v>Passageiros pagantes transportados por quilômetros voados (RPK) (milhões)</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F14" s="11">
        <v>20760.118310999998</v>
      </c>
      <c r="AG14" s="11">
        <v>24155.700836</v>
      </c>
      <c r="AH14" s="28">
        <v>29940.665909000003</v>
      </c>
      <c r="AI14" s="28">
        <v>16310.904362400001</v>
      </c>
      <c r="AJ14" s="11">
        <v>24850.707612000002</v>
      </c>
      <c r="AK14" s="11">
        <v>31561.019474000001</v>
      </c>
      <c r="AL14" s="11">
        <v>35398.821577000002</v>
      </c>
      <c r="AM14" s="86"/>
      <c r="AN14" s="86"/>
    </row>
    <row r="15" spans="1:40">
      <c r="A15" s="7"/>
      <c r="B15" s="7" t="s">
        <v>264</v>
      </c>
      <c r="C15" s="7" t="s">
        <v>52</v>
      </c>
      <c r="D15" s="63" t="str">
        <f>IF('Índice IFRS 16 | Index IFRS 16'!$K$6="Português",$C15,$B15)</f>
        <v>Doméstico</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F15" s="97">
        <v>16423.885675000001</v>
      </c>
      <c r="AG15" s="97">
        <v>17855.714610999999</v>
      </c>
      <c r="AH15" s="59">
        <v>22789.686604000002</v>
      </c>
      <c r="AI15" s="59">
        <v>13788.4722654</v>
      </c>
      <c r="AJ15" s="11">
        <v>23431.368376999999</v>
      </c>
      <c r="AK15" s="11">
        <v>26516.737335999995</v>
      </c>
      <c r="AL15" s="11">
        <v>27179.567005999997</v>
      </c>
      <c r="AM15" s="86"/>
      <c r="AN15" s="86"/>
    </row>
    <row r="16" spans="1:40">
      <c r="A16" s="7"/>
      <c r="B16" s="7" t="s">
        <v>265</v>
      </c>
      <c r="C16" s="7" t="s">
        <v>53</v>
      </c>
      <c r="D16" s="63" t="str">
        <f>IF('Índice IFRS 16 | Index IFRS 16'!$K$6="Português",$C16,$B16)</f>
        <v>Internacional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F16" s="97">
        <v>4336.2325999999994</v>
      </c>
      <c r="AG16" s="97">
        <v>6299.9862249999996</v>
      </c>
      <c r="AH16" s="59">
        <v>7150.9793049999998</v>
      </c>
      <c r="AI16" s="59">
        <v>2522.4320969999999</v>
      </c>
      <c r="AJ16" s="11">
        <v>1419.3392349999999</v>
      </c>
      <c r="AK16" s="11">
        <v>5044.2821379999996</v>
      </c>
      <c r="AL16" s="11">
        <v>8219.2545710000013</v>
      </c>
      <c r="AM16" s="86"/>
      <c r="AN16" s="86"/>
    </row>
    <row r="17" spans="1:40">
      <c r="A17" s="7"/>
      <c r="B17" s="7" t="s">
        <v>267</v>
      </c>
      <c r="C17" s="7" t="s">
        <v>18</v>
      </c>
      <c r="D17" s="20" t="str">
        <f>IF('Índice IFRS 16 | Index IFRS 16'!$K$6="Português",$C17,$B17)</f>
        <v xml:space="preserve">Taxa de ocupação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4">
        <v>0.82236485225651879</v>
      </c>
      <c r="U17" s="134">
        <v>0.80359999999999998</v>
      </c>
      <c r="V17" s="134">
        <v>0.78739999999999999</v>
      </c>
      <c r="W17" s="134">
        <v>0.81799999999999995</v>
      </c>
      <c r="X17" s="134">
        <v>0.78100000000000003</v>
      </c>
      <c r="Y17" s="134">
        <v>0.79620000000000002</v>
      </c>
      <c r="Z17" s="134">
        <v>0.79900000000000004</v>
      </c>
      <c r="AA17" s="134">
        <v>0.8216</v>
      </c>
      <c r="AB17" s="134">
        <v>0.80010000000000003</v>
      </c>
      <c r="AC17" s="134">
        <v>0.78920000000000001</v>
      </c>
      <c r="AD17" s="134">
        <v>0.80269999999999997</v>
      </c>
      <c r="AF17" s="31">
        <v>0.82055890194079528</v>
      </c>
      <c r="AG17" s="31">
        <v>0.82293825957059141</v>
      </c>
      <c r="AH17" s="31">
        <v>0.83473994838015553</v>
      </c>
      <c r="AI17" s="31">
        <v>0.79976377989460035</v>
      </c>
      <c r="AJ17" s="134">
        <v>0.79176627627112217</v>
      </c>
      <c r="AK17" s="134">
        <v>0.79740936756495195</v>
      </c>
      <c r="AL17" s="134">
        <v>0.80440729250826593</v>
      </c>
      <c r="AM17" s="86"/>
      <c r="AN17" s="86"/>
    </row>
    <row r="18" spans="1:40">
      <c r="A18" s="7"/>
      <c r="B18" s="7" t="s">
        <v>268</v>
      </c>
      <c r="C18" s="7" t="s">
        <v>45</v>
      </c>
      <c r="D18" s="20" t="str">
        <f>IF('Índice IFRS 16 | Index IFRS 16'!$K$6="Português",$C18,$B18)</f>
        <v>Receita de passageiros por ASK (centavos) (PRASK)</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F18" s="39">
        <v>29.247979481889498</v>
      </c>
      <c r="AG18" s="39">
        <v>29.537471865414894</v>
      </c>
      <c r="AH18" s="39">
        <v>30.410982602960328</v>
      </c>
      <c r="AI18" s="39">
        <v>24.951376899354052</v>
      </c>
      <c r="AJ18" s="39">
        <v>28.072792158933446</v>
      </c>
      <c r="AK18" s="39">
        <v>36.876664992467134</v>
      </c>
      <c r="AL18" s="39">
        <v>39.455663124714356</v>
      </c>
      <c r="AM18" s="86"/>
      <c r="AN18" s="86"/>
    </row>
    <row r="19" spans="1:40">
      <c r="A19" s="7"/>
      <c r="B19" s="7" t="s">
        <v>269</v>
      </c>
      <c r="C19" s="7" t="s">
        <v>46</v>
      </c>
      <c r="D19" s="20" t="str">
        <f>IF('Índice IFRS 16 | Index IFRS 16'!$K$6="Português",$C19,$B19)</f>
        <v>Receita operacional por ASK (centavos) (RASK)</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F19" s="27">
        <v>30.390569620467129</v>
      </c>
      <c r="AG19" s="27">
        <v>30.855674051707162</v>
      </c>
      <c r="AH19" s="27">
        <v>31.900957483575166</v>
      </c>
      <c r="AI19" s="27">
        <v>28.405806929281948</v>
      </c>
      <c r="AJ19" s="27">
        <v>31.783585106469221</v>
      </c>
      <c r="AK19" s="27">
        <v>40.293812532988262</v>
      </c>
      <c r="AL19" s="27">
        <v>42.481791015271845</v>
      </c>
      <c r="AM19" s="86"/>
      <c r="AN19" s="86"/>
    </row>
    <row r="20" spans="1:40" s="86" customFormat="1">
      <c r="A20" s="260"/>
      <c r="B20" s="260" t="s">
        <v>270</v>
      </c>
      <c r="C20" s="260" t="s">
        <v>131</v>
      </c>
      <c r="D20" s="261" t="str">
        <f>IF('Índice IFRS 16 | Index IFRS 16'!$K$6="Português",$C20,$B20)</f>
        <v xml:space="preserve">Yield por passageiro/quilômetro (centavos) </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62">
        <v>43.689038847948638</v>
      </c>
      <c r="U20" s="262">
        <v>39.03</v>
      </c>
      <c r="V20" s="262">
        <v>46.4</v>
      </c>
      <c r="W20" s="262">
        <v>48.13</v>
      </c>
      <c r="X20" s="262">
        <v>50.6</v>
      </c>
      <c r="Y20" s="262">
        <v>48.5</v>
      </c>
      <c r="Z20" s="262">
        <v>46.81</v>
      </c>
      <c r="AA20" s="262">
        <v>48.3</v>
      </c>
      <c r="AB20" s="262">
        <v>52.51</v>
      </c>
      <c r="AC20" s="262">
        <v>49.84</v>
      </c>
      <c r="AD20" s="262">
        <v>44.03</v>
      </c>
      <c r="AF20" s="29">
        <v>35.643973165987042</v>
      </c>
      <c r="AG20" s="29">
        <v>35.892694891628352</v>
      </c>
      <c r="AH20" s="29">
        <v>36.431684696502181</v>
      </c>
      <c r="AI20" s="29">
        <v>31.19843324567956</v>
      </c>
      <c r="AJ20" s="262">
        <v>35.455907886282034</v>
      </c>
      <c r="AK20" s="262">
        <v>46.245587890542808</v>
      </c>
      <c r="AL20" s="262">
        <v>49.049360308116448</v>
      </c>
    </row>
    <row r="21" spans="1:40">
      <c r="A21" s="7"/>
      <c r="B21" s="7" t="s">
        <v>271</v>
      </c>
      <c r="C21" s="7" t="s">
        <v>19</v>
      </c>
      <c r="D21" s="20" t="str">
        <f>IF('Índice IFRS 16 | Index IFRS 16'!$K$6="Português",$C21,$B21)</f>
        <v xml:space="preserve">Número de decolagens </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F21" s="11">
        <v>259966</v>
      </c>
      <c r="AG21" s="11">
        <v>262312</v>
      </c>
      <c r="AH21" s="30">
        <v>295354</v>
      </c>
      <c r="AI21" s="30">
        <v>158070</v>
      </c>
      <c r="AJ21" s="11">
        <v>245102</v>
      </c>
      <c r="AK21" s="11">
        <v>304429</v>
      </c>
      <c r="AL21" s="11">
        <v>316896</v>
      </c>
      <c r="AM21" s="86"/>
      <c r="AN21" s="86"/>
    </row>
    <row r="22" spans="1:40">
      <c r="A22" s="7"/>
      <c r="B22" s="7" t="s">
        <v>272</v>
      </c>
      <c r="C22" s="7" t="s">
        <v>20</v>
      </c>
      <c r="D22" s="20" t="str">
        <f>IF('Índice IFRS 16 | Index IFRS 16'!$K$6="Português",$C22,$B22)</f>
        <v xml:space="preserve">Horas-bloco </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F22" s="30">
        <v>407415.49999999994</v>
      </c>
      <c r="AG22" s="30">
        <v>433945.06666666677</v>
      </c>
      <c r="AH22" s="30">
        <v>495361.76666666701</v>
      </c>
      <c r="AI22" s="30">
        <v>266881.06666633353</v>
      </c>
      <c r="AJ22" s="11">
        <v>409423.68333333329</v>
      </c>
      <c r="AK22" s="11">
        <v>518813.18333333323</v>
      </c>
      <c r="AL22" s="11">
        <v>550842.78333333391</v>
      </c>
      <c r="AM22" s="86"/>
      <c r="AN22" s="86"/>
    </row>
    <row r="23" spans="1:40">
      <c r="A23" s="7"/>
      <c r="B23" s="7" t="s">
        <v>273</v>
      </c>
      <c r="C23" s="7" t="s">
        <v>21</v>
      </c>
      <c r="D23" s="20" t="str">
        <f>IF('Índice IFRS 16 | Index IFRS 16'!$K$6="Português",$C23,$B23)</f>
        <v xml:space="preserve">Tarifa média (em reais) </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F23" s="30">
        <v>336.1373659836334</v>
      </c>
      <c r="AG23" s="30">
        <v>374.96613679179188</v>
      </c>
      <c r="AH23" s="30">
        <v>394.15305500453178</v>
      </c>
      <c r="AI23" s="30">
        <v>343.92616088935665</v>
      </c>
      <c r="AJ23" s="11">
        <v>377.97120518118675</v>
      </c>
      <c r="AK23" s="11">
        <v>531.030854997799</v>
      </c>
      <c r="AL23" s="11">
        <v>593.04108365683294</v>
      </c>
      <c r="AM23" s="86"/>
      <c r="AN23" s="86"/>
    </row>
    <row r="24" spans="1:40">
      <c r="A24" s="12"/>
      <c r="B24" s="12" t="s">
        <v>274</v>
      </c>
      <c r="C24" s="12" t="s">
        <v>22</v>
      </c>
      <c r="D24" s="20" t="str">
        <f>IF('Índice IFRS 16 | Index IFRS 16'!$K$6="Português",$C24,$B24)</f>
        <v xml:space="preserve">Etapa média (em Km) </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F24" s="30">
        <v>905.17820401578979</v>
      </c>
      <c r="AG24" s="30">
        <v>1006.4185067904208</v>
      </c>
      <c r="AH24" s="30">
        <v>1049.6013792614256</v>
      </c>
      <c r="AI24" s="30">
        <v>680.92223337283599</v>
      </c>
      <c r="AJ24" s="11">
        <v>1057.382228820582</v>
      </c>
      <c r="AK24" s="11">
        <v>1105.1551326573897</v>
      </c>
      <c r="AL24" s="11">
        <v>1158.6732747646026</v>
      </c>
      <c r="AM24" s="86"/>
      <c r="AN24" s="86"/>
    </row>
    <row r="25" spans="1:40">
      <c r="A25" s="12"/>
      <c r="B25" s="12" t="s">
        <v>275</v>
      </c>
      <c r="C25" s="12" t="s">
        <v>47</v>
      </c>
      <c r="D25" s="20" t="str">
        <f>IF('Índice IFRS 16 | Index IFRS 16'!$K$6="Português",$C25,$B25)</f>
        <v>CASK (centavos)</v>
      </c>
      <c r="E25" s="62">
        <v>25.492039824255261</v>
      </c>
      <c r="F25" s="124">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5">
        <v>33.907973645722961</v>
      </c>
      <c r="U25" s="135">
        <v>34.448812567204243</v>
      </c>
      <c r="V25" s="135">
        <v>38.890207970693524</v>
      </c>
      <c r="W25" s="135">
        <v>38.391141291700926</v>
      </c>
      <c r="X25" s="135">
        <v>37.682477486583821</v>
      </c>
      <c r="Y25" s="135">
        <v>37.188165394024423</v>
      </c>
      <c r="Z25" s="135">
        <v>34.81</v>
      </c>
      <c r="AA25" s="135">
        <v>34.270000000000003</v>
      </c>
      <c r="AB25" s="135">
        <v>37.35</v>
      </c>
      <c r="AC25" s="135">
        <v>35.01</v>
      </c>
      <c r="AD25" s="135">
        <v>34.18</v>
      </c>
      <c r="AF25" s="62">
        <v>-25.532252240537652</v>
      </c>
      <c r="AG25" s="62">
        <v>-26.018404487865048</v>
      </c>
      <c r="AH25" s="62">
        <v>-26.237356119627531</v>
      </c>
      <c r="AI25" s="62">
        <v>-35.572454372676354</v>
      </c>
      <c r="AJ25" s="135">
        <v>31.633841958015456</v>
      </c>
      <c r="AK25" s="135">
        <v>37.424487110678236</v>
      </c>
      <c r="AL25" s="135">
        <v>35.891994968996762</v>
      </c>
      <c r="AM25" s="86"/>
      <c r="AN25" s="86"/>
    </row>
    <row r="26" spans="1:40">
      <c r="A26" s="12"/>
      <c r="B26" s="12" t="s">
        <v>276</v>
      </c>
      <c r="C26" s="12" t="s">
        <v>48</v>
      </c>
      <c r="D26" s="20" t="str">
        <f>IF('Índice IFRS 16 | Index IFRS 16'!$K$6="Português",$C26,$B26)</f>
        <v>CASK ex-fuel (centavos)</v>
      </c>
      <c r="E26" s="62">
        <v>17.436308895527635</v>
      </c>
      <c r="F26" s="124">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5">
        <v>21.518838522695177</v>
      </c>
      <c r="U26" s="135">
        <v>21.331105954340465</v>
      </c>
      <c r="V26" s="135">
        <v>21.456789657102121</v>
      </c>
      <c r="W26" s="135">
        <v>20.024897417897755</v>
      </c>
      <c r="X26" s="135">
        <v>20.672319121754793</v>
      </c>
      <c r="Y26" s="135">
        <v>21.692088930796167</v>
      </c>
      <c r="Z26" s="135">
        <v>22.15</v>
      </c>
      <c r="AA26" s="135">
        <v>22.43</v>
      </c>
      <c r="AB26" s="135">
        <v>23.72</v>
      </c>
      <c r="AC26" s="135">
        <v>22.79</v>
      </c>
      <c r="AD26" s="135">
        <v>21.6</v>
      </c>
      <c r="AF26" s="62">
        <v>-18.227125954388772</v>
      </c>
      <c r="AG26" s="62">
        <v>-17.009915932867976</v>
      </c>
      <c r="AH26" s="62">
        <v>-17.634754905713255</v>
      </c>
      <c r="AI26" s="62">
        <v>-28.174681838999192</v>
      </c>
      <c r="AJ26" s="135">
        <v>21.256031531203647</v>
      </c>
      <c r="AK26" s="135">
        <v>20.846972817131217</v>
      </c>
      <c r="AL26" s="135">
        <v>22.506382456151865</v>
      </c>
      <c r="AM26" s="86"/>
      <c r="AN26" s="86"/>
    </row>
    <row r="27" spans="1:40">
      <c r="A27" s="12"/>
      <c r="B27" s="12" t="s">
        <v>277</v>
      </c>
      <c r="C27" s="12" t="s">
        <v>94</v>
      </c>
      <c r="D27" s="20" t="str">
        <f>IF('Índice IFRS 16 | Index IFRS 16'!$K$6="Português",$C27,$B27)</f>
        <v>Funcionários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F27" s="32">
        <v>10878</v>
      </c>
      <c r="AG27" s="32">
        <v>11807</v>
      </c>
      <c r="AH27" s="32">
        <v>13189</v>
      </c>
      <c r="AI27" s="32">
        <v>11107.8744239631</v>
      </c>
      <c r="AJ27" s="11">
        <v>12485</v>
      </c>
      <c r="AK27" s="11">
        <v>13542.980000000009</v>
      </c>
      <c r="AL27" s="11">
        <v>15248</v>
      </c>
      <c r="AM27" s="86"/>
      <c r="AN27" s="86"/>
    </row>
    <row r="28" spans="1:40">
      <c r="A28" s="12"/>
      <c r="B28" s="12" t="s">
        <v>278</v>
      </c>
      <c r="C28" s="12" t="s">
        <v>51</v>
      </c>
      <c r="D28" s="20" t="str">
        <f>IF('Índice IFRS 16 | Index IFRS 16'!$K$6="Português",$C28,$B28)</f>
        <v>Combustível de aviação  (milhares litros)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F28" s="98">
        <v>939908.05538894481</v>
      </c>
      <c r="AG28" s="98">
        <v>1035816.31932764</v>
      </c>
      <c r="AH28" s="32">
        <v>1203485.7993027482</v>
      </c>
      <c r="AI28" s="32">
        <v>650535.91474057012</v>
      </c>
      <c r="AJ28" s="11">
        <v>979761.53857623099</v>
      </c>
      <c r="AK28" s="11">
        <v>1206925.1601266372</v>
      </c>
      <c r="AL28" s="11">
        <v>1291296.659</v>
      </c>
      <c r="AM28" s="86"/>
      <c r="AN28" s="86"/>
    </row>
    <row r="29" spans="1:40">
      <c r="A29" s="12"/>
      <c r="B29" s="12" t="s">
        <v>279</v>
      </c>
      <c r="C29" s="12" t="s">
        <v>50</v>
      </c>
      <c r="D29" s="20" t="str">
        <f>IF('Índice IFRS 16 | Index IFRS 16'!$K$6="Português",$C29,$B29)</f>
        <v>Preço médio / litro</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59"/>
      <c r="AF29" s="62">
        <v>1.96635722973477</v>
      </c>
      <c r="AG29" s="62">
        <v>2.55282809380375</v>
      </c>
      <c r="AH29" s="62">
        <v>2.5638881670125899</v>
      </c>
      <c r="AI29" s="62">
        <v>2.3192416680048802</v>
      </c>
      <c r="AJ29" s="27">
        <v>3.3245058840882122</v>
      </c>
      <c r="AK29" s="27">
        <v>5.4363669072169758</v>
      </c>
      <c r="AL29" s="27">
        <v>4.5616822121739879</v>
      </c>
      <c r="AM29" s="86"/>
      <c r="AN29" s="86"/>
    </row>
    <row r="30" spans="1:40">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F30" s="229"/>
      <c r="AG30" s="229"/>
      <c r="AH30" s="229"/>
      <c r="AI30" s="229"/>
      <c r="AJ30" s="230"/>
      <c r="AK30" s="230"/>
      <c r="AL30" s="230"/>
      <c r="AM30" s="86"/>
      <c r="AN30" s="86"/>
    </row>
    <row r="31" spans="1:40" ht="15" thickBot="1">
      <c r="A31" s="7"/>
      <c r="B31" s="7" t="s">
        <v>280</v>
      </c>
      <c r="C31" s="7" t="s">
        <v>115</v>
      </c>
      <c r="D31" s="61" t="str">
        <f>IF('Índice IFRS 16 | Index IFRS 16'!$K$6="Português",$C31,$B31)</f>
        <v>Passageiros (milhares)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F31" s="76">
        <v>22014.008999999998</v>
      </c>
      <c r="AG31" s="76">
        <v>23122.44</v>
      </c>
      <c r="AH31" s="76">
        <v>27674.246999999999</v>
      </c>
      <c r="AI31" s="76">
        <v>14796.044</v>
      </c>
      <c r="AJ31" s="76">
        <v>23311.416000000001</v>
      </c>
      <c r="AK31" s="76">
        <v>27485.368999999999</v>
      </c>
      <c r="AL31" s="76">
        <v>29277.727999999999</v>
      </c>
      <c r="AM31" s="86"/>
      <c r="AN31" s="86"/>
    </row>
    <row r="32" spans="1:40">
      <c r="R32" s="75"/>
      <c r="S32" s="75"/>
      <c r="AM32" s="86"/>
      <c r="AN32" s="86"/>
    </row>
    <row r="33" spans="1:40">
      <c r="A33" s="7"/>
      <c r="B33" s="5" t="s">
        <v>191</v>
      </c>
      <c r="C33" s="5" t="s">
        <v>127</v>
      </c>
      <c r="D33" s="77" t="str">
        <f>IF('Índice IFRS 16 | Index IFRS 16'!$K$6="Português",$C33,$B33)</f>
        <v>¹ 2018 ajustado por itens não recorrentes relacionados com a perda na venda de aeronaves de R$226,3 milhões.</v>
      </c>
      <c r="AM33" s="86"/>
      <c r="AN33" s="86"/>
    </row>
    <row r="34" spans="1:40">
      <c r="A34" s="7"/>
      <c r="B34" s="5" t="s">
        <v>192</v>
      </c>
      <c r="C34" s="5" t="s">
        <v>128</v>
      </c>
      <c r="D34" s="77" t="str">
        <f>IF('Índice IFRS 16 | Index IFRS 16'!$K$6="Português",$C34,$B34)</f>
        <v>² 2019 ajustado por itens não recorrentes de R$3,2 bilhões, principalmente devido ao impairment associado ao subarrendamento dos E1s.</v>
      </c>
      <c r="AM34" s="86"/>
      <c r="AN34" s="86"/>
    </row>
    <row r="35" spans="1:40">
      <c r="A35" s="7"/>
      <c r="B35" s="5" t="s">
        <v>193</v>
      </c>
      <c r="C35" s="5" t="s">
        <v>357</v>
      </c>
      <c r="D35" s="77" t="str">
        <f>IF('Índice IFRS 16 | Index IFRS 16'!$K$6="Português",$C35,$B35)</f>
        <v>³ Ajustado para itens não recorrentes totalizando R$14,8 milhões no 1T20.</v>
      </c>
      <c r="AM35" s="86"/>
    </row>
    <row r="36" spans="1:40">
      <c r="B36" s="5" t="s">
        <v>194</v>
      </c>
      <c r="C36" s="5" t="s">
        <v>158</v>
      </c>
      <c r="D36" s="77" t="str">
        <f>IF('Índice IFRS 16 | Index IFRS 16'!$K$6="Português",$C36,$B36)</f>
        <v>⁴ Ajustado para eventos não recorrentes de R$203,6milhões no 2T20 registrados em outras despesas, composto por indenizações, custos de acomodação de passageiros e taxas de consultoria, resultantes da crise de COVID-19.</v>
      </c>
      <c r="AM36" s="86"/>
    </row>
    <row r="37" spans="1:40">
      <c r="B37" s="5" t="s">
        <v>195</v>
      </c>
      <c r="C37" s="136" t="s">
        <v>358</v>
      </c>
      <c r="D37" s="77" t="str">
        <f>IF('Índice IFRS 16 | Index IFRS 16'!$K$6="Português",$C37,$B37)</f>
        <v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v>
      </c>
      <c r="AM37" s="86"/>
    </row>
    <row r="38" spans="1:40">
      <c r="B38" s="5" t="s">
        <v>715</v>
      </c>
      <c r="C38" s="136" t="s">
        <v>359</v>
      </c>
      <c r="D38" s="77" t="str">
        <f>IF('Índice IFRS 16 | Index IFRS 16'!$K$6="Português",$C38,$B38)</f>
        <v>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v>
      </c>
      <c r="AM38" s="86"/>
    </row>
    <row r="39" spans="1:40">
      <c r="B39" s="5" t="s">
        <v>719</v>
      </c>
      <c r="C39" s="136" t="s">
        <v>360</v>
      </c>
      <c r="D39" s="77" t="str">
        <f>IF('Índice IFRS 16 | Index IFRS 16'!$K$6="Português",$C39,$B39)</f>
        <v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v>
      </c>
      <c r="AM39" s="86"/>
    </row>
    <row r="40" spans="1:40">
      <c r="B40" s="5" t="s">
        <v>196</v>
      </c>
      <c r="C40" s="136" t="s">
        <v>354</v>
      </c>
      <c r="D40" s="77" t="str">
        <f>IF('Índice IFRS 16 | Index IFRS 16'!$K$6="Português",$C40,$B40)</f>
        <v>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v>
      </c>
      <c r="AM40" s="86"/>
    </row>
    <row r="41" spans="1:40">
      <c r="B41" s="5" t="s">
        <v>197</v>
      </c>
      <c r="C41" s="5" t="s">
        <v>355</v>
      </c>
      <c r="D41" s="77" t="str">
        <f>IF('Índice IFRS 16 | Index IFRS 16'!$K$6="Português",$C41,$B41)</f>
        <v>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v>
      </c>
      <c r="AM41" s="86"/>
    </row>
    <row r="42" spans="1:40">
      <c r="B42" s="5" t="s">
        <v>361</v>
      </c>
      <c r="C42" s="5" t="s">
        <v>356</v>
      </c>
      <c r="D42" s="77" t="str">
        <f>IF('Índice IFRS 16 | Index IFRS 16'!$K$6="Português",$C42,$B42)</f>
        <v>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v>
      </c>
      <c r="AM42" s="86"/>
    </row>
    <row r="43" spans="1:40">
      <c r="B43" s="5" t="s">
        <v>364</v>
      </c>
      <c r="C43" s="5" t="s">
        <v>365</v>
      </c>
      <c r="D43" s="77" t="str">
        <f>IF('Índice IFRS 16 | Index IFRS 16'!$K$6="Português",$C43,$B43)</f>
        <v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v>
      </c>
      <c r="AM43" s="86"/>
    </row>
    <row r="44" spans="1:40">
      <c r="B44" s="5" t="s">
        <v>369</v>
      </c>
      <c r="C44" s="5" t="s">
        <v>370</v>
      </c>
      <c r="D44" s="77" t="str">
        <f>IF('Índice IFRS 16 | Index IFRS 16'!$K$6="Português",$C44,$B44)</f>
        <v>¹²Os resultados operacionais foram ajustados para itens não recorrentes totalizando R$220,5 milhões no 1T22.</v>
      </c>
      <c r="AM44" s="86"/>
    </row>
    <row r="45" spans="1:40">
      <c r="B45" s="5" t="s">
        <v>698</v>
      </c>
      <c r="C45" s="5" t="s">
        <v>699</v>
      </c>
      <c r="D45" s="77" t="str">
        <f>IF('Índice IFRS 16 | Index IFRS 16'!$K$6="Português",$C45,$B45)</f>
        <v>¹³Os resultados operacionais foram ajustados para itens não recorrentes</v>
      </c>
    </row>
    <row r="46" spans="1:40">
      <c r="B46" t="s">
        <v>702</v>
      </c>
      <c r="C46" t="s">
        <v>703</v>
      </c>
      <c r="D46" s="77" t="str">
        <f>IF('Índice IFRS 16 | Index IFRS 16'!$K$6="Português",$C46,$B46)</f>
        <v xml:space="preserve">¹⁴ Os resultados operacionais foram ajustados no 3T22 para itens não recorrentes registrados em outras despesas líquidas de R$52,6 milhões. </v>
      </c>
    </row>
    <row r="47" spans="1:40">
      <c r="B47" s="5" t="s">
        <v>705</v>
      </c>
      <c r="C47" s="5" t="s">
        <v>707</v>
      </c>
      <c r="D47" s="77" t="str">
        <f>IF('Índice IFRS 16 | Index IFRS 16'!$K$6="Português",$C47,$B47)</f>
        <v>¹⁵ Os resultados operacionais foram ajustados para itens não recorrentes totalizando um ganho líquido de R$567,0 milhões no 4T22, principalmente devido a reversão parcial do impairment do E1 e de outros itens relacionados às aeronaves</v>
      </c>
    </row>
    <row r="48" spans="1:40">
      <c r="B48" s="5" t="s">
        <v>709</v>
      </c>
      <c r="C48" s="5" t="s">
        <v>708</v>
      </c>
      <c r="D48" s="77" t="str">
        <f>IF('Índice IFRS 16 | Index IFRS 16'!$K$6="Português",$C48,$B48)</f>
        <v>¹⁶ Os resultados operacionais em 2021 foram ajustados para itens não recorrentes totalizando um ganho líquido de R$7,8 milhões.</v>
      </c>
    </row>
    <row r="49" spans="2:22">
      <c r="B49" s="5" t="s">
        <v>710</v>
      </c>
      <c r="C49" s="5" t="s">
        <v>711</v>
      </c>
      <c r="D49" s="77" t="str">
        <f>IF('Índice IFRS 16 | Index IFRS 16'!$K$6="Português",$C49,$B49)</f>
        <v>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v>
      </c>
    </row>
    <row r="50" spans="2:22">
      <c r="B50" s="5" t="s">
        <v>717</v>
      </c>
      <c r="C50" s="5" t="s">
        <v>718</v>
      </c>
      <c r="D50" s="77" t="str">
        <f>IF('Índice IFRS 16 | Index IFRS 16'!$K$6="Português",$C50,$B50)</f>
        <v>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v>
      </c>
      <c r="R50" s="2"/>
      <c r="S50" s="2"/>
      <c r="T50" s="2"/>
      <c r="U50" s="2"/>
      <c r="V50" s="2"/>
    </row>
    <row r="51" spans="2:22">
      <c r="B51" s="5" t="s">
        <v>726</v>
      </c>
      <c r="C51" s="5" t="s">
        <v>727</v>
      </c>
      <c r="D51" s="77" t="str">
        <f>IF('Índice IFRS 16 | Index IFRS 16'!$K$6="Português",$C51,$B51)</f>
        <v>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v>
      </c>
      <c r="R51" s="2"/>
      <c r="S51" s="2"/>
      <c r="T51" s="2"/>
      <c r="U51" s="2"/>
      <c r="V51" s="2"/>
    </row>
    <row r="52" spans="2:22">
      <c r="B52" s="5" t="s">
        <v>732</v>
      </c>
      <c r="C52" s="5" t="s">
        <v>743</v>
      </c>
      <c r="D52" s="77" t="str">
        <f>IF('Índice IFRS 16 | Index IFRS 16'!$K$6="Português",$C52,$B52)</f>
        <v>²⁰ Os resultados operacionais foram ajustados para itens não recorrentes totalizando R$290,6 milhões relacionados ao plano de otimização de capital, além de outras despesas relacionadas à reestruturação.</v>
      </c>
      <c r="R52" s="2"/>
      <c r="S52" s="2"/>
      <c r="T52" s="2"/>
      <c r="U52" s="2"/>
      <c r="V52" s="2"/>
    </row>
    <row r="53" spans="2:22">
      <c r="B53" s="5" t="s">
        <v>745</v>
      </c>
      <c r="C53" s="5" t="s">
        <v>746</v>
      </c>
      <c r="D53" s="77" t="str">
        <f>IF('Índice IFRS 16 | Index IFRS 16'!$K$6="Português",$C53,$B53)</f>
        <v>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v>
      </c>
    </row>
    <row r="54" spans="2:22">
      <c r="B54" s="5" t="s">
        <v>748</v>
      </c>
      <c r="C54" s="5" t="s">
        <v>747</v>
      </c>
      <c r="D54" s="77" t="str">
        <f>IF('Índice IFRS 16 | Index IFRS 16'!$K$6="Português",$C54,$B54)</f>
        <v>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H111"/>
  <sheetViews>
    <sheetView showGridLines="0" zoomScaleNormal="100" workbookViewId="0">
      <pane xSplit="4" ySplit="7" topLeftCell="E8" activePane="bottomRight" state="frozen"/>
      <selection activeCell="F2" sqref="F2"/>
      <selection pane="topRight" activeCell="F2" sqref="F2"/>
      <selection pane="bottomLeft" activeCell="F2" sqref="F2"/>
      <selection pane="bottomRight" activeCell="AH21" sqref="AH21"/>
    </sheetView>
  </sheetViews>
  <sheetFormatPr defaultColWidth="8.6640625" defaultRowHeight="14.4"/>
  <cols>
    <col min="1" max="1" width="3.5546875" style="99" customWidth="1"/>
    <col min="2" max="3" width="3.5546875" style="99" hidden="1" customWidth="1"/>
    <col min="4" max="4" width="67" style="99" customWidth="1"/>
    <col min="5" max="21" width="9.33203125" style="99" hidden="1" customWidth="1"/>
    <col min="22" max="22" width="0" style="99" hidden="1" customWidth="1"/>
    <col min="23" max="23" width="9.44140625" style="99" bestFit="1" customWidth="1"/>
    <col min="24" max="25" width="9.33203125" style="99" bestFit="1" customWidth="1"/>
    <col min="26" max="26" width="9.6640625" style="99" bestFit="1" customWidth="1"/>
    <col min="27" max="29" width="11.44140625" style="99" bestFit="1" customWidth="1"/>
    <col min="30" max="30" width="8.6640625" style="99"/>
    <col min="31" max="32" width="9.33203125" style="99" customWidth="1"/>
    <col min="33" max="16384" width="8.6640625" style="99"/>
  </cols>
  <sheetData>
    <row r="1" spans="2:34" s="161" customFormat="1" ht="15" hidden="1" thickBot="1">
      <c r="D1" s="162"/>
      <c r="E1" s="118" t="s">
        <v>333</v>
      </c>
      <c r="F1" s="118" t="s">
        <v>334</v>
      </c>
      <c r="G1" s="118" t="s">
        <v>335</v>
      </c>
      <c r="H1" s="118" t="s">
        <v>336</v>
      </c>
      <c r="I1" s="118" t="s">
        <v>337</v>
      </c>
      <c r="J1" s="118" t="s">
        <v>329</v>
      </c>
      <c r="K1" s="118" t="s">
        <v>338</v>
      </c>
      <c r="L1" s="118" t="s">
        <v>339</v>
      </c>
      <c r="M1" s="118" t="s">
        <v>367</v>
      </c>
      <c r="N1" s="118" t="s">
        <v>740</v>
      </c>
      <c r="O1" s="118" t="s">
        <v>700</v>
      </c>
      <c r="P1" s="118" t="s">
        <v>714</v>
      </c>
      <c r="Q1" s="118" t="s">
        <v>725</v>
      </c>
      <c r="R1" s="118" t="s">
        <v>733</v>
      </c>
      <c r="S1" s="118" t="s">
        <v>742</v>
      </c>
      <c r="T1" s="118" t="s">
        <v>749</v>
      </c>
      <c r="U1" s="118" t="s">
        <v>750</v>
      </c>
      <c r="V1" s="119"/>
      <c r="W1" s="118">
        <v>2017</v>
      </c>
      <c r="X1" s="104">
        <v>2018</v>
      </c>
      <c r="Y1" s="104">
        <v>2019</v>
      </c>
      <c r="Z1" s="104">
        <v>2020</v>
      </c>
      <c r="AA1" s="104">
        <v>2021</v>
      </c>
      <c r="AB1" s="104">
        <v>2022</v>
      </c>
      <c r="AC1" s="104">
        <v>2023</v>
      </c>
      <c r="AE1" s="118" t="s">
        <v>367</v>
      </c>
      <c r="AF1" s="118" t="s">
        <v>329</v>
      </c>
    </row>
    <row r="2" spans="2:34">
      <c r="D2" s="101"/>
      <c r="E2" s="100"/>
      <c r="F2" s="100"/>
      <c r="G2" s="100"/>
      <c r="AH2" s="161"/>
    </row>
    <row r="3" spans="2:34">
      <c r="D3" s="101"/>
      <c r="E3" s="100"/>
      <c r="F3" s="100"/>
      <c r="G3" s="100"/>
    </row>
    <row r="4" spans="2:34">
      <c r="D4" s="168" t="str">
        <f>IF('Índice IFRS 16 | Index IFRS 16'!$K$6="Português","Menu","Home")</f>
        <v>Menu</v>
      </c>
      <c r="E4" s="100"/>
      <c r="F4" s="100"/>
      <c r="G4" s="100"/>
    </row>
    <row r="5" spans="2:34">
      <c r="D5" s="101"/>
      <c r="E5" s="100"/>
      <c r="F5" s="100"/>
      <c r="G5" s="100"/>
    </row>
    <row r="6" spans="2:34">
      <c r="D6" s="101"/>
      <c r="E6" s="101"/>
      <c r="F6" s="101"/>
      <c r="G6" s="101"/>
      <c r="H6" s="102"/>
      <c r="I6" s="102"/>
      <c r="J6" s="102"/>
      <c r="K6" s="102"/>
      <c r="L6" s="102"/>
      <c r="M6" s="102"/>
      <c r="N6" s="102"/>
      <c r="O6" s="102"/>
      <c r="P6" s="102"/>
      <c r="Q6" s="102"/>
      <c r="R6" s="102"/>
      <c r="S6" s="102"/>
      <c r="T6" s="102"/>
      <c r="U6" s="102"/>
    </row>
    <row r="7" spans="2:34" ht="15" thickBot="1">
      <c r="B7" s="99" t="s">
        <v>643</v>
      </c>
      <c r="C7" s="99" t="s">
        <v>642</v>
      </c>
      <c r="D7" s="103" t="str">
        <f>IF('Índice IFRS 16 | Index IFRS 16'!$K$6="Português",$C7,$B7)</f>
        <v>Indicadores Ambientais, Sociais e de Governança ⁷</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1T21</v>
      </c>
      <c r="K7" s="118" t="str">
        <f>IF('Índice IFRS 16 | Index IFRS 16'!$K$6="Português",K$1,SUBSTITUTE(K$1,"T","Q"))</f>
        <v>1S21</v>
      </c>
      <c r="L7" s="118" t="str">
        <f>IF('Índice IFRS 16 | Index IFRS 16'!$K$6="Português",L$1,SUBSTITUTE(L$1,"T","Q"))</f>
        <v>9M21</v>
      </c>
      <c r="M7" s="118" t="str">
        <f>IF('Índice IFRS 16 | Index IFRS 16'!$K$6="Português",M$1,SUBSTITUTE(M$1,"T","Q"))</f>
        <v>1T22</v>
      </c>
      <c r="N7" s="118" t="str">
        <f>IF('Índice IFRS 16 | Index IFRS 16'!$K$6="Português",N$1,SUBSTITUTE(N$1,"T","Q"))</f>
        <v>2Q22</v>
      </c>
      <c r="O7" s="118" t="str">
        <f>IF('Índice IFRS 16 | Index IFRS 16'!$K$6="Português",O$1,SUBSTITUTE(O$1,"T","Q"))</f>
        <v>3T22</v>
      </c>
      <c r="P7" s="118" t="str">
        <f>IF('Índice IFRS 16 | Index IFRS 16'!$K$6="Português",P$1,SUBSTITUTE(P$1,"T","Q"))</f>
        <v>1T23</v>
      </c>
      <c r="Q7" s="118" t="str">
        <f>IF('Índice IFRS 16 | Index IFRS 16'!$K$6="Português",Q$1,SUBSTITUTE(Q$1,"T","Q"))</f>
        <v>2T23</v>
      </c>
      <c r="R7" s="118" t="str">
        <f>IF('Índice IFRS 16 | Index IFRS 16'!$K$6="Português",R$1,SUBSTITUTE(R$1,"T","Q"))</f>
        <v>3T23</v>
      </c>
      <c r="S7" s="118" t="str">
        <f>IF('Índice IFRS 16 | Index IFRS 16'!$K$6="Português",S$1,SUBSTITUTE(S$1,"T","Q"))</f>
        <v>4T23</v>
      </c>
      <c r="T7" s="118" t="str">
        <f>IF('Índice IFRS 16 | Index IFRS 16'!$K$6="Português",T$1,SUBSTITUTE(T$1,"T","Q"))</f>
        <v>1T24</v>
      </c>
      <c r="U7" s="118" t="str">
        <f>IF('Índice IFRS 16 | Index IFRS 16'!$K$6="Português",U$1,SUBSTITUTE(U$1,"T","Q"))</f>
        <v>2T24</v>
      </c>
      <c r="V7" s="119"/>
      <c r="W7" s="118">
        <f>IF('Índice IFRS 16 | Index IFRS 16'!$K$6="Português",W$1,SUBSTITUTE(W$1,"T","Q"))</f>
        <v>2017</v>
      </c>
      <c r="X7" s="104">
        <f>IF('Índice IFRS 16 | Index IFRS 16'!$K$6="Português",X$1,SUBSTITUTE(X$1,"T","Q"))</f>
        <v>2018</v>
      </c>
      <c r="Y7" s="104">
        <f>IF('Índice IFRS 16 | Index IFRS 16'!$K$6="Português",Y$1,SUBSTITUTE(Y$1,"T","Q"))</f>
        <v>2019</v>
      </c>
      <c r="Z7" s="104">
        <f>IF('Índice IFRS 16 | Index IFRS 16'!$K$6="Português",Z$1,SUBSTITUTE(Z$1,"T","Q"))</f>
        <v>2020</v>
      </c>
      <c r="AA7" s="104">
        <f>IF('Índice IFRS 16 | Index IFRS 16'!$K$6="Português",AA$1,SUBSTITUTE(AA$1,"T","Q"))</f>
        <v>2021</v>
      </c>
      <c r="AB7" s="104">
        <f>IF('Índice IFRS 16 | Index IFRS 16'!$K$6="Português",AB$1,SUBSTITUTE(AB$1,"T","Q"))</f>
        <v>2022</v>
      </c>
      <c r="AC7" s="104">
        <f>IF('Índice IFRS 16 | Index IFRS 16'!$K$6="Português",AC$1,SUBSTITUTE(AC$1,"T","Q"))</f>
        <v>2023</v>
      </c>
    </row>
    <row r="8" spans="2:34">
      <c r="B8" s="201" t="s">
        <v>281</v>
      </c>
      <c r="C8" s="201" t="s">
        <v>132</v>
      </c>
      <c r="D8" s="105" t="str">
        <f>IF('Índice IFRS 16 | Index IFRS 16'!$K$6="Português",$C8,$B8)</f>
        <v>Meio Ambiente</v>
      </c>
      <c r="E8" s="106"/>
      <c r="F8" s="106"/>
      <c r="G8" s="106"/>
      <c r="H8" s="106"/>
      <c r="I8" s="106"/>
      <c r="J8" s="106"/>
      <c r="K8" s="106"/>
      <c r="L8" s="106"/>
      <c r="M8" s="106"/>
      <c r="N8" s="106"/>
      <c r="O8" s="106"/>
      <c r="P8" s="106"/>
      <c r="Q8" s="106"/>
      <c r="R8" s="106"/>
      <c r="S8" s="106"/>
      <c r="T8" s="106"/>
      <c r="U8" s="106"/>
      <c r="V8" s="119"/>
      <c r="W8" s="106"/>
      <c r="X8" s="106"/>
      <c r="Y8" s="106"/>
      <c r="Z8" s="106"/>
      <c r="AA8" s="106"/>
      <c r="AB8" s="106"/>
      <c r="AC8" s="106"/>
    </row>
    <row r="9" spans="2:34" ht="5.0999999999999996" customHeight="1">
      <c r="B9" s="201"/>
      <c r="C9" s="201"/>
      <c r="D9" s="107"/>
      <c r="E9" s="101"/>
      <c r="F9" s="101"/>
      <c r="G9" s="101"/>
      <c r="H9" s="101"/>
      <c r="I9" s="101"/>
      <c r="J9" s="101"/>
      <c r="K9" s="101"/>
      <c r="L9" s="101"/>
      <c r="M9" s="101"/>
      <c r="N9" s="101"/>
      <c r="O9" s="101"/>
      <c r="P9" s="101"/>
      <c r="Q9" s="101"/>
      <c r="R9" s="101"/>
      <c r="S9" s="101"/>
      <c r="T9" s="101"/>
      <c r="U9" s="101"/>
      <c r="V9" s="119"/>
      <c r="W9" s="101"/>
      <c r="X9" s="101"/>
      <c r="Y9" s="101"/>
      <c r="Z9" s="101"/>
      <c r="AA9" s="101"/>
      <c r="AB9" s="101"/>
      <c r="AC9" s="101"/>
    </row>
    <row r="10" spans="2:34">
      <c r="B10" s="201" t="s">
        <v>282</v>
      </c>
      <c r="C10" s="201" t="s">
        <v>133</v>
      </c>
      <c r="D10" s="108" t="str">
        <f>IF('Índice IFRS 16 | Index IFRS 16'!$K$6="Português",$C10,$B10)</f>
        <v>Combustível</v>
      </c>
      <c r="E10" s="109"/>
      <c r="F10" s="109"/>
      <c r="G10" s="109"/>
      <c r="H10" s="109"/>
      <c r="I10" s="109"/>
      <c r="J10" s="109"/>
      <c r="K10" s="109"/>
      <c r="L10" s="109"/>
      <c r="M10" s="109"/>
      <c r="N10" s="109"/>
      <c r="O10" s="109"/>
      <c r="P10" s="109"/>
      <c r="Q10" s="109"/>
      <c r="R10" s="109"/>
      <c r="S10" s="109"/>
      <c r="T10" s="109"/>
      <c r="U10" s="109"/>
      <c r="V10" s="120"/>
      <c r="W10" s="109"/>
      <c r="X10" s="109"/>
      <c r="Y10" s="109"/>
      <c r="Z10" s="109"/>
      <c r="AA10" s="109"/>
      <c r="AB10" s="109"/>
      <c r="AC10" s="109"/>
    </row>
    <row r="11" spans="2:34">
      <c r="B11" s="201" t="s">
        <v>283</v>
      </c>
      <c r="C11" s="201" t="s">
        <v>134</v>
      </c>
      <c r="D11" s="111" t="str">
        <f>IF('Índice IFRS 16 | Index IFRS 16'!$K$6="Português",$C11,$B11)</f>
        <v>Combustível consumido por ASK (Kg / ASK, milhares)</v>
      </c>
      <c r="E11" s="112">
        <v>1334.7726962595818</v>
      </c>
      <c r="F11" s="112">
        <v>1290.4575435919585</v>
      </c>
      <c r="G11" s="112">
        <v>1269.8559708365508</v>
      </c>
      <c r="H11" s="112">
        <v>1204.2748246031854</v>
      </c>
      <c r="I11" s="112">
        <v>1198.8683113055004</v>
      </c>
      <c r="J11" s="112">
        <v>1156.5999999999999</v>
      </c>
      <c r="K11" s="130">
        <v>1172.8192345711057</v>
      </c>
      <c r="L11" s="130">
        <v>1170.8263346364583</v>
      </c>
      <c r="M11" s="178">
        <v>1156.2271877375272</v>
      </c>
      <c r="N11" s="130">
        <v>1150.9216519788811</v>
      </c>
      <c r="O11" s="130">
        <v>1140.2725477027966</v>
      </c>
      <c r="P11" s="178">
        <v>1107.809925256651</v>
      </c>
      <c r="Q11" s="178">
        <v>1107.6920937493519</v>
      </c>
      <c r="R11" s="178">
        <v>1096</v>
      </c>
      <c r="S11" s="178">
        <v>1098.0302345048988</v>
      </c>
      <c r="T11" s="178">
        <v>1079.42803240846</v>
      </c>
      <c r="U11" s="178">
        <v>1085.2</v>
      </c>
      <c r="V11" s="114"/>
      <c r="W11" s="112">
        <v>1397.5904076785096</v>
      </c>
      <c r="X11" s="112">
        <v>1325.5357172654367</v>
      </c>
      <c r="Y11" s="112">
        <v>1260.6261692854096</v>
      </c>
      <c r="Z11" s="112">
        <v>1198.4000000000001</v>
      </c>
      <c r="AA11" s="112">
        <v>1172.4563321179926</v>
      </c>
      <c r="AB11" s="112">
        <v>1145.5053386207649</v>
      </c>
      <c r="AC11" s="112">
        <v>1102.2996981368817</v>
      </c>
    </row>
    <row r="12" spans="2:34">
      <c r="B12" s="201" t="s">
        <v>284</v>
      </c>
      <c r="C12" s="201" t="s">
        <v>135</v>
      </c>
      <c r="D12" s="121" t="str">
        <f>IF('Índice IFRS 16 | Index IFRS 16'!$K$6="Português",$C12,$B12)</f>
        <v>Combustível consumido (GJ x 1000)</v>
      </c>
      <c r="E12" s="112">
        <v>18990</v>
      </c>
      <c r="F12" s="112">
        <v>21252</v>
      </c>
      <c r="G12" s="112">
        <v>33247.226469331865</v>
      </c>
      <c r="H12" s="112">
        <v>12890</v>
      </c>
      <c r="I12" s="112">
        <v>16716.546763350136</v>
      </c>
      <c r="J12" s="112">
        <v>8291</v>
      </c>
      <c r="K12" s="125">
        <v>15567.4</v>
      </c>
      <c r="L12" s="125">
        <v>25682</v>
      </c>
      <c r="M12" s="125">
        <v>10479.841141952616</v>
      </c>
      <c r="N12" s="133">
        <v>11211.139180730359</v>
      </c>
      <c r="O12" s="133">
        <v>11800.329327236015</v>
      </c>
      <c r="P12" s="125">
        <v>11963.101427276584</v>
      </c>
      <c r="Q12" s="125">
        <v>11700.88907236307</v>
      </c>
      <c r="R12" s="125">
        <v>12651</v>
      </c>
      <c r="S12" s="125">
        <v>12193.249498744624</v>
      </c>
      <c r="T12" s="125">
        <v>11957.046845553961</v>
      </c>
      <c r="U12" s="125">
        <v>11849</v>
      </c>
      <c r="V12" s="114"/>
      <c r="W12" s="112">
        <v>35359</v>
      </c>
      <c r="X12" s="112">
        <v>38908.440410103416</v>
      </c>
      <c r="Y12" s="112">
        <v>45216.461778258687</v>
      </c>
      <c r="Z12" s="112">
        <v>24441</v>
      </c>
      <c r="AA12" s="112">
        <v>36798</v>
      </c>
      <c r="AB12" s="112">
        <v>45338.46449557304</v>
      </c>
      <c r="AC12" s="112">
        <v>48507.90228051976</v>
      </c>
    </row>
    <row r="13" spans="2:34">
      <c r="B13" s="201" t="s">
        <v>461</v>
      </c>
      <c r="C13" s="201" t="s">
        <v>460</v>
      </c>
      <c r="D13" s="121" t="str">
        <f>IF('Índice IFRS 16 | Index IFRS 16'!$K$6="Português",$C13,$B13)</f>
        <v>Combustível por ASK (L / ASK, 100)</v>
      </c>
      <c r="E13" s="112"/>
      <c r="F13" s="112"/>
      <c r="G13" s="112"/>
      <c r="H13" s="112"/>
      <c r="I13" s="112"/>
      <c r="J13" s="112"/>
      <c r="K13" s="125"/>
      <c r="L13" s="125"/>
      <c r="M13" s="125"/>
      <c r="N13" s="125"/>
      <c r="O13" s="125"/>
      <c r="P13" s="125"/>
      <c r="Q13" s="125"/>
      <c r="R13" s="125"/>
      <c r="S13" s="125"/>
      <c r="T13" s="125"/>
      <c r="U13" s="125"/>
      <c r="V13" s="114"/>
      <c r="W13" s="184"/>
      <c r="X13" s="184">
        <v>3.3948</v>
      </c>
      <c r="Y13" s="184">
        <v>3.1917</v>
      </c>
      <c r="Z13" s="184">
        <v>2.9110999999999998</v>
      </c>
      <c r="AA13" s="184" t="s">
        <v>751</v>
      </c>
      <c r="AB13" s="184">
        <v>3.05</v>
      </c>
      <c r="AC13" s="184">
        <v>2.93</v>
      </c>
    </row>
    <row r="14" spans="2:34">
      <c r="B14" s="201" t="s">
        <v>463</v>
      </c>
      <c r="C14" s="201" t="s">
        <v>462</v>
      </c>
      <c r="D14" s="121" t="str">
        <f>IF('Índice IFRS 16 | Index IFRS 16'!$K$6="Português",$C14,$B14)</f>
        <v>Combustível /TKT (L)</v>
      </c>
      <c r="E14" s="112"/>
      <c r="F14" s="112"/>
      <c r="G14" s="112"/>
      <c r="H14" s="112"/>
      <c r="I14" s="112"/>
      <c r="J14" s="112"/>
      <c r="K14" s="125"/>
      <c r="L14" s="125"/>
      <c r="M14" s="125"/>
      <c r="N14" s="125"/>
      <c r="O14" s="125"/>
      <c r="P14" s="125"/>
      <c r="Q14" s="125"/>
      <c r="R14" s="125"/>
      <c r="S14" s="125"/>
      <c r="T14" s="125"/>
      <c r="U14" s="125"/>
      <c r="V14" s="114"/>
      <c r="W14" s="184"/>
      <c r="X14" s="184"/>
      <c r="Y14" s="184"/>
      <c r="Z14" s="184">
        <v>0.94030000000000002</v>
      </c>
      <c r="AA14" s="184" t="s">
        <v>752</v>
      </c>
      <c r="AB14" s="184">
        <v>0.26390000000000002</v>
      </c>
      <c r="AC14" s="184">
        <v>0.25559999999999999</v>
      </c>
    </row>
    <row r="15" spans="2:34">
      <c r="B15" s="201" t="s">
        <v>285</v>
      </c>
      <c r="C15" s="201" t="s">
        <v>136</v>
      </c>
      <c r="D15" s="108" t="str">
        <f>IF('Índice IFRS 16 | Index IFRS 16'!$K$6="Português",$C15,$B15)</f>
        <v>Frota</v>
      </c>
      <c r="E15" s="109"/>
      <c r="F15" s="109"/>
      <c r="G15" s="109"/>
      <c r="H15" s="109"/>
      <c r="I15" s="109"/>
      <c r="J15" s="109"/>
      <c r="K15" s="126"/>
      <c r="L15" s="126"/>
      <c r="M15" s="126"/>
      <c r="N15" s="126"/>
      <c r="O15" s="126"/>
      <c r="P15" s="126"/>
      <c r="Q15" s="126"/>
      <c r="R15" s="126"/>
      <c r="S15" s="126"/>
      <c r="T15" s="126"/>
      <c r="U15" s="126"/>
      <c r="V15" s="120"/>
      <c r="W15" s="109"/>
      <c r="X15" s="109"/>
      <c r="Y15" s="109"/>
      <c r="Z15" s="109"/>
      <c r="AA15" s="109"/>
      <c r="AB15" s="109"/>
      <c r="AC15" s="109"/>
    </row>
    <row r="16" spans="2:34" ht="14.4" customHeight="1">
      <c r="B16" s="201" t="s">
        <v>286</v>
      </c>
      <c r="C16" s="201" t="s">
        <v>137</v>
      </c>
      <c r="D16" s="111" t="str">
        <f>IF('Índice IFRS 16 | Index IFRS 16'!$K$6="Português",$C16,$B16)</f>
        <v xml:space="preserve">Idade média da frota operacional </v>
      </c>
      <c r="E16" s="112">
        <v>5.889178082191779</v>
      </c>
      <c r="F16" s="112">
        <v>5.8679754071836925</v>
      </c>
      <c r="G16" s="112">
        <v>5.9873888946983165</v>
      </c>
      <c r="H16" s="112">
        <v>5.9882866785785183</v>
      </c>
      <c r="I16" s="112">
        <v>6.303649774882655</v>
      </c>
      <c r="J16" s="112">
        <v>6.3</v>
      </c>
      <c r="K16" s="112">
        <v>6.8</v>
      </c>
      <c r="L16" s="112">
        <v>6.6</v>
      </c>
      <c r="M16" s="112">
        <v>6.9</v>
      </c>
      <c r="N16" s="112">
        <v>7.1</v>
      </c>
      <c r="O16" s="112">
        <v>7</v>
      </c>
      <c r="P16" s="112">
        <v>7.2</v>
      </c>
      <c r="Q16" s="112">
        <v>7.3</v>
      </c>
      <c r="R16" s="112">
        <v>7.3</v>
      </c>
      <c r="S16" s="112">
        <v>7.4</v>
      </c>
      <c r="T16" s="112">
        <v>7.4</v>
      </c>
      <c r="U16" s="112">
        <v>7.2282932713017987</v>
      </c>
      <c r="V16" s="114"/>
      <c r="W16" s="112">
        <v>5.6110303752233452</v>
      </c>
      <c r="X16" s="112">
        <v>5.8670676021828703</v>
      </c>
      <c r="Y16" s="112">
        <v>5.8132255839164282</v>
      </c>
      <c r="Z16" s="112">
        <v>6.9</v>
      </c>
      <c r="AA16" s="112">
        <v>6.6</v>
      </c>
      <c r="AB16" s="112">
        <v>7.1</v>
      </c>
      <c r="AC16" s="112">
        <v>7.4</v>
      </c>
    </row>
    <row r="17" spans="2:29">
      <c r="B17" s="201" t="s">
        <v>611</v>
      </c>
      <c r="C17" s="201" t="s">
        <v>612</v>
      </c>
      <c r="D17" s="108" t="str">
        <f>IF('Índice IFRS 16 | Index IFRS 16'!$K$6="Português",$C17,$B17)</f>
        <v>Outras Emissões Atmosféricas</v>
      </c>
      <c r="E17" s="109"/>
      <c r="F17" s="109"/>
      <c r="G17" s="109"/>
      <c r="H17" s="109"/>
      <c r="I17" s="109"/>
      <c r="J17" s="109"/>
      <c r="K17" s="109"/>
      <c r="L17" s="109"/>
      <c r="M17" s="109"/>
      <c r="N17" s="109"/>
      <c r="O17" s="109"/>
      <c r="P17" s="109"/>
      <c r="Q17" s="109"/>
      <c r="R17" s="109"/>
      <c r="S17" s="109"/>
      <c r="T17" s="109"/>
      <c r="U17" s="109"/>
      <c r="V17" s="120"/>
      <c r="W17" s="109"/>
      <c r="X17" s="109"/>
      <c r="Y17" s="109"/>
      <c r="Z17" s="109"/>
      <c r="AA17" s="109"/>
      <c r="AB17" s="109"/>
      <c r="AC17" s="109"/>
    </row>
    <row r="18" spans="2:29" ht="14.4" customHeight="1">
      <c r="B18" s="201" t="s">
        <v>426</v>
      </c>
      <c r="C18" s="201" t="s">
        <v>439</v>
      </c>
      <c r="D18" s="111" t="str">
        <f>IF('Índice IFRS 16 | Index IFRS 16'!$K$6="Português",$C18,$B18)</f>
        <v>Emissões de Nox por transporte de passageiros (g/ask)</v>
      </c>
      <c r="E18" s="112"/>
      <c r="F18" s="112"/>
      <c r="G18" s="112"/>
      <c r="H18" s="112"/>
      <c r="I18" s="112"/>
      <c r="J18" s="112"/>
      <c r="K18" s="112"/>
      <c r="L18" s="112"/>
      <c r="M18" s="112"/>
      <c r="N18" s="112"/>
      <c r="O18" s="112"/>
      <c r="P18" s="112"/>
      <c r="Q18" s="112"/>
      <c r="R18" s="112"/>
      <c r="S18" s="112"/>
      <c r="T18" s="112"/>
      <c r="U18" s="112"/>
      <c r="V18" s="114"/>
      <c r="W18" s="112"/>
      <c r="X18" s="182"/>
      <c r="Y18" s="182"/>
      <c r="Z18" s="182"/>
      <c r="AA18" s="182">
        <v>0.25</v>
      </c>
      <c r="AB18" s="182">
        <v>0.26</v>
      </c>
      <c r="AC18" s="182">
        <v>0.24</v>
      </c>
    </row>
    <row r="19" spans="2:29" ht="14.4" customHeight="1">
      <c r="B19" s="201" t="s">
        <v>427</v>
      </c>
      <c r="C19" s="201" t="s">
        <v>440</v>
      </c>
      <c r="D19" s="111" t="str">
        <f>IF('Índice IFRS 16 | Index IFRS 16'!$K$6="Português",$C19,$B19)</f>
        <v>Emissões de Nox por transporte de carga (g/tkt)</v>
      </c>
      <c r="E19" s="112"/>
      <c r="F19" s="112"/>
      <c r="G19" s="112"/>
      <c r="H19" s="112"/>
      <c r="I19" s="112"/>
      <c r="J19" s="112"/>
      <c r="K19" s="131"/>
      <c r="L19" s="131"/>
      <c r="M19" s="131"/>
      <c r="N19" s="131"/>
      <c r="O19" s="131"/>
      <c r="P19" s="131"/>
      <c r="Q19" s="131"/>
      <c r="R19" s="131"/>
      <c r="S19" s="131"/>
      <c r="T19" s="131"/>
      <c r="U19" s="131"/>
      <c r="V19" s="114"/>
      <c r="W19" s="112"/>
      <c r="X19" s="182"/>
      <c r="Y19" s="182"/>
      <c r="Z19" s="182"/>
      <c r="AA19" s="182">
        <v>5.87</v>
      </c>
      <c r="AB19" s="182">
        <v>4.57</v>
      </c>
      <c r="AC19" s="182">
        <v>4.45</v>
      </c>
    </row>
    <row r="20" spans="2:29" ht="14.4" customHeight="1">
      <c r="B20" s="201"/>
      <c r="C20" s="201"/>
      <c r="D20" s="111" t="s">
        <v>753</v>
      </c>
      <c r="E20" s="112"/>
      <c r="F20" s="112"/>
      <c r="G20" s="112"/>
      <c r="H20" s="112"/>
      <c r="I20" s="112"/>
      <c r="J20" s="112"/>
      <c r="K20" s="131"/>
      <c r="L20" s="131"/>
      <c r="M20" s="131"/>
      <c r="N20" s="131"/>
      <c r="O20" s="131"/>
      <c r="P20" s="131"/>
      <c r="Q20" s="131"/>
      <c r="R20" s="131"/>
      <c r="S20" s="131"/>
      <c r="T20" s="131"/>
      <c r="U20" s="131"/>
      <c r="V20" s="114"/>
      <c r="W20" s="112"/>
      <c r="X20" s="182"/>
      <c r="Y20" s="182"/>
      <c r="Z20" s="182" t="s">
        <v>754</v>
      </c>
      <c r="AA20" s="182" t="s">
        <v>755</v>
      </c>
      <c r="AB20" s="182">
        <v>1.1599999999999999</v>
      </c>
      <c r="AC20" s="182">
        <v>1.2529999999999999</v>
      </c>
    </row>
    <row r="21" spans="2:29">
      <c r="B21" s="201" t="s">
        <v>609</v>
      </c>
      <c r="C21" s="201" t="s">
        <v>610</v>
      </c>
      <c r="D21" s="108" t="str">
        <f>IF('Índice IFRS 16 | Index IFRS 16'!$K$6="Português",$C21,$B21)</f>
        <v>Resíduos¹ ²</v>
      </c>
      <c r="E21" s="109"/>
      <c r="F21" s="109"/>
      <c r="G21" s="109"/>
      <c r="H21" s="109"/>
      <c r="I21" s="109"/>
      <c r="J21" s="109"/>
      <c r="K21" s="109"/>
      <c r="L21" s="109"/>
      <c r="M21" s="109"/>
      <c r="N21" s="109"/>
      <c r="O21" s="109"/>
      <c r="P21" s="109"/>
      <c r="Q21" s="109"/>
      <c r="R21" s="109"/>
      <c r="S21" s="109"/>
      <c r="T21" s="109"/>
      <c r="U21" s="109"/>
      <c r="V21" s="120"/>
      <c r="W21" s="109"/>
      <c r="X21" s="109"/>
      <c r="Y21" s="109"/>
      <c r="Z21" s="109"/>
      <c r="AA21" s="109"/>
      <c r="AB21" s="109"/>
      <c r="AC21" s="109"/>
    </row>
    <row r="22" spans="2:29" ht="14.4" customHeight="1">
      <c r="B22" s="201" t="s">
        <v>428</v>
      </c>
      <c r="C22" s="201" t="s">
        <v>441</v>
      </c>
      <c r="D22" s="111" t="str">
        <f>IF('Índice IFRS 16 | Index IFRS 16'!$K$6="Português",$C22,$B22)</f>
        <v>Total de resíduos reciclaveis ou reutilizados (ton)</v>
      </c>
      <c r="E22" s="112"/>
      <c r="F22" s="112"/>
      <c r="G22" s="112"/>
      <c r="H22" s="112"/>
      <c r="I22" s="112"/>
      <c r="J22" s="112"/>
      <c r="K22" s="112"/>
      <c r="L22" s="112"/>
      <c r="M22" s="112"/>
      <c r="N22" s="112"/>
      <c r="O22" s="112"/>
      <c r="P22" s="112"/>
      <c r="Q22" s="112"/>
      <c r="R22" s="112"/>
      <c r="S22" s="112"/>
      <c r="T22" s="112"/>
      <c r="U22" s="112"/>
      <c r="V22" s="114"/>
      <c r="W22" s="112"/>
      <c r="X22" s="183">
        <v>29.963000000000001</v>
      </c>
      <c r="Y22" s="183">
        <v>28.338999999999999</v>
      </c>
      <c r="Z22" s="183">
        <v>232.59899999999999</v>
      </c>
      <c r="AA22" s="183">
        <v>213.3</v>
      </c>
      <c r="AB22" s="183">
        <v>241.62479999999999</v>
      </c>
      <c r="AC22" s="86">
        <f>74.38+166.86</f>
        <v>241.24</v>
      </c>
    </row>
    <row r="23" spans="2:29" ht="14.4" customHeight="1">
      <c r="B23" s="201" t="s">
        <v>429</v>
      </c>
      <c r="C23" s="201" t="s">
        <v>442</v>
      </c>
      <c r="D23" s="111" t="str">
        <f>IF('Índice IFRS 16 | Index IFRS 16'!$K$6="Português",$C23,$B23)</f>
        <v>Total de resíduos descartados (ton)</v>
      </c>
      <c r="E23" s="112"/>
      <c r="F23" s="112"/>
      <c r="G23" s="112"/>
      <c r="H23" s="112"/>
      <c r="I23" s="112"/>
      <c r="J23" s="112"/>
      <c r="K23" s="131"/>
      <c r="L23" s="131"/>
      <c r="M23" s="131"/>
      <c r="N23" s="131"/>
      <c r="O23" s="131"/>
      <c r="P23" s="131"/>
      <c r="Q23" s="131"/>
      <c r="R23" s="131"/>
      <c r="S23" s="131"/>
      <c r="T23" s="131"/>
      <c r="U23" s="131"/>
      <c r="V23" s="114"/>
      <c r="W23" s="112"/>
      <c r="X23" s="183">
        <v>81.215999999999994</v>
      </c>
      <c r="Y23" s="183">
        <v>89.100999999999999</v>
      </c>
      <c r="Z23" s="183">
        <v>59.673999999999999</v>
      </c>
      <c r="AA23" s="183">
        <v>110.73</v>
      </c>
      <c r="AB23" s="183">
        <v>403.858</v>
      </c>
      <c r="AC23" s="183">
        <v>251.09</v>
      </c>
    </row>
    <row r="24" spans="2:29" ht="14.4" customHeight="1">
      <c r="B24" s="201" t="s">
        <v>430</v>
      </c>
      <c r="C24" s="201" t="s">
        <v>443</v>
      </c>
      <c r="D24" s="111" t="str">
        <f>IF('Índice IFRS 16 | Index IFRS 16'!$K$6="Português",$C24,$B24)</f>
        <v>Residuos  descartados em aterro (ton)</v>
      </c>
      <c r="E24" s="112"/>
      <c r="F24" s="112"/>
      <c r="G24" s="112"/>
      <c r="H24" s="112"/>
      <c r="I24" s="112"/>
      <c r="J24" s="112"/>
      <c r="K24" s="131"/>
      <c r="L24" s="131"/>
      <c r="M24" s="131"/>
      <c r="N24" s="131"/>
      <c r="O24" s="131"/>
      <c r="P24" s="131"/>
      <c r="Q24" s="131"/>
      <c r="R24" s="131"/>
      <c r="S24" s="131"/>
      <c r="T24" s="131"/>
      <c r="U24" s="131"/>
      <c r="V24" s="114"/>
      <c r="W24" s="112"/>
      <c r="X24" s="183"/>
      <c r="Y24" s="183"/>
      <c r="Z24" s="183"/>
      <c r="AA24" s="183">
        <v>110.73</v>
      </c>
      <c r="AB24" s="183">
        <v>238.88600000000002</v>
      </c>
      <c r="AC24" s="183">
        <v>251.09</v>
      </c>
    </row>
    <row r="25" spans="2:29" ht="14.4" customHeight="1">
      <c r="B25" s="201" t="s">
        <v>431</v>
      </c>
      <c r="C25" s="201" t="s">
        <v>444</v>
      </c>
      <c r="D25" s="111" t="str">
        <f>IF('Índice IFRS 16 | Index IFRS 16'!$K$6="Português",$C25,$B25)</f>
        <v>Resíduos incinerados com recuperação de energia  - coprocessamento (ton)</v>
      </c>
      <c r="E25" s="112"/>
      <c r="F25" s="112"/>
      <c r="G25" s="112"/>
      <c r="H25" s="112"/>
      <c r="I25" s="112"/>
      <c r="J25" s="112"/>
      <c r="K25" s="131"/>
      <c r="L25" s="131"/>
      <c r="M25" s="131"/>
      <c r="N25" s="131"/>
      <c r="O25" s="131"/>
      <c r="P25" s="131"/>
      <c r="Q25" s="131"/>
      <c r="R25" s="131"/>
      <c r="S25" s="131"/>
      <c r="T25" s="131"/>
      <c r="U25" s="131"/>
      <c r="V25" s="114"/>
      <c r="W25" s="112"/>
      <c r="X25" s="183"/>
      <c r="Y25" s="183"/>
      <c r="Z25" s="183"/>
      <c r="AA25" s="183">
        <v>480.053</v>
      </c>
      <c r="AB25" s="183">
        <v>107.19799999999999</v>
      </c>
      <c r="AC25" s="183">
        <v>138.26</v>
      </c>
    </row>
    <row r="26" spans="2:29" ht="14.4" customHeight="1">
      <c r="B26" s="201" t="s">
        <v>432</v>
      </c>
      <c r="C26" s="201" t="s">
        <v>445</v>
      </c>
      <c r="D26" s="111" t="str">
        <f>IF('Índice IFRS 16 | Index IFRS 16'!$K$6="Português",$C26,$B26)</f>
        <v>Resíduos incinerados sem recuperação de energia  (ton)</v>
      </c>
      <c r="E26" s="112"/>
      <c r="F26" s="112"/>
      <c r="G26" s="112"/>
      <c r="H26" s="112"/>
      <c r="I26" s="112"/>
      <c r="J26" s="112"/>
      <c r="K26" s="131"/>
      <c r="L26" s="131"/>
      <c r="M26" s="131"/>
      <c r="N26" s="131"/>
      <c r="O26" s="131"/>
      <c r="P26" s="131"/>
      <c r="Q26" s="131"/>
      <c r="R26" s="131"/>
      <c r="S26" s="131"/>
      <c r="T26" s="131"/>
      <c r="U26" s="131"/>
      <c r="V26" s="114"/>
      <c r="W26" s="112"/>
      <c r="X26" s="183"/>
      <c r="Y26" s="183"/>
      <c r="Z26" s="183"/>
      <c r="AA26" s="183">
        <v>5.05</v>
      </c>
      <c r="AB26" s="183">
        <v>7.9659999999999993</v>
      </c>
      <c r="AC26" s="183">
        <v>12.33</v>
      </c>
    </row>
    <row r="27" spans="2:29" ht="14.4" customHeight="1">
      <c r="B27" s="201" t="s">
        <v>433</v>
      </c>
      <c r="C27" s="201" t="s">
        <v>446</v>
      </c>
      <c r="D27" s="111" t="str">
        <f>IF('Índice IFRS 16 | Index IFRS 16'!$K$6="Português",$C27,$B27)</f>
        <v xml:space="preserve">Resíduos descartados de outra forma (ton) </v>
      </c>
      <c r="E27" s="112"/>
      <c r="F27" s="112"/>
      <c r="G27" s="112"/>
      <c r="H27" s="112"/>
      <c r="I27" s="112"/>
      <c r="J27" s="112"/>
      <c r="K27" s="131"/>
      <c r="L27" s="131"/>
      <c r="M27" s="131"/>
      <c r="N27" s="131"/>
      <c r="O27" s="131"/>
      <c r="P27" s="131"/>
      <c r="Q27" s="131"/>
      <c r="R27" s="131"/>
      <c r="S27" s="131"/>
      <c r="T27" s="131"/>
      <c r="U27" s="131"/>
      <c r="V27" s="114"/>
      <c r="W27" s="112"/>
      <c r="X27" s="183"/>
      <c r="Y27" s="183"/>
      <c r="Z27" s="183">
        <v>95.43</v>
      </c>
      <c r="AA27" s="183">
        <v>96.2</v>
      </c>
      <c r="AB27" s="183">
        <v>49.808</v>
      </c>
      <c r="AC27" s="183">
        <v>17.2</v>
      </c>
    </row>
    <row r="28" spans="2:29">
      <c r="B28" s="201" t="s">
        <v>613</v>
      </c>
      <c r="C28" s="201" t="s">
        <v>614</v>
      </c>
      <c r="D28" s="108" t="str">
        <f>IF('Índice IFRS 16 | Index IFRS 16'!$K$6="Português",$C28,$B28)</f>
        <v>Água</v>
      </c>
      <c r="E28" s="109"/>
      <c r="F28" s="109"/>
      <c r="G28" s="109"/>
      <c r="H28" s="109"/>
      <c r="I28" s="109"/>
      <c r="J28" s="109"/>
      <c r="K28" s="126"/>
      <c r="L28" s="126"/>
      <c r="M28" s="126"/>
      <c r="N28" s="126"/>
      <c r="O28" s="126"/>
      <c r="P28" s="126"/>
      <c r="Q28" s="126"/>
      <c r="R28" s="126"/>
      <c r="S28" s="126"/>
      <c r="T28" s="126"/>
      <c r="U28" s="126"/>
      <c r="V28" s="120"/>
      <c r="W28" s="109"/>
      <c r="X28" s="109"/>
      <c r="Y28" s="109"/>
      <c r="Z28" s="109"/>
      <c r="AA28" s="109"/>
      <c r="AB28" s="109"/>
      <c r="AC28" s="109"/>
    </row>
    <row r="29" spans="2:29" ht="14.4" customHeight="1">
      <c r="B29" s="201" t="s">
        <v>434</v>
      </c>
      <c r="C29" s="201" t="s">
        <v>447</v>
      </c>
      <c r="D29" s="111" t="str">
        <f>IF('Índice IFRS 16 | Index IFRS 16'!$K$6="Português",$C29,$B29)</f>
        <v>Consumo de água (Hangar VCP) - fornecimento municipal (mm³)</v>
      </c>
      <c r="E29" s="112"/>
      <c r="F29" s="112"/>
      <c r="G29" s="112"/>
      <c r="H29" s="112"/>
      <c r="I29" s="112"/>
      <c r="J29" s="112"/>
      <c r="K29" s="112"/>
      <c r="L29" s="112"/>
      <c r="M29" s="112"/>
      <c r="N29" s="112"/>
      <c r="O29" s="112"/>
      <c r="P29" s="112"/>
      <c r="Q29" s="112"/>
      <c r="R29" s="112"/>
      <c r="S29" s="112"/>
      <c r="T29" s="112"/>
      <c r="U29" s="112"/>
      <c r="V29" s="114"/>
      <c r="W29" s="112"/>
      <c r="X29" s="184"/>
      <c r="Y29" s="184"/>
      <c r="Z29" s="184"/>
      <c r="AA29" s="184">
        <v>3.5249999999999999E-3</v>
      </c>
      <c r="AB29" s="184">
        <v>4.9450000000000003</v>
      </c>
      <c r="AC29" s="184">
        <v>5.0999999999999996</v>
      </c>
    </row>
    <row r="30" spans="2:29" ht="14.4" customHeight="1">
      <c r="B30" s="201" t="s">
        <v>435</v>
      </c>
      <c r="C30" s="201" t="s">
        <v>448</v>
      </c>
      <c r="D30" s="111" t="str">
        <f>IF('Índice IFRS 16 | Index IFRS 16'!$K$6="Português",$C30,$B30)</f>
        <v>Consumo de água (UNIAZUL) - fornecimento municipal (mm³)</v>
      </c>
      <c r="E30" s="112"/>
      <c r="F30" s="112"/>
      <c r="G30" s="112"/>
      <c r="H30" s="112"/>
      <c r="I30" s="112"/>
      <c r="J30" s="112"/>
      <c r="K30" s="131"/>
      <c r="L30" s="131"/>
      <c r="M30" s="131"/>
      <c r="N30" s="131"/>
      <c r="O30" s="131"/>
      <c r="P30" s="131"/>
      <c r="Q30" s="131"/>
      <c r="R30" s="131"/>
      <c r="S30" s="131"/>
      <c r="T30" s="131"/>
      <c r="U30" s="131"/>
      <c r="V30" s="114"/>
      <c r="W30" s="112"/>
      <c r="X30" s="184"/>
      <c r="Y30" s="184"/>
      <c r="Z30" s="184"/>
      <c r="AA30" s="184">
        <v>3.545E-3</v>
      </c>
      <c r="AB30" s="184">
        <v>3.9048000000000003</v>
      </c>
      <c r="AC30" s="184">
        <v>2.222</v>
      </c>
    </row>
    <row r="31" spans="2:29" ht="14.4" customHeight="1">
      <c r="B31" s="201" t="s">
        <v>436</v>
      </c>
      <c r="C31" s="201" t="s">
        <v>449</v>
      </c>
      <c r="D31" s="111" t="str">
        <f>IF('Índice IFRS 16 | Index IFRS 16'!$K$6="Português",$C31,$B31)</f>
        <v>Consumo de água (Hangar PLU) - fornecimento municipal (mm³)</v>
      </c>
      <c r="E31" s="112"/>
      <c r="F31" s="112"/>
      <c r="G31" s="112"/>
      <c r="H31" s="112"/>
      <c r="I31" s="112"/>
      <c r="J31" s="112"/>
      <c r="K31" s="131"/>
      <c r="L31" s="131"/>
      <c r="M31" s="131"/>
      <c r="N31" s="131"/>
      <c r="O31" s="131"/>
      <c r="P31" s="131"/>
      <c r="Q31" s="131"/>
      <c r="R31" s="131"/>
      <c r="S31" s="131"/>
      <c r="T31" s="131"/>
      <c r="U31" s="131"/>
      <c r="V31" s="114"/>
      <c r="W31" s="112"/>
      <c r="X31" s="184"/>
      <c r="Y31" s="184"/>
      <c r="Z31" s="184"/>
      <c r="AA31" s="184">
        <v>6.8430000000000001E-3</v>
      </c>
      <c r="AB31" s="184">
        <v>7.0060000000000002</v>
      </c>
      <c r="AC31" s="184">
        <v>5.1050000000000004</v>
      </c>
    </row>
    <row r="32" spans="2:29" ht="14.4" customHeight="1">
      <c r="B32" s="201" t="s">
        <v>437</v>
      </c>
      <c r="C32" s="201" t="s">
        <v>450</v>
      </c>
      <c r="D32" s="111" t="str">
        <f>IF('Índice IFRS 16 | Index IFRS 16'!$K$6="Português",$C32,$B32)</f>
        <v>Consumo de água (ALMOX-LOGAZUL) - fornecimento municipal (mm³)</v>
      </c>
      <c r="E32" s="112"/>
      <c r="F32" s="112"/>
      <c r="G32" s="112"/>
      <c r="H32" s="112"/>
      <c r="I32" s="112"/>
      <c r="J32" s="112"/>
      <c r="K32" s="131"/>
      <c r="L32" s="131"/>
      <c r="M32" s="131"/>
      <c r="N32" s="131"/>
      <c r="O32" s="131"/>
      <c r="P32" s="131"/>
      <c r="Q32" s="131"/>
      <c r="R32" s="131"/>
      <c r="S32" s="131"/>
      <c r="T32" s="131"/>
      <c r="U32" s="131"/>
      <c r="V32" s="114"/>
      <c r="W32" s="112"/>
      <c r="X32" s="184"/>
      <c r="Y32" s="184"/>
      <c r="Z32" s="184"/>
      <c r="AA32" s="184">
        <v>2.2859999999999998E-3</v>
      </c>
      <c r="AB32" s="184">
        <v>1.3320000000000001</v>
      </c>
      <c r="AC32" s="184">
        <f>1.5+0.083</f>
        <v>1.583</v>
      </c>
    </row>
    <row r="33" spans="2:29" ht="14.4" customHeight="1">
      <c r="B33" s="201" t="s">
        <v>386</v>
      </c>
      <c r="C33" s="201" t="s">
        <v>386</v>
      </c>
      <c r="D33" s="111" t="str">
        <f>IF('Índice IFRS 16 | Index IFRS 16'!$K$6="Português",$C33,$B33)</f>
        <v>Total</v>
      </c>
      <c r="E33" s="112"/>
      <c r="F33" s="112"/>
      <c r="G33" s="112"/>
      <c r="H33" s="112"/>
      <c r="I33" s="112"/>
      <c r="J33" s="112"/>
      <c r="K33" s="131"/>
      <c r="L33" s="131"/>
      <c r="M33" s="131"/>
      <c r="N33" s="131"/>
      <c r="O33" s="131"/>
      <c r="P33" s="131"/>
      <c r="Q33" s="131"/>
      <c r="R33" s="131"/>
      <c r="S33" s="131"/>
      <c r="T33" s="131"/>
      <c r="U33" s="131"/>
      <c r="V33" s="114"/>
      <c r="W33" s="112"/>
      <c r="X33" s="184"/>
      <c r="Y33" s="184"/>
      <c r="Z33" s="184"/>
      <c r="AA33" s="184">
        <v>1.6E-2</v>
      </c>
      <c r="AB33" s="184">
        <v>17.187799999999999</v>
      </c>
      <c r="AC33" s="184">
        <v>14.01</v>
      </c>
    </row>
    <row r="34" spans="2:29">
      <c r="B34" s="201" t="s">
        <v>615</v>
      </c>
      <c r="C34" s="201" t="s">
        <v>616</v>
      </c>
      <c r="D34" s="108" t="str">
        <f>IF('Índice IFRS 16 | Index IFRS 16'!$K$6="Português",$C34,$B34)</f>
        <v>Energia</v>
      </c>
      <c r="E34" s="109"/>
      <c r="F34" s="109"/>
      <c r="G34" s="109"/>
      <c r="H34" s="109"/>
      <c r="I34" s="109"/>
      <c r="J34" s="109"/>
      <c r="K34" s="126"/>
      <c r="L34" s="126"/>
      <c r="M34" s="126"/>
      <c r="N34" s="126"/>
      <c r="O34" s="126"/>
      <c r="P34" s="126"/>
      <c r="Q34" s="126"/>
      <c r="R34" s="126"/>
      <c r="S34" s="126"/>
      <c r="T34" s="126"/>
      <c r="U34" s="126"/>
      <c r="V34" s="120"/>
      <c r="W34" s="109"/>
      <c r="X34" s="109"/>
      <c r="Y34" s="109"/>
      <c r="Z34" s="109"/>
      <c r="AA34" s="109"/>
      <c r="AB34" s="109"/>
      <c r="AC34" s="109"/>
    </row>
    <row r="35" spans="2:29">
      <c r="B35" s="231" t="s">
        <v>473</v>
      </c>
      <c r="C35" s="201" t="s">
        <v>475</v>
      </c>
      <c r="D35" s="111" t="str">
        <f>IF('Índice IFRS 16 | Index IFRS 16'!$K$6="Português",$C35,$B35)</f>
        <v xml:space="preserve">Consumo total de energia não renovável </v>
      </c>
      <c r="E35" s="186"/>
      <c r="F35" s="186"/>
      <c r="G35" s="186"/>
      <c r="H35" s="186"/>
      <c r="I35" s="186"/>
      <c r="J35" s="186"/>
      <c r="K35" s="187"/>
      <c r="L35" s="187"/>
      <c r="M35" s="187"/>
      <c r="N35" s="187"/>
      <c r="O35" s="187"/>
      <c r="P35" s="187"/>
      <c r="Q35" s="187"/>
      <c r="R35" s="187"/>
      <c r="S35" s="187"/>
      <c r="T35" s="187"/>
      <c r="U35" s="187"/>
      <c r="V35" s="188"/>
      <c r="W35" s="186"/>
      <c r="X35" s="186"/>
      <c r="Y35" s="186"/>
      <c r="Z35" s="186"/>
      <c r="AA35" s="185">
        <v>42048455.049999997</v>
      </c>
      <c r="AB35" s="185">
        <v>43097392.590000004</v>
      </c>
      <c r="AC35" s="185">
        <v>45116520.920000002</v>
      </c>
    </row>
    <row r="36" spans="2:29" ht="14.4" customHeight="1">
      <c r="B36" s="201" t="s">
        <v>474</v>
      </c>
      <c r="C36" s="201" t="s">
        <v>476</v>
      </c>
      <c r="D36" s="111" t="str">
        <f>IF('Índice IFRS 16 | Index IFRS 16'!$K$6="Português",$C36,$B36)</f>
        <v xml:space="preserve">Consumo total de energia renovável </v>
      </c>
      <c r="E36" s="112"/>
      <c r="F36" s="112"/>
      <c r="G36" s="112"/>
      <c r="H36" s="112"/>
      <c r="I36" s="112"/>
      <c r="J36" s="112"/>
      <c r="K36" s="131"/>
      <c r="L36" s="131"/>
      <c r="M36" s="131"/>
      <c r="N36" s="131"/>
      <c r="O36" s="131"/>
      <c r="P36" s="131"/>
      <c r="Q36" s="131"/>
      <c r="R36" s="131"/>
      <c r="S36" s="131"/>
      <c r="T36" s="131"/>
      <c r="U36" s="131"/>
      <c r="V36" s="114"/>
      <c r="W36" s="112"/>
      <c r="X36" s="184"/>
      <c r="Y36" s="184"/>
      <c r="Z36" s="184"/>
      <c r="AA36" s="182">
        <v>2757.41</v>
      </c>
      <c r="AB36" s="182">
        <v>26654.5</v>
      </c>
      <c r="AC36" s="182">
        <v>62716.69</v>
      </c>
    </row>
    <row r="37" spans="2:29" ht="14.4" customHeight="1">
      <c r="B37" s="201" t="s">
        <v>620</v>
      </c>
      <c r="C37" s="201" t="s">
        <v>617</v>
      </c>
      <c r="D37" s="108" t="str">
        <f>IF('Índice IFRS 16 | Index IFRS 16'!$K$6="Português",$C37,$B37)</f>
        <v>Materiais de Embalagem (serviço de bordo)⁵</v>
      </c>
      <c r="E37" s="109"/>
      <c r="F37" s="109"/>
      <c r="G37" s="109"/>
      <c r="H37" s="109"/>
      <c r="I37" s="109"/>
      <c r="J37" s="109"/>
      <c r="K37" s="109"/>
      <c r="L37" s="109"/>
      <c r="M37" s="109"/>
      <c r="N37" s="109"/>
      <c r="O37" s="109"/>
      <c r="P37" s="109"/>
      <c r="Q37" s="109"/>
      <c r="R37" s="109"/>
      <c r="S37" s="109"/>
      <c r="T37" s="109"/>
      <c r="U37" s="109"/>
      <c r="V37" s="114"/>
      <c r="W37" s="109"/>
      <c r="X37" s="109"/>
      <c r="Y37" s="109"/>
      <c r="Z37" s="109"/>
      <c r="AA37" s="109"/>
      <c r="AB37" s="109"/>
      <c r="AC37" s="109"/>
    </row>
    <row r="38" spans="2:29" ht="14.4" customHeight="1">
      <c r="B38" s="232" t="s">
        <v>759</v>
      </c>
      <c r="C38" s="232" t="s">
        <v>760</v>
      </c>
      <c r="D38" s="111" t="str">
        <f>IF('Índice IFRS 16 | Index IFRS 16'!$K$6="Português",$C38,$B38)</f>
        <v>Embalagens de papel e madeira (fibra)⁸</v>
      </c>
      <c r="E38" s="112"/>
      <c r="F38" s="112"/>
      <c r="G38" s="112"/>
      <c r="H38" s="112"/>
      <c r="I38" s="112"/>
      <c r="J38" s="112"/>
      <c r="K38" s="112"/>
      <c r="L38" s="112"/>
      <c r="M38" s="112"/>
      <c r="N38" s="112"/>
      <c r="O38" s="112"/>
      <c r="P38" s="112"/>
      <c r="Q38" s="112"/>
      <c r="R38" s="112"/>
      <c r="S38" s="112"/>
      <c r="T38" s="112"/>
      <c r="U38" s="112"/>
      <c r="V38" s="114"/>
      <c r="W38" s="112"/>
      <c r="X38" s="184"/>
      <c r="Y38" s="184"/>
      <c r="Z38" s="184"/>
      <c r="AA38" s="182">
        <v>4.57</v>
      </c>
      <c r="AB38" s="182">
        <f>0.06499477*100</f>
        <v>6.4994769999999997</v>
      </c>
      <c r="AC38" s="182">
        <v>44.5</v>
      </c>
    </row>
    <row r="39" spans="2:29" ht="14.4" customHeight="1">
      <c r="B39" s="232" t="s">
        <v>469</v>
      </c>
      <c r="C39" s="232" t="s">
        <v>465</v>
      </c>
      <c r="D39" s="111" t="str">
        <f>IF('Índice IFRS 16 | Index IFRS 16'!$K$6="Português",$C39,$B39)</f>
        <v>Embalagens de metal (ex: aluminio ou aço) (ton)</v>
      </c>
      <c r="E39" s="112"/>
      <c r="F39" s="112"/>
      <c r="G39" s="112"/>
      <c r="H39" s="112"/>
      <c r="I39" s="112"/>
      <c r="J39" s="112"/>
      <c r="K39" s="131"/>
      <c r="L39" s="131"/>
      <c r="M39" s="131"/>
      <c r="N39" s="131"/>
      <c r="O39" s="131"/>
      <c r="P39" s="131"/>
      <c r="Q39" s="131"/>
      <c r="R39" s="131"/>
      <c r="S39" s="131"/>
      <c r="T39" s="131"/>
      <c r="U39" s="131"/>
      <c r="V39" s="114"/>
      <c r="W39" s="112"/>
      <c r="X39" s="184"/>
      <c r="Y39" s="184"/>
      <c r="Z39" s="184"/>
      <c r="AA39" s="182">
        <v>2.93</v>
      </c>
      <c r="AB39" s="182">
        <f>0.278869095*100</f>
        <v>27.886909500000002</v>
      </c>
      <c r="AC39" s="182">
        <v>4.2699999999999996</v>
      </c>
    </row>
    <row r="40" spans="2:29" ht="14.4" customHeight="1">
      <c r="B40" s="232" t="s">
        <v>470</v>
      </c>
      <c r="C40" s="232" t="s">
        <v>466</v>
      </c>
      <c r="D40" s="111" t="str">
        <f>IF('Índice IFRS 16 | Index IFRS 16'!$K$6="Português",$C40,$B40)</f>
        <v>Embalagens de Vidro</v>
      </c>
      <c r="E40" s="112"/>
      <c r="F40" s="112"/>
      <c r="G40" s="112"/>
      <c r="H40" s="112"/>
      <c r="I40" s="112"/>
      <c r="J40" s="112"/>
      <c r="K40" s="131"/>
      <c r="L40" s="131"/>
      <c r="M40" s="131"/>
      <c r="N40" s="131"/>
      <c r="O40" s="131"/>
      <c r="P40" s="131"/>
      <c r="Q40" s="131"/>
      <c r="R40" s="131"/>
      <c r="S40" s="131"/>
      <c r="T40" s="131"/>
      <c r="U40" s="131"/>
      <c r="V40" s="114"/>
      <c r="W40" s="112"/>
      <c r="X40" s="184"/>
      <c r="Y40" s="184"/>
      <c r="Z40" s="184"/>
      <c r="AA40" s="182">
        <v>20.39</v>
      </c>
      <c r="AB40" s="182">
        <f>0.0017742*100</f>
        <v>0.17742000000000002</v>
      </c>
      <c r="AC40" s="182">
        <v>0</v>
      </c>
    </row>
    <row r="41" spans="2:29" ht="14.4" customHeight="1">
      <c r="B41" s="232" t="s">
        <v>471</v>
      </c>
      <c r="C41" s="232" t="s">
        <v>467</v>
      </c>
      <c r="D41" s="111" t="str">
        <f>IF('Índice IFRS 16 | Index IFRS 16'!$K$6="Português",$C41,$B41)</f>
        <v>Peso Total (tonnes) das embalagens plásticas</v>
      </c>
      <c r="E41" s="112"/>
      <c r="F41" s="112"/>
      <c r="G41" s="112"/>
      <c r="H41" s="112"/>
      <c r="I41" s="112"/>
      <c r="J41" s="112"/>
      <c r="K41" s="131"/>
      <c r="L41" s="131"/>
      <c r="M41" s="131"/>
      <c r="N41" s="131"/>
      <c r="O41" s="131"/>
      <c r="P41" s="131"/>
      <c r="Q41" s="131"/>
      <c r="R41" s="131"/>
      <c r="S41" s="131"/>
      <c r="T41" s="131"/>
      <c r="U41" s="131"/>
      <c r="V41" s="114"/>
      <c r="W41" s="112"/>
      <c r="X41" s="184"/>
      <c r="Y41" s="184"/>
      <c r="Z41" s="184"/>
      <c r="AA41" s="182">
        <v>88.37</v>
      </c>
      <c r="AB41" s="182">
        <f>0.81753473*100</f>
        <v>81.753473</v>
      </c>
      <c r="AC41" s="182" t="s">
        <v>756</v>
      </c>
    </row>
    <row r="42" spans="2:29" ht="27.75" customHeight="1">
      <c r="B42" s="233" t="s">
        <v>472</v>
      </c>
      <c r="C42" s="233" t="s">
        <v>468</v>
      </c>
      <c r="D42" s="111" t="str">
        <f>IF('Índice IFRS 16 | Index IFRS 16'!$K$6="Português",$C42,$B42)</f>
        <v>Porcentagem de embalagens plásticas recicláveis ​​(como % do peso total de todas as embalagens plásticas)</v>
      </c>
      <c r="E42" s="112"/>
      <c r="F42" s="112"/>
      <c r="G42" s="112"/>
      <c r="H42" s="112"/>
      <c r="I42" s="112"/>
      <c r="J42" s="112"/>
      <c r="K42" s="131"/>
      <c r="L42" s="131"/>
      <c r="M42" s="131"/>
      <c r="N42" s="131"/>
      <c r="O42" s="131"/>
      <c r="P42" s="131"/>
      <c r="Q42" s="131"/>
      <c r="R42" s="131"/>
      <c r="S42" s="131"/>
      <c r="T42" s="131"/>
      <c r="U42" s="131"/>
      <c r="V42" s="114"/>
      <c r="W42" s="112"/>
      <c r="X42" s="184"/>
      <c r="Y42" s="184"/>
      <c r="Z42" s="184"/>
      <c r="AA42" s="185">
        <v>100</v>
      </c>
      <c r="AB42" s="185">
        <v>100</v>
      </c>
      <c r="AC42" s="185">
        <v>100</v>
      </c>
    </row>
    <row r="43" spans="2:29">
      <c r="B43" s="201" t="s">
        <v>619</v>
      </c>
      <c r="C43" s="201" t="s">
        <v>618</v>
      </c>
      <c r="D43" s="108" t="str">
        <f>IF('Índice IFRS 16 | Index IFRS 16'!$K$6="Português",$C43,$B43)</f>
        <v>Conformidade Ambiental</v>
      </c>
      <c r="E43" s="109"/>
      <c r="F43" s="109"/>
      <c r="G43" s="109"/>
      <c r="H43" s="109"/>
      <c r="I43" s="109"/>
      <c r="J43" s="109"/>
      <c r="K43" s="126"/>
      <c r="L43" s="126"/>
      <c r="M43" s="126"/>
      <c r="N43" s="126"/>
      <c r="O43" s="126"/>
      <c r="P43" s="126"/>
      <c r="Q43" s="126"/>
      <c r="R43" s="126"/>
      <c r="S43" s="126"/>
      <c r="T43" s="126"/>
      <c r="U43" s="126"/>
      <c r="V43" s="120"/>
      <c r="W43" s="109"/>
      <c r="X43" s="109"/>
      <c r="Y43" s="109"/>
      <c r="Z43" s="109"/>
      <c r="AA43" s="109"/>
      <c r="AB43" s="109"/>
      <c r="AC43" s="109"/>
    </row>
    <row r="44" spans="2:29" ht="14.4" customHeight="1">
      <c r="B44" s="201" t="s">
        <v>438</v>
      </c>
      <c r="C44" s="201" t="s">
        <v>451</v>
      </c>
      <c r="D44" s="111" t="str">
        <f>IF('Índice IFRS 16 | Index IFRS 16'!$K$6="Português",$C44,$B44)</f>
        <v>Número de infrações ambientais significantes (&gt;USF $ 10,000)</v>
      </c>
      <c r="E44" s="112"/>
      <c r="F44" s="112"/>
      <c r="G44" s="112"/>
      <c r="H44" s="112"/>
      <c r="I44" s="112"/>
      <c r="J44" s="112"/>
      <c r="K44" s="112"/>
      <c r="L44" s="112"/>
      <c r="M44" s="112"/>
      <c r="N44" s="112"/>
      <c r="O44" s="112"/>
      <c r="P44" s="112"/>
      <c r="Q44" s="112"/>
      <c r="R44" s="112"/>
      <c r="S44" s="112"/>
      <c r="T44" s="112"/>
      <c r="U44" s="112"/>
      <c r="V44" s="114"/>
      <c r="W44" s="112"/>
      <c r="X44" s="112"/>
      <c r="Y44" s="112"/>
      <c r="Z44" s="112"/>
      <c r="AA44" s="273">
        <v>0</v>
      </c>
      <c r="AB44" s="273">
        <v>0</v>
      </c>
      <c r="AC44" s="273">
        <v>0</v>
      </c>
    </row>
    <row r="45" spans="2:29" ht="5.0999999999999996" customHeight="1">
      <c r="B45" s="201"/>
      <c r="C45" s="201"/>
      <c r="D45" s="107"/>
      <c r="E45" s="101"/>
      <c r="F45" s="101"/>
      <c r="G45" s="101"/>
      <c r="H45" s="101"/>
      <c r="I45" s="101"/>
      <c r="J45" s="101"/>
      <c r="K45" s="128"/>
      <c r="L45" s="128"/>
      <c r="M45" s="128"/>
      <c r="N45" s="128"/>
      <c r="O45" s="128"/>
      <c r="P45" s="128"/>
      <c r="Q45" s="128"/>
      <c r="R45" s="128"/>
      <c r="S45" s="128"/>
      <c r="T45" s="128"/>
      <c r="U45" s="128"/>
      <c r="V45" s="119"/>
      <c r="W45" s="201"/>
      <c r="X45" s="201"/>
      <c r="Y45" s="201"/>
      <c r="Z45" s="201"/>
      <c r="AA45" s="201"/>
      <c r="AB45" s="201"/>
      <c r="AC45" s="201"/>
    </row>
    <row r="46" spans="2:29">
      <c r="B46" s="201" t="s">
        <v>138</v>
      </c>
      <c r="C46" s="201" t="s">
        <v>138</v>
      </c>
      <c r="D46" s="105" t="str">
        <f>IF('Índice IFRS 16 | Index IFRS 16'!$K$6="Português",$C46,$B46)</f>
        <v>Social</v>
      </c>
      <c r="E46" s="122"/>
      <c r="F46" s="122"/>
      <c r="G46" s="122"/>
      <c r="H46" s="122"/>
      <c r="I46" s="122"/>
      <c r="J46" s="122"/>
      <c r="K46" s="129"/>
      <c r="L46" s="129"/>
      <c r="M46" s="129"/>
      <c r="N46" s="129"/>
      <c r="O46" s="129"/>
      <c r="P46" s="129"/>
      <c r="Q46" s="129"/>
      <c r="R46" s="129"/>
      <c r="S46" s="129"/>
      <c r="T46" s="129"/>
      <c r="U46" s="129"/>
      <c r="V46" s="119"/>
      <c r="W46" s="122"/>
      <c r="X46" s="122"/>
      <c r="Y46" s="122"/>
      <c r="Z46" s="122"/>
      <c r="AA46" s="122"/>
      <c r="AB46" s="122"/>
      <c r="AC46" s="122"/>
    </row>
    <row r="47" spans="2:29" ht="5.0999999999999996" customHeight="1">
      <c r="B47" s="201"/>
      <c r="C47" s="201"/>
      <c r="D47" s="107"/>
      <c r="E47" s="101"/>
      <c r="F47" s="101"/>
      <c r="G47" s="101"/>
      <c r="H47" s="101"/>
      <c r="I47" s="101"/>
      <c r="J47" s="101"/>
      <c r="K47" s="128"/>
      <c r="L47" s="128"/>
      <c r="M47" s="128"/>
      <c r="N47" s="128"/>
      <c r="O47" s="128"/>
      <c r="P47" s="128"/>
      <c r="Q47" s="128"/>
      <c r="R47" s="128"/>
      <c r="S47" s="128"/>
      <c r="T47" s="128"/>
      <c r="U47" s="128"/>
      <c r="V47" s="119"/>
      <c r="W47" s="201"/>
      <c r="X47" s="201"/>
      <c r="Y47" s="201"/>
      <c r="Z47" s="201"/>
      <c r="AA47" s="201"/>
      <c r="AB47" s="201"/>
      <c r="AC47" s="201"/>
    </row>
    <row r="48" spans="2:29">
      <c r="B48" s="201" t="s">
        <v>287</v>
      </c>
      <c r="C48" s="201" t="s">
        <v>139</v>
      </c>
      <c r="D48" s="108" t="str">
        <f>IF('Índice IFRS 16 | Index IFRS 16'!$K$6="Português",$C48,$B48)</f>
        <v>Relações Trabalhistas</v>
      </c>
      <c r="E48" s="109"/>
      <c r="F48" s="109"/>
      <c r="G48" s="109"/>
      <c r="H48" s="109"/>
      <c r="I48" s="109"/>
      <c r="J48" s="109"/>
      <c r="K48" s="126"/>
      <c r="L48" s="126"/>
      <c r="M48" s="126"/>
      <c r="N48" s="126"/>
      <c r="O48" s="126"/>
      <c r="P48" s="126"/>
      <c r="Q48" s="126"/>
      <c r="R48" s="126"/>
      <c r="S48" s="126"/>
      <c r="T48" s="126"/>
      <c r="U48" s="126"/>
      <c r="V48" s="120"/>
      <c r="W48" s="109"/>
      <c r="X48" s="109"/>
      <c r="Y48" s="109"/>
      <c r="Z48" s="109"/>
      <c r="AA48" s="109"/>
      <c r="AB48" s="109"/>
      <c r="AC48" s="109"/>
    </row>
    <row r="49" spans="2:29">
      <c r="B49" s="201" t="s">
        <v>390</v>
      </c>
      <c r="C49" s="201" t="s">
        <v>387</v>
      </c>
      <c r="D49" s="111" t="str">
        <f>IF('Índice IFRS 16 | Index IFRS 16'!$K$6="Português",$C49,$B49)</f>
        <v>Admitidos</v>
      </c>
      <c r="W49" s="235">
        <v>1864</v>
      </c>
      <c r="X49" s="235">
        <v>1787</v>
      </c>
      <c r="Y49" s="235">
        <v>2614</v>
      </c>
      <c r="Z49" s="235">
        <v>1243</v>
      </c>
      <c r="AA49" s="235">
        <v>2275</v>
      </c>
      <c r="AB49" s="235">
        <v>2324</v>
      </c>
      <c r="AC49" s="235">
        <v>3254</v>
      </c>
    </row>
    <row r="50" spans="2:29">
      <c r="B50" s="201" t="s">
        <v>391</v>
      </c>
      <c r="C50" s="201" t="s">
        <v>414</v>
      </c>
      <c r="D50" s="111" t="str">
        <f>IF('Índice IFRS 16 | Index IFRS 16'!$K$6="Português",$C50,$B50)</f>
        <v>% Aproveitamento interno</v>
      </c>
      <c r="W50" s="254" t="s">
        <v>388</v>
      </c>
      <c r="X50" s="251">
        <v>67</v>
      </c>
      <c r="Y50" s="251">
        <v>44</v>
      </c>
      <c r="Z50" s="251">
        <v>37</v>
      </c>
      <c r="AA50" s="251">
        <v>54</v>
      </c>
      <c r="AB50" s="251">
        <v>68</v>
      </c>
      <c r="AC50" s="251">
        <v>53</v>
      </c>
    </row>
    <row r="51" spans="2:29">
      <c r="B51" s="201" t="s">
        <v>402</v>
      </c>
      <c r="C51" s="201" t="s">
        <v>401</v>
      </c>
      <c r="D51" s="111" t="str">
        <f>IF('Índice IFRS 16 | Index IFRS 16'!$K$6="Português",$C51,$B51)</f>
        <v>% Feminino</v>
      </c>
      <c r="W51" s="251">
        <v>43</v>
      </c>
      <c r="X51" s="251">
        <v>36.158798283261802</v>
      </c>
      <c r="Y51" s="251">
        <v>59.066523605150209</v>
      </c>
      <c r="Z51" s="251">
        <v>18.776824034334762</v>
      </c>
      <c r="AA51" s="251">
        <v>44.527896995708154</v>
      </c>
      <c r="AB51" s="251">
        <v>39.68</v>
      </c>
      <c r="AC51" s="251">
        <v>40.6</v>
      </c>
    </row>
    <row r="52" spans="2:29">
      <c r="B52" s="201" t="s">
        <v>411</v>
      </c>
      <c r="C52" s="201" t="s">
        <v>410</v>
      </c>
      <c r="D52" s="111" t="str">
        <f>IF('Índice IFRS 16 | Index IFRS 16'!$K$6="Português",$C52,$B52)</f>
        <v>% Negros ou Pardos</v>
      </c>
      <c r="W52" s="251">
        <v>31.545064377682401</v>
      </c>
      <c r="X52" s="251">
        <v>35.565819861431869</v>
      </c>
      <c r="Y52" s="251">
        <v>30.684931506849317</v>
      </c>
      <c r="Z52" s="251">
        <v>42.131147540983605</v>
      </c>
      <c r="AA52" s="251">
        <v>40.237226277372265</v>
      </c>
      <c r="AB52" s="251">
        <v>26.7</v>
      </c>
      <c r="AC52" s="251">
        <v>33</v>
      </c>
    </row>
    <row r="53" spans="2:29">
      <c r="B53" s="201" t="s">
        <v>392</v>
      </c>
      <c r="C53" s="201" t="s">
        <v>415</v>
      </c>
      <c r="D53" s="111" t="str">
        <f>IF('Índice IFRS 16 | Index IFRS 16'!$K$6="Português",$C53,$B53)</f>
        <v>% Faixa Etaria - Até 21 Anos</v>
      </c>
      <c r="W53" s="251">
        <v>17.006437768240342</v>
      </c>
      <c r="X53" s="251">
        <v>13.090128755364807</v>
      </c>
      <c r="Y53" s="251">
        <v>15.021459227467812</v>
      </c>
      <c r="Z53" s="251">
        <v>4.7746781115879831</v>
      </c>
      <c r="AA53" s="251">
        <v>10.246781115879829</v>
      </c>
      <c r="AB53" s="251">
        <v>12.25</v>
      </c>
      <c r="AC53" s="251">
        <v>4.3</v>
      </c>
    </row>
    <row r="54" spans="2:29">
      <c r="B54" s="201" t="s">
        <v>417</v>
      </c>
      <c r="C54" s="201" t="s">
        <v>416</v>
      </c>
      <c r="D54" s="111" t="str">
        <f>IF('Índice IFRS 16 | Index IFRS 16'!$K$6="Português",$C54,$B54)</f>
        <v>% Faixa Etaria - De 22 a 28 Anos</v>
      </c>
      <c r="W54" s="251">
        <v>37.5</v>
      </c>
      <c r="X54" s="251">
        <v>32.725321888412019</v>
      </c>
      <c r="Y54" s="251">
        <v>46.673819742489272</v>
      </c>
      <c r="Z54" s="251">
        <v>19.796137339055793</v>
      </c>
      <c r="AA54" s="251">
        <v>38.197424892703864</v>
      </c>
      <c r="AB54" s="251">
        <v>27.62</v>
      </c>
      <c r="AC54" s="251">
        <v>22.87</v>
      </c>
    </row>
    <row r="55" spans="2:29">
      <c r="B55" s="201" t="s">
        <v>419</v>
      </c>
      <c r="C55" s="201" t="s">
        <v>418</v>
      </c>
      <c r="D55" s="111" t="str">
        <f>IF('Índice IFRS 16 | Index IFRS 16'!$K$6="Português",$C55,$B55)</f>
        <v>% Faixa Etaria - De 29 a 35 Anos</v>
      </c>
      <c r="W55" s="251">
        <v>24.892703862660944</v>
      </c>
      <c r="X55" s="251">
        <v>23.22961373390558</v>
      </c>
      <c r="Y55" s="251">
        <v>39.753218884120173</v>
      </c>
      <c r="Z55" s="251">
        <v>16.57725321888412</v>
      </c>
      <c r="AA55" s="251">
        <v>34.12017167381974</v>
      </c>
      <c r="AB55" s="251">
        <v>24.87</v>
      </c>
      <c r="AC55" s="251">
        <v>33.04</v>
      </c>
    </row>
    <row r="56" spans="2:29">
      <c r="B56" s="201" t="s">
        <v>421</v>
      </c>
      <c r="C56" s="201" t="s">
        <v>420</v>
      </c>
      <c r="D56" s="111" t="str">
        <f>IF('Índice IFRS 16 | Index IFRS 16'!$K$6="Português",$C56,$B56)</f>
        <v>% Faixa Etaria - De 35 a 42 Anos</v>
      </c>
      <c r="W56" s="251">
        <v>11.963519313304721</v>
      </c>
      <c r="X56" s="251">
        <v>14.05579399141631</v>
      </c>
      <c r="Y56" s="251">
        <v>22.693133047210303</v>
      </c>
      <c r="Z56" s="251">
        <v>13.733905579399142</v>
      </c>
      <c r="AA56" s="251">
        <v>20.92274678111588</v>
      </c>
      <c r="AB56" s="251">
        <v>17.91</v>
      </c>
      <c r="AC56" s="251">
        <v>28.37</v>
      </c>
    </row>
    <row r="57" spans="2:29">
      <c r="B57" s="201" t="s">
        <v>423</v>
      </c>
      <c r="C57" s="201" t="s">
        <v>422</v>
      </c>
      <c r="D57" s="111" t="str">
        <f>IF('Índice IFRS 16 | Index IFRS 16'!$K$6="Português",$C57,$B57)</f>
        <v>% Faixa Etaria - Acima de 43 Anos</v>
      </c>
      <c r="W57" s="251">
        <v>8.3690987124463518</v>
      </c>
      <c r="X57" s="251">
        <v>9.8175965665236049</v>
      </c>
      <c r="Y57" s="251">
        <v>12.768240343347639</v>
      </c>
      <c r="Z57" s="251">
        <v>10.354077253218884</v>
      </c>
      <c r="AA57" s="251">
        <v>13.78755364806867</v>
      </c>
      <c r="AB57" s="251">
        <v>17.350000000000001</v>
      </c>
      <c r="AC57" s="251">
        <v>20.75</v>
      </c>
    </row>
    <row r="58" spans="2:29">
      <c r="B58" s="201" t="s">
        <v>288</v>
      </c>
      <c r="C58" s="201" t="s">
        <v>140</v>
      </c>
      <c r="D58" s="111" t="str">
        <f>IF('Índice IFRS 16 | Index IFRS 16'!$K$6="Português",$C58,$B58)</f>
        <v>% de Rotatividade mensal de funcionários</v>
      </c>
      <c r="E58" s="110">
        <v>0.83</v>
      </c>
      <c r="F58" s="110">
        <v>1.06</v>
      </c>
      <c r="G58" s="110">
        <v>1.6</v>
      </c>
      <c r="H58" s="110">
        <v>0.55000000000000004</v>
      </c>
      <c r="I58" s="110">
        <v>1.5</v>
      </c>
      <c r="J58" s="110">
        <v>1.2</v>
      </c>
      <c r="K58" s="127">
        <v>1</v>
      </c>
      <c r="L58" s="130">
        <v>0.9</v>
      </c>
      <c r="M58" s="127">
        <v>1.92</v>
      </c>
      <c r="N58" s="127">
        <v>1.41</v>
      </c>
      <c r="O58" s="127">
        <v>1.0900000000000001</v>
      </c>
      <c r="P58" s="127">
        <v>0.9</v>
      </c>
      <c r="Q58" s="127">
        <v>0.9</v>
      </c>
      <c r="R58" s="127">
        <v>0.9</v>
      </c>
      <c r="S58" s="127">
        <v>0.7</v>
      </c>
      <c r="T58" s="127">
        <v>0.9</v>
      </c>
      <c r="U58" s="127">
        <v>0.54999999999999993</v>
      </c>
      <c r="V58" s="114"/>
      <c r="W58" s="110">
        <v>1.08</v>
      </c>
      <c r="X58" s="110">
        <v>0.95</v>
      </c>
      <c r="Y58" s="110">
        <v>1.2</v>
      </c>
      <c r="Z58" s="110">
        <v>1.4</v>
      </c>
      <c r="AA58" s="110">
        <v>1.1000000000000001</v>
      </c>
      <c r="AB58" s="252">
        <v>0.9</v>
      </c>
      <c r="AC58" s="252">
        <v>0.8</v>
      </c>
    </row>
    <row r="59" spans="2:29">
      <c r="B59" s="201" t="s">
        <v>425</v>
      </c>
      <c r="C59" s="201" t="s">
        <v>424</v>
      </c>
      <c r="D59" s="111" t="str">
        <f>IF('Índice IFRS 16 | Index IFRS 16'!$K$6="Português",$C59,$B59)</f>
        <v xml:space="preserve"> % Rotatividade voluntária</v>
      </c>
      <c r="W59" s="253" t="s">
        <v>388</v>
      </c>
      <c r="X59" s="252">
        <v>0.38</v>
      </c>
      <c r="Y59" s="252">
        <v>0.34</v>
      </c>
      <c r="Z59" s="252">
        <v>0.5</v>
      </c>
      <c r="AA59" s="252">
        <v>0.48</v>
      </c>
      <c r="AB59" s="252">
        <v>0.5</v>
      </c>
      <c r="AC59" s="252">
        <v>0.4</v>
      </c>
    </row>
    <row r="60" spans="2:29">
      <c r="B60" s="201" t="s">
        <v>289</v>
      </c>
      <c r="C60" s="201" t="s">
        <v>141</v>
      </c>
      <c r="D60" s="111" t="str">
        <f>IF('Índice IFRS 16 | Index IFRS 16'!$K$6="Português",$C60,$B60)</f>
        <v>% de funcionários cobertos por acordos de negociação coletiva</v>
      </c>
      <c r="E60" s="113">
        <v>100</v>
      </c>
      <c r="F60" s="113">
        <v>100</v>
      </c>
      <c r="G60" s="113">
        <v>100</v>
      </c>
      <c r="H60" s="113">
        <v>100</v>
      </c>
      <c r="I60" s="113">
        <v>100</v>
      </c>
      <c r="J60" s="113">
        <v>100</v>
      </c>
      <c r="K60" s="125">
        <v>100</v>
      </c>
      <c r="L60" s="133">
        <v>100</v>
      </c>
      <c r="M60" s="125">
        <v>100</v>
      </c>
      <c r="N60" s="125">
        <v>100</v>
      </c>
      <c r="O60" s="125">
        <v>100</v>
      </c>
      <c r="P60" s="125">
        <v>100</v>
      </c>
      <c r="Q60" s="125">
        <v>100</v>
      </c>
      <c r="R60" s="125">
        <v>100</v>
      </c>
      <c r="S60" s="125">
        <v>100</v>
      </c>
      <c r="T60" s="125">
        <v>100</v>
      </c>
      <c r="U60" s="125">
        <v>100</v>
      </c>
      <c r="V60" s="114"/>
      <c r="W60" s="113">
        <v>100</v>
      </c>
      <c r="X60" s="113">
        <v>100</v>
      </c>
      <c r="Y60" s="113">
        <v>100</v>
      </c>
      <c r="Z60" s="113">
        <v>100</v>
      </c>
      <c r="AA60" s="113">
        <v>100</v>
      </c>
      <c r="AB60" s="113">
        <v>100</v>
      </c>
      <c r="AC60" s="113">
        <v>100</v>
      </c>
    </row>
    <row r="61" spans="2:29">
      <c r="B61" s="201" t="s">
        <v>290</v>
      </c>
      <c r="C61" s="201" t="s">
        <v>142</v>
      </c>
      <c r="D61" s="111" t="str">
        <f>IF('Índice IFRS 16 | Index IFRS 16'!$K$6="Português",$C61,$B61)</f>
        <v>Número e duração de greves e bloqueios (# dias)</v>
      </c>
      <c r="E61" s="116">
        <v>0</v>
      </c>
      <c r="F61" s="116">
        <v>0</v>
      </c>
      <c r="G61" s="116">
        <v>0</v>
      </c>
      <c r="H61" s="116">
        <v>0</v>
      </c>
      <c r="I61" s="116">
        <v>0</v>
      </c>
      <c r="J61" s="116">
        <v>0</v>
      </c>
      <c r="K61" s="116">
        <f>E105</f>
        <v>0</v>
      </c>
      <c r="L61" s="116">
        <v>0</v>
      </c>
      <c r="M61" s="116">
        <f>G105</f>
        <v>0</v>
      </c>
      <c r="N61" s="116">
        <v>0</v>
      </c>
      <c r="O61" s="116">
        <v>0</v>
      </c>
      <c r="P61" s="116">
        <f>I105</f>
        <v>0</v>
      </c>
      <c r="Q61" s="116">
        <f>I105</f>
        <v>0</v>
      </c>
      <c r="R61" s="116">
        <v>0</v>
      </c>
      <c r="S61" s="116">
        <v>0</v>
      </c>
      <c r="T61" s="116">
        <v>0</v>
      </c>
      <c r="U61" s="116">
        <v>0</v>
      </c>
      <c r="V61" s="114"/>
      <c r="W61" s="116">
        <v>0</v>
      </c>
      <c r="X61" s="116">
        <v>0</v>
      </c>
      <c r="Y61" s="116">
        <v>0</v>
      </c>
      <c r="Z61" s="116">
        <v>0</v>
      </c>
      <c r="AA61" s="116">
        <v>0</v>
      </c>
      <c r="AB61" s="116">
        <v>0</v>
      </c>
      <c r="AC61" s="116">
        <v>0</v>
      </c>
    </row>
    <row r="62" spans="2:29">
      <c r="B62" s="201" t="s">
        <v>291</v>
      </c>
      <c r="C62" s="201" t="s">
        <v>159</v>
      </c>
      <c r="D62" s="111" t="str">
        <f>IF('Índice IFRS 16 | Index IFRS 16'!$K$6="Português",$C62,$B62)</f>
        <v xml:space="preserve">Voluntários </v>
      </c>
      <c r="E62" s="113">
        <v>1553</v>
      </c>
      <c r="F62" s="113">
        <v>2034</v>
      </c>
      <c r="G62" s="113">
        <v>2094</v>
      </c>
      <c r="H62" s="113">
        <v>2169</v>
      </c>
      <c r="I62" s="113">
        <v>1659</v>
      </c>
      <c r="J62" s="113">
        <v>1801</v>
      </c>
      <c r="K62" s="125">
        <v>1936</v>
      </c>
      <c r="L62" s="125">
        <v>2312</v>
      </c>
      <c r="M62" s="125">
        <v>2990</v>
      </c>
      <c r="N62" s="125">
        <v>3279</v>
      </c>
      <c r="O62" s="125">
        <v>3982</v>
      </c>
      <c r="P62" s="125">
        <v>4722</v>
      </c>
      <c r="Q62" s="125">
        <v>5091</v>
      </c>
      <c r="R62" s="125">
        <v>5549</v>
      </c>
      <c r="S62" s="125">
        <v>6012</v>
      </c>
      <c r="T62" s="125">
        <v>6385</v>
      </c>
      <c r="U62" s="125">
        <v>7043</v>
      </c>
      <c r="V62" s="114"/>
      <c r="W62" s="113">
        <v>1499</v>
      </c>
      <c r="X62" s="113">
        <v>1914</v>
      </c>
      <c r="Y62" s="113">
        <v>2193</v>
      </c>
      <c r="Z62" s="113">
        <v>1804</v>
      </c>
      <c r="AA62" s="113">
        <v>2754</v>
      </c>
      <c r="AB62" s="113">
        <v>4324</v>
      </c>
      <c r="AC62" s="113">
        <v>4602</v>
      </c>
    </row>
    <row r="63" spans="2:29">
      <c r="B63" s="201" t="s">
        <v>640</v>
      </c>
      <c r="C63" s="201" t="s">
        <v>635</v>
      </c>
      <c r="D63" s="111" t="str">
        <f>IF('Índice IFRS 16 | Index IFRS 16'!$K$6="Português",$C63,$B63)</f>
        <v>Pesquisa de Clima</v>
      </c>
      <c r="E63" s="113"/>
      <c r="F63" s="113"/>
      <c r="G63" s="113"/>
      <c r="H63" s="113"/>
      <c r="I63" s="113"/>
      <c r="J63" s="113"/>
      <c r="K63" s="125"/>
      <c r="L63" s="125"/>
      <c r="M63" s="125"/>
      <c r="N63" s="125"/>
      <c r="O63" s="125"/>
      <c r="P63" s="125"/>
      <c r="Q63" s="125"/>
      <c r="R63" s="125"/>
      <c r="S63" s="125"/>
      <c r="T63" s="125"/>
      <c r="U63" s="125"/>
      <c r="V63" s="114"/>
      <c r="W63" s="113"/>
      <c r="X63" s="113"/>
      <c r="Y63" s="237"/>
      <c r="Z63" s="113"/>
      <c r="AA63" s="113"/>
      <c r="AB63" s="113"/>
      <c r="AC63" s="113"/>
    </row>
    <row r="64" spans="2:29">
      <c r="B64" s="201" t="s">
        <v>637</v>
      </c>
      <c r="C64" s="201" t="s">
        <v>636</v>
      </c>
      <c r="D64" s="111" t="str">
        <f>IF('Índice IFRS 16 | Index IFRS 16'!$K$6="Português",$C64,$B64)</f>
        <v>Índice de favorabilidade geral</v>
      </c>
      <c r="E64" s="113"/>
      <c r="F64" s="113"/>
      <c r="G64" s="113"/>
      <c r="H64" s="113"/>
      <c r="I64" s="113"/>
      <c r="J64" s="113"/>
      <c r="K64" s="125"/>
      <c r="L64" s="125"/>
      <c r="M64" s="125"/>
      <c r="N64" s="125"/>
      <c r="O64" s="125"/>
      <c r="P64" s="125"/>
      <c r="Q64" s="125"/>
      <c r="R64" s="125"/>
      <c r="S64" s="125"/>
      <c r="T64" s="125"/>
      <c r="U64" s="125"/>
      <c r="V64" s="114"/>
      <c r="W64" s="237">
        <v>0.77</v>
      </c>
      <c r="X64" s="237">
        <v>0.85</v>
      </c>
      <c r="Y64" s="237">
        <v>0.76</v>
      </c>
      <c r="Z64" s="237">
        <v>0.79</v>
      </c>
      <c r="AA64" s="237">
        <v>0.83</v>
      </c>
      <c r="AB64" s="237">
        <v>0.86</v>
      </c>
      <c r="AC64" s="237">
        <v>0.87</v>
      </c>
    </row>
    <row r="65" spans="1:29">
      <c r="B65" s="201" t="s">
        <v>639</v>
      </c>
      <c r="C65" s="201" t="s">
        <v>638</v>
      </c>
      <c r="D65" s="111" t="str">
        <f>IF('Índice IFRS 16 | Index IFRS 16'!$K$6="Português",$C65,$B65)</f>
        <v>Participação</v>
      </c>
      <c r="E65" s="113"/>
      <c r="F65" s="113"/>
      <c r="G65" s="113"/>
      <c r="H65" s="113"/>
      <c r="I65" s="113"/>
      <c r="J65" s="113"/>
      <c r="K65" s="125"/>
      <c r="L65" s="125"/>
      <c r="M65" s="125"/>
      <c r="N65" s="125"/>
      <c r="O65" s="125"/>
      <c r="P65" s="125"/>
      <c r="Q65" s="125"/>
      <c r="R65" s="125"/>
      <c r="S65" s="125"/>
      <c r="T65" s="125"/>
      <c r="U65" s="125"/>
      <c r="V65" s="114"/>
      <c r="W65" s="254" t="s">
        <v>388</v>
      </c>
      <c r="X65" s="254" t="s">
        <v>388</v>
      </c>
      <c r="Y65" s="237">
        <v>0.72</v>
      </c>
      <c r="Z65" s="237">
        <v>0.65</v>
      </c>
      <c r="AA65" s="237">
        <v>0.62</v>
      </c>
      <c r="AB65" s="237">
        <v>0.82</v>
      </c>
      <c r="AC65" s="237">
        <v>0.81799999999999995</v>
      </c>
    </row>
    <row r="66" spans="1:29" ht="26.4">
      <c r="B66" s="201"/>
      <c r="C66" s="201"/>
      <c r="D66" s="114" t="s">
        <v>757</v>
      </c>
      <c r="E66" s="113"/>
      <c r="F66" s="113"/>
      <c r="G66" s="113"/>
      <c r="H66" s="113"/>
      <c r="I66" s="113"/>
      <c r="J66" s="113"/>
      <c r="K66" s="125"/>
      <c r="L66" s="125"/>
      <c r="M66" s="125"/>
      <c r="N66" s="125"/>
      <c r="O66" s="125"/>
      <c r="P66" s="125"/>
      <c r="Q66" s="125"/>
      <c r="R66" s="125"/>
      <c r="S66" s="125"/>
      <c r="T66" s="125"/>
      <c r="U66" s="125"/>
      <c r="V66" s="114"/>
      <c r="W66" s="254"/>
      <c r="X66" s="254"/>
      <c r="Y66" s="237"/>
      <c r="Z66" s="237"/>
      <c r="AA66" s="237"/>
      <c r="AB66" s="237"/>
      <c r="AC66" s="277">
        <v>123.17411</v>
      </c>
    </row>
    <row r="67" spans="1:29">
      <c r="B67" s="201" t="s">
        <v>393</v>
      </c>
      <c r="C67" s="201" t="s">
        <v>389</v>
      </c>
      <c r="D67" s="108" t="str">
        <f>IF('Índice IFRS 16 | Index IFRS 16'!$K$6="Português",$C67,$B67)</f>
        <v xml:space="preserve">Gênero e Diversidade: </v>
      </c>
      <c r="E67" s="109"/>
      <c r="F67" s="109"/>
      <c r="G67" s="109"/>
      <c r="H67" s="109"/>
      <c r="I67" s="109"/>
      <c r="J67" s="109"/>
      <c r="K67" s="126"/>
      <c r="L67" s="126"/>
      <c r="M67" s="126"/>
      <c r="N67" s="126"/>
      <c r="O67" s="126"/>
      <c r="P67" s="126"/>
      <c r="Q67" s="126"/>
      <c r="R67" s="126"/>
      <c r="S67" s="126"/>
      <c r="T67" s="126"/>
      <c r="U67" s="126"/>
      <c r="V67" s="120"/>
      <c r="W67" s="109"/>
      <c r="X67" s="109"/>
      <c r="Y67" s="109"/>
      <c r="Z67" s="109"/>
      <c r="AA67" s="109"/>
      <c r="AB67" s="109"/>
      <c r="AC67" s="109"/>
    </row>
    <row r="68" spans="1:29">
      <c r="A68" s="180"/>
      <c r="B68" s="234" t="s">
        <v>400</v>
      </c>
      <c r="C68" s="234" t="s">
        <v>399</v>
      </c>
      <c r="D68" s="201" t="str">
        <f>IF('Índice IFRS 16 | Index IFRS 16'!$K$6="Português",$C68,$B68)</f>
        <v>% Masculino</v>
      </c>
      <c r="E68" s="110">
        <v>57</v>
      </c>
      <c r="F68" s="110">
        <v>57</v>
      </c>
      <c r="G68" s="110">
        <v>57.65</v>
      </c>
      <c r="H68" s="110">
        <v>58</v>
      </c>
      <c r="I68" s="110">
        <v>57.6</v>
      </c>
      <c r="J68" s="110">
        <v>59.1</v>
      </c>
      <c r="K68" s="127">
        <v>59</v>
      </c>
      <c r="L68" s="130">
        <v>59.1</v>
      </c>
      <c r="M68" s="127">
        <v>59.050000000000004</v>
      </c>
      <c r="N68" s="249">
        <v>60</v>
      </c>
      <c r="O68" s="249">
        <v>59.3</v>
      </c>
      <c r="P68" s="127">
        <v>59.9</v>
      </c>
      <c r="Q68" s="127">
        <v>59.7</v>
      </c>
      <c r="R68" s="127">
        <v>59.9</v>
      </c>
      <c r="S68" s="127">
        <v>59.4</v>
      </c>
      <c r="T68" s="127">
        <v>59.2</v>
      </c>
      <c r="U68" s="127">
        <v>59.4</v>
      </c>
      <c r="V68" s="114"/>
      <c r="W68" s="110">
        <v>57</v>
      </c>
      <c r="X68" s="110">
        <v>58</v>
      </c>
      <c r="Y68" s="110">
        <v>59</v>
      </c>
      <c r="Z68" s="110">
        <v>58.6</v>
      </c>
      <c r="AA68" s="110">
        <v>59</v>
      </c>
      <c r="AB68" s="110">
        <v>59.4</v>
      </c>
      <c r="AC68" s="110">
        <v>59.4</v>
      </c>
    </row>
    <row r="69" spans="1:29">
      <c r="A69" s="180"/>
      <c r="B69" s="234" t="s">
        <v>402</v>
      </c>
      <c r="C69" s="234" t="s">
        <v>401</v>
      </c>
      <c r="D69" s="201" t="str">
        <f>IF('Índice IFRS 16 | Index IFRS 16'!$K$6="Português",$C69,$B69)</f>
        <v>% Feminino</v>
      </c>
      <c r="E69" s="110">
        <v>43</v>
      </c>
      <c r="F69" s="110">
        <v>43</v>
      </c>
      <c r="G69" s="110">
        <v>42.34</v>
      </c>
      <c r="H69" s="110">
        <v>42</v>
      </c>
      <c r="I69" s="110">
        <v>42.4</v>
      </c>
      <c r="J69" s="110">
        <v>40.9</v>
      </c>
      <c r="K69" s="127">
        <v>41</v>
      </c>
      <c r="L69" s="130">
        <v>40.9</v>
      </c>
      <c r="M69" s="127">
        <v>40.949999999999996</v>
      </c>
      <c r="N69" s="249">
        <v>40</v>
      </c>
      <c r="O69" s="249">
        <v>40.699999999999996</v>
      </c>
      <c r="P69" s="127">
        <v>40.1</v>
      </c>
      <c r="Q69" s="127">
        <v>40.299999999999997</v>
      </c>
      <c r="R69" s="127">
        <v>40.1</v>
      </c>
      <c r="S69" s="127">
        <v>40.6</v>
      </c>
      <c r="T69" s="127">
        <v>40.799999999999997</v>
      </c>
      <c r="U69" s="127">
        <v>40.6</v>
      </c>
      <c r="V69" s="123"/>
      <c r="W69" s="110">
        <v>43</v>
      </c>
      <c r="X69" s="110">
        <v>42</v>
      </c>
      <c r="Y69" s="110">
        <v>41</v>
      </c>
      <c r="Z69" s="110">
        <v>41.4</v>
      </c>
      <c r="AA69" s="110">
        <v>41</v>
      </c>
      <c r="AB69" s="110">
        <v>40.6</v>
      </c>
      <c r="AC69" s="110">
        <v>40.6</v>
      </c>
    </row>
    <row r="70" spans="1:29">
      <c r="A70" s="180"/>
      <c r="B70" s="234" t="s">
        <v>404</v>
      </c>
      <c r="C70" s="234" t="s">
        <v>403</v>
      </c>
      <c r="D70" s="201" t="str">
        <f>IF('Índice IFRS 16 | Index IFRS 16'!$K$6="Português",$C70,$B70)</f>
        <v>% Mulheres em posição de Gestão(Liderança)</v>
      </c>
      <c r="W70" s="201"/>
      <c r="X70" s="201"/>
      <c r="Y70" s="201"/>
      <c r="Z70" s="201"/>
      <c r="AA70" s="256">
        <v>36</v>
      </c>
      <c r="AB70" s="256">
        <v>29.813664596273291</v>
      </c>
      <c r="AC70" s="256">
        <v>39</v>
      </c>
    </row>
    <row r="71" spans="1:29">
      <c r="A71" s="180"/>
      <c r="B71" s="234" t="s">
        <v>406</v>
      </c>
      <c r="C71" s="234" t="s">
        <v>405</v>
      </c>
      <c r="D71" s="201" t="str">
        <f>IF('Índice IFRS 16 | Index IFRS 16'!$K$6="Português",$C71,$B71)</f>
        <v>% Mulheres no primeiro nível de Gestão (Liderança)</v>
      </c>
      <c r="W71" s="201"/>
      <c r="X71" s="201"/>
      <c r="Y71" s="201"/>
      <c r="Z71" s="201"/>
      <c r="AA71" s="256">
        <v>31</v>
      </c>
      <c r="AB71" s="256">
        <v>34</v>
      </c>
      <c r="AC71" s="256">
        <v>46.1</v>
      </c>
    </row>
    <row r="72" spans="1:29">
      <c r="A72" s="180"/>
      <c r="B72" s="234" t="s">
        <v>394</v>
      </c>
      <c r="C72" s="234" t="s">
        <v>407</v>
      </c>
      <c r="D72" s="201" t="str">
        <f>IF('Índice IFRS 16 | Index IFRS 16'!$K$6="Português",$C72,$B72)</f>
        <v>% Mulheres na alta liderança</v>
      </c>
      <c r="W72" s="201"/>
      <c r="X72" s="201"/>
      <c r="Y72" s="201"/>
      <c r="Z72" s="201"/>
      <c r="AA72" s="256">
        <v>26</v>
      </c>
      <c r="AB72" s="256">
        <v>32</v>
      </c>
      <c r="AC72" s="256">
        <v>25</v>
      </c>
    </row>
    <row r="73" spans="1:29">
      <c r="A73" s="180"/>
      <c r="B73" s="234" t="s">
        <v>395</v>
      </c>
      <c r="C73" s="234" t="s">
        <v>408</v>
      </c>
      <c r="D73" s="201" t="str">
        <f>IF('Índice IFRS 16 | Index IFRS 16'!$K$6="Português",$C73,$B73)</f>
        <v>% Mulheres em áreas que geram receita</v>
      </c>
      <c r="W73" s="201"/>
      <c r="X73" s="201"/>
      <c r="Y73" s="201"/>
      <c r="Z73" s="201"/>
      <c r="AA73" s="256">
        <v>32</v>
      </c>
      <c r="AB73" s="257">
        <v>45</v>
      </c>
      <c r="AC73" s="257">
        <v>35</v>
      </c>
    </row>
    <row r="74" spans="1:29">
      <c r="A74" s="180"/>
      <c r="B74" s="234" t="s">
        <v>396</v>
      </c>
      <c r="C74" s="234" t="s">
        <v>409</v>
      </c>
      <c r="D74" s="201" t="str">
        <f>IF('Índice IFRS 16 | Index IFRS 16'!$K$6="Português",$C74,$B74)</f>
        <v>% Mulheres em áreas de Ciência, tecnologia, engenharia e matemática</v>
      </c>
      <c r="W74" s="201"/>
      <c r="X74" s="201"/>
      <c r="Y74" s="201"/>
      <c r="Z74" s="201"/>
      <c r="AA74" s="256">
        <v>15</v>
      </c>
      <c r="AB74" s="257">
        <v>18</v>
      </c>
      <c r="AC74" s="257">
        <v>18</v>
      </c>
    </row>
    <row r="75" spans="1:29">
      <c r="A75" s="180"/>
      <c r="B75" s="234" t="s">
        <v>411</v>
      </c>
      <c r="C75" s="234" t="s">
        <v>410</v>
      </c>
      <c r="D75" s="201" t="str">
        <f>IF('Índice IFRS 16 | Index IFRS 16'!$K$6="Português",$C75,$B75)</f>
        <v>% Negros ou Pardos</v>
      </c>
      <c r="W75" s="201"/>
      <c r="X75" s="201"/>
      <c r="Y75" s="201"/>
      <c r="Z75" s="201"/>
      <c r="AA75" s="256">
        <v>30</v>
      </c>
      <c r="AB75" s="274">
        <v>6</v>
      </c>
      <c r="AC75" s="251">
        <v>33</v>
      </c>
    </row>
    <row r="76" spans="1:29">
      <c r="A76" s="180"/>
      <c r="B76" s="234" t="s">
        <v>721</v>
      </c>
      <c r="C76" s="234" t="s">
        <v>720</v>
      </c>
      <c r="D76" s="201" t="str">
        <f>IF('Índice IFRS 16 | Index IFRS 16'!$K$6="Português",$C76,$B76)</f>
        <v>% Negros ou Pardos em posição de Gestão(Liderança)</v>
      </c>
      <c r="W76" s="201"/>
      <c r="X76" s="201"/>
      <c r="Y76" s="201"/>
      <c r="Z76" s="201"/>
      <c r="AA76" s="235"/>
      <c r="AB76" s="255">
        <v>15</v>
      </c>
      <c r="AC76" s="255">
        <v>24</v>
      </c>
    </row>
    <row r="77" spans="1:29">
      <c r="A77" s="180"/>
      <c r="B77" s="234" t="s">
        <v>397</v>
      </c>
      <c r="C77" s="234" t="s">
        <v>412</v>
      </c>
      <c r="D77" s="201" t="str">
        <f>IF('Índice IFRS 16 | Index IFRS 16'!$K$6="Português",$C77,$B77)</f>
        <v>% Diferença salarial entre homens e mulheres</v>
      </c>
      <c r="W77" s="201"/>
      <c r="X77" s="201"/>
      <c r="Y77" s="201"/>
      <c r="Z77" s="201"/>
      <c r="AA77" s="258">
        <v>3</v>
      </c>
      <c r="AB77" s="258">
        <v>0</v>
      </c>
      <c r="AC77" s="258">
        <v>0.01</v>
      </c>
    </row>
    <row r="78" spans="1:29">
      <c r="A78" s="180"/>
      <c r="B78" s="234" t="s">
        <v>398</v>
      </c>
      <c r="C78" s="234" t="s">
        <v>413</v>
      </c>
      <c r="D78" s="201" t="str">
        <f>IF('Índice IFRS 16 | Index IFRS 16'!$K$6="Português",$C78,$B78)</f>
        <v>% Diferença na remuneração total entre homens e mulheres</v>
      </c>
      <c r="W78" s="201"/>
      <c r="X78" s="201"/>
      <c r="Y78" s="201"/>
      <c r="Z78" s="201"/>
      <c r="AA78" s="258">
        <v>7.0000000000000009</v>
      </c>
      <c r="AB78" s="258">
        <v>1</v>
      </c>
      <c r="AC78" s="258">
        <v>0.01</v>
      </c>
    </row>
    <row r="79" spans="1:29">
      <c r="A79" s="180"/>
      <c r="B79" s="234" t="s">
        <v>723</v>
      </c>
      <c r="C79" s="234" t="s">
        <v>722</v>
      </c>
      <c r="D79" s="201" t="str">
        <f>IF('Índice IFRS 16 | Index IFRS 16'!$K$6="Português",$C79,$B79)</f>
        <v>% Absenteísmo</v>
      </c>
      <c r="W79" s="201"/>
      <c r="X79" s="201"/>
      <c r="Y79" s="201"/>
      <c r="Z79" s="201"/>
      <c r="AA79" s="276">
        <v>82</v>
      </c>
      <c r="AB79" s="275">
        <v>98</v>
      </c>
      <c r="AC79" s="275">
        <v>78</v>
      </c>
    </row>
    <row r="80" spans="1:29">
      <c r="B80" s="201" t="s">
        <v>292</v>
      </c>
      <c r="C80" s="201" t="s">
        <v>152</v>
      </c>
      <c r="D80" s="108" t="str">
        <f>IF('Índice IFRS 16 | Index IFRS 16'!$K$6="Português",$C80,$B80)</f>
        <v>Comportamento do Cliente e da Empresa</v>
      </c>
      <c r="E80" s="109"/>
      <c r="F80" s="109"/>
      <c r="G80" s="109"/>
      <c r="H80" s="109"/>
      <c r="I80" s="109"/>
      <c r="J80" s="109"/>
      <c r="K80" s="126"/>
      <c r="L80" s="126"/>
      <c r="M80" s="126"/>
      <c r="N80" s="126"/>
      <c r="O80" s="126"/>
      <c r="P80" s="126"/>
      <c r="Q80" s="126"/>
      <c r="R80" s="126"/>
      <c r="S80" s="126"/>
      <c r="T80" s="126"/>
      <c r="U80" s="126"/>
      <c r="V80" s="120"/>
      <c r="W80" s="109"/>
      <c r="X80" s="109"/>
      <c r="Y80" s="109"/>
      <c r="Z80" s="109"/>
      <c r="AA80" s="109"/>
      <c r="AB80" s="109"/>
      <c r="AC80" s="109"/>
    </row>
    <row r="81" spans="2:29" ht="26.4">
      <c r="B81" s="201" t="s">
        <v>293</v>
      </c>
      <c r="C81" s="201" t="s">
        <v>143</v>
      </c>
      <c r="D81" s="114" t="str">
        <f>IF('Índice IFRS 16 | Index IFRS 16'!$K$6="Português",$C81,$B81)</f>
        <v>Montante de multas e acordos legais e regulamentares associado a práticas anticoncorrenciais</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4"/>
      <c r="W81" s="116">
        <v>0</v>
      </c>
      <c r="X81" s="116">
        <v>0</v>
      </c>
      <c r="Y81" s="116">
        <v>0</v>
      </c>
      <c r="Z81" s="116">
        <v>0</v>
      </c>
      <c r="AA81" s="116">
        <v>0</v>
      </c>
      <c r="AB81" s="116">
        <v>0</v>
      </c>
      <c r="AC81" s="116">
        <v>0</v>
      </c>
    </row>
    <row r="82" spans="2:29">
      <c r="B82" s="201" t="s">
        <v>631</v>
      </c>
      <c r="C82" s="201" t="s">
        <v>632</v>
      </c>
      <c r="D82" s="108" t="str">
        <f>IF('Índice IFRS 16 | Index IFRS 16'!$K$6="Português",$C82,$B82)</f>
        <v>Canal Confidencial ⁶</v>
      </c>
      <c r="E82" s="109"/>
      <c r="F82" s="109"/>
      <c r="G82" s="109"/>
      <c r="H82" s="109"/>
      <c r="I82" s="109"/>
      <c r="J82" s="109"/>
      <c r="K82" s="126"/>
      <c r="L82" s="126"/>
      <c r="M82" s="126"/>
      <c r="N82" s="126"/>
      <c r="O82" s="126"/>
      <c r="P82" s="126"/>
      <c r="Q82" s="126"/>
      <c r="R82" s="126"/>
      <c r="S82" s="126"/>
      <c r="T82" s="126"/>
      <c r="U82" s="126"/>
      <c r="V82" s="120"/>
      <c r="W82" s="109"/>
      <c r="X82" s="109"/>
      <c r="Y82" s="109"/>
      <c r="Z82" s="109"/>
      <c r="AA82" s="109"/>
      <c r="AB82" s="109"/>
      <c r="AC82" s="109"/>
    </row>
    <row r="83" spans="2:29">
      <c r="B83" s="201" t="s">
        <v>374</v>
      </c>
      <c r="C83" s="201" t="s">
        <v>371</v>
      </c>
      <c r="D83" s="114" t="str">
        <f>IF('Índice IFRS 16 | Index IFRS 16'!$K$6="Português",$C83,$B83)</f>
        <v>Denúncias registradas</v>
      </c>
      <c r="E83" s="116"/>
      <c r="F83" s="116"/>
      <c r="G83" s="116"/>
      <c r="H83" s="116"/>
      <c r="I83" s="116"/>
      <c r="J83" s="116"/>
      <c r="K83" s="116"/>
      <c r="L83" s="116"/>
      <c r="M83" s="116"/>
      <c r="N83" s="116"/>
      <c r="O83" s="116"/>
      <c r="P83" s="116"/>
      <c r="Q83" s="116"/>
      <c r="R83" s="116"/>
      <c r="S83" s="116"/>
      <c r="T83" s="116"/>
      <c r="U83" s="116"/>
      <c r="V83" s="114"/>
      <c r="W83" s="116"/>
      <c r="X83" s="116">
        <v>796</v>
      </c>
      <c r="Y83" s="116">
        <v>933</v>
      </c>
      <c r="Z83" s="116">
        <v>595</v>
      </c>
      <c r="AA83" s="116">
        <v>904</v>
      </c>
      <c r="AB83" s="116">
        <v>1317</v>
      </c>
      <c r="AC83" s="116">
        <v>1393</v>
      </c>
    </row>
    <row r="84" spans="2:29">
      <c r="B84" s="201" t="s">
        <v>375</v>
      </c>
      <c r="C84" s="201" t="s">
        <v>372</v>
      </c>
      <c r="D84" s="114" t="str">
        <f>IF('Índice IFRS 16 | Index IFRS 16'!$K$6="Português",$C84,$B84)</f>
        <v>% Denúncias qualificadas para apuração</v>
      </c>
      <c r="E84" s="116"/>
      <c r="F84" s="116"/>
      <c r="G84" s="116"/>
      <c r="H84" s="116"/>
      <c r="I84" s="116"/>
      <c r="J84" s="116"/>
      <c r="K84" s="116"/>
      <c r="L84" s="116"/>
      <c r="M84" s="116"/>
      <c r="N84" s="116"/>
      <c r="O84" s="116"/>
      <c r="P84" s="116"/>
      <c r="Q84" s="116"/>
      <c r="R84" s="116"/>
      <c r="S84" s="116"/>
      <c r="T84" s="116"/>
      <c r="U84" s="116"/>
      <c r="V84" s="114"/>
      <c r="W84" s="116"/>
      <c r="X84" s="181">
        <v>73</v>
      </c>
      <c r="Y84" s="181">
        <v>73</v>
      </c>
      <c r="Z84" s="181">
        <v>67</v>
      </c>
      <c r="AA84" s="181">
        <v>71</v>
      </c>
      <c r="AB84" s="181">
        <v>81</v>
      </c>
      <c r="AC84" s="181">
        <v>81</v>
      </c>
    </row>
    <row r="85" spans="2:29">
      <c r="B85" s="201" t="s">
        <v>376</v>
      </c>
      <c r="C85" s="201" t="s">
        <v>373</v>
      </c>
      <c r="D85" s="114" t="str">
        <f>IF('Índice IFRS 16 | Index IFRS 16'!$K$6="Português",$C85,$B85)</f>
        <v>% Denúncias anônimas</v>
      </c>
      <c r="E85" s="116"/>
      <c r="F85" s="116"/>
      <c r="G85" s="116"/>
      <c r="H85" s="116"/>
      <c r="I85" s="116"/>
      <c r="J85" s="116"/>
      <c r="K85" s="116"/>
      <c r="L85" s="116"/>
      <c r="M85" s="116"/>
      <c r="N85" s="116"/>
      <c r="O85" s="116"/>
      <c r="P85" s="116"/>
      <c r="Q85" s="116"/>
      <c r="R85" s="116"/>
      <c r="S85" s="116"/>
      <c r="T85" s="116"/>
      <c r="U85" s="116"/>
      <c r="V85" s="114"/>
      <c r="W85" s="116"/>
      <c r="X85" s="181">
        <v>65</v>
      </c>
      <c r="Y85" s="181">
        <v>81</v>
      </c>
      <c r="Z85" s="181">
        <v>81</v>
      </c>
      <c r="AA85" s="181">
        <v>76</v>
      </c>
      <c r="AB85" s="181">
        <v>79</v>
      </c>
      <c r="AC85" s="181">
        <v>79</v>
      </c>
    </row>
    <row r="86" spans="2:29" ht="5.0999999999999996" customHeight="1">
      <c r="B86" s="201"/>
      <c r="C86" s="201"/>
      <c r="D86" s="114"/>
      <c r="E86" s="116"/>
      <c r="F86" s="116"/>
      <c r="G86" s="116"/>
      <c r="H86" s="116"/>
      <c r="I86" s="116"/>
      <c r="J86" s="116"/>
      <c r="K86" s="116"/>
      <c r="L86" s="116"/>
      <c r="M86" s="116"/>
      <c r="N86" s="116"/>
      <c r="O86" s="116"/>
      <c r="P86" s="116"/>
      <c r="Q86" s="116"/>
      <c r="R86" s="116"/>
      <c r="S86" s="116"/>
      <c r="T86" s="116"/>
      <c r="U86" s="116"/>
      <c r="V86" s="114"/>
      <c r="W86" s="116"/>
      <c r="X86" s="116"/>
      <c r="Y86" s="116"/>
      <c r="Z86" s="116"/>
      <c r="AA86" s="116"/>
      <c r="AB86" s="116"/>
      <c r="AC86" s="116"/>
    </row>
    <row r="87" spans="2:29">
      <c r="B87" s="201" t="s">
        <v>294</v>
      </c>
      <c r="C87" s="201" t="s">
        <v>144</v>
      </c>
      <c r="D87" s="105" t="str">
        <f>IF('Índice IFRS 16 | Index IFRS 16'!$K$6="Português",$C87,$B87)</f>
        <v>Governança</v>
      </c>
      <c r="E87" s="122"/>
      <c r="F87" s="122"/>
      <c r="G87" s="122"/>
      <c r="H87" s="122"/>
      <c r="I87" s="122"/>
      <c r="J87" s="122"/>
      <c r="K87" s="126"/>
      <c r="L87" s="126"/>
      <c r="M87" s="126"/>
      <c r="N87" s="126"/>
      <c r="O87" s="126"/>
      <c r="P87" s="126"/>
      <c r="Q87" s="126"/>
      <c r="R87" s="126"/>
      <c r="S87" s="126"/>
      <c r="T87" s="126"/>
      <c r="U87" s="126"/>
      <c r="V87" s="119"/>
      <c r="W87" s="122"/>
      <c r="X87" s="122"/>
      <c r="Y87" s="122"/>
      <c r="Z87" s="122"/>
      <c r="AA87" s="122"/>
      <c r="AB87" s="122"/>
      <c r="AC87" s="122"/>
    </row>
    <row r="88" spans="2:29" ht="5.4" customHeight="1">
      <c r="B88" s="201"/>
      <c r="C88" s="201"/>
      <c r="D88" s="107"/>
      <c r="E88" s="101"/>
      <c r="F88" s="101"/>
      <c r="G88" s="101"/>
      <c r="H88" s="101"/>
      <c r="I88" s="101"/>
      <c r="J88" s="101"/>
      <c r="K88" s="101"/>
      <c r="L88" s="101"/>
      <c r="M88" s="101"/>
      <c r="N88" s="101"/>
      <c r="O88" s="101"/>
      <c r="P88" s="101"/>
      <c r="Q88" s="101"/>
      <c r="R88" s="101"/>
      <c r="S88" s="101"/>
      <c r="T88" s="101"/>
      <c r="U88" s="101"/>
      <c r="V88" s="119"/>
      <c r="W88" s="201"/>
      <c r="X88" s="201"/>
      <c r="Y88" s="201"/>
      <c r="Z88" s="201"/>
      <c r="AA88" s="201"/>
      <c r="AB88" s="201"/>
      <c r="AC88" s="201"/>
    </row>
    <row r="89" spans="2:29">
      <c r="B89" s="201" t="s">
        <v>295</v>
      </c>
      <c r="C89" s="201" t="s">
        <v>145</v>
      </c>
      <c r="D89" s="108" t="str">
        <f>IF('Índice IFRS 16 | Index IFRS 16'!$K$6="Português",$C89,$B89)</f>
        <v>Administração</v>
      </c>
      <c r="E89" s="109"/>
      <c r="F89" s="109"/>
      <c r="G89" s="109"/>
      <c r="H89" s="109"/>
      <c r="I89" s="109"/>
      <c r="J89" s="109"/>
      <c r="K89" s="126"/>
      <c r="L89" s="126"/>
      <c r="M89" s="126"/>
      <c r="N89" s="126"/>
      <c r="O89" s="126"/>
      <c r="P89" s="126"/>
      <c r="Q89" s="126"/>
      <c r="R89" s="126"/>
      <c r="S89" s="126"/>
      <c r="T89" s="126"/>
      <c r="U89" s="126"/>
      <c r="V89" s="120"/>
      <c r="W89" s="109"/>
      <c r="X89" s="109"/>
      <c r="Y89" s="109"/>
      <c r="Z89" s="109"/>
      <c r="AA89" s="109"/>
      <c r="AB89" s="109"/>
      <c r="AC89" s="109"/>
    </row>
    <row r="90" spans="2:29">
      <c r="B90" s="201" t="s">
        <v>296</v>
      </c>
      <c r="C90" s="201" t="s">
        <v>146</v>
      </c>
      <c r="D90" s="111" t="str">
        <f>IF('Índice IFRS 16 | Index IFRS 16'!$K$6="Português",$C90,$B90)</f>
        <v>% de Conselheiros Independentes</v>
      </c>
      <c r="E90" s="115">
        <v>83.33</v>
      </c>
      <c r="F90" s="115">
        <v>81.819999999999993</v>
      </c>
      <c r="G90" s="115">
        <v>81.818181818181827</v>
      </c>
      <c r="H90" s="115">
        <v>80</v>
      </c>
      <c r="I90" s="115">
        <v>80</v>
      </c>
      <c r="J90" s="115">
        <v>90</v>
      </c>
      <c r="K90" s="115">
        <v>90.9</v>
      </c>
      <c r="L90" s="130">
        <v>90.91</v>
      </c>
      <c r="M90" s="115">
        <v>90.9</v>
      </c>
      <c r="N90" s="115">
        <v>90.91</v>
      </c>
      <c r="O90" s="115">
        <v>90.9</v>
      </c>
      <c r="P90" s="115">
        <v>90.9</v>
      </c>
      <c r="Q90" s="115">
        <v>90.9</v>
      </c>
      <c r="R90" s="115">
        <v>90.9</v>
      </c>
      <c r="S90" s="115">
        <v>91.7</v>
      </c>
      <c r="T90" s="115">
        <v>91.7</v>
      </c>
      <c r="U90" s="115">
        <v>91.666666666666657</v>
      </c>
      <c r="V90" s="114"/>
      <c r="W90" s="115">
        <v>85</v>
      </c>
      <c r="X90" s="115">
        <v>82</v>
      </c>
      <c r="Y90" s="110">
        <v>82</v>
      </c>
      <c r="Z90" s="110">
        <v>90</v>
      </c>
      <c r="AA90" s="110">
        <v>90.9</v>
      </c>
      <c r="AB90" s="110">
        <v>90.909090909090907</v>
      </c>
      <c r="AC90" s="110">
        <v>91.7</v>
      </c>
    </row>
    <row r="91" spans="2:29">
      <c r="B91" s="201" t="s">
        <v>297</v>
      </c>
      <c r="C91" s="201" t="s">
        <v>147</v>
      </c>
      <c r="D91" s="111" t="str">
        <f>IF('Índice IFRS 16 | Index IFRS 16'!$K$6="Português",$C91,$B91)</f>
        <v>% de Participação de mulheres no conselho de administração</v>
      </c>
      <c r="E91" s="115">
        <v>8.33</v>
      </c>
      <c r="F91" s="115">
        <v>9.09</v>
      </c>
      <c r="G91" s="115">
        <v>9.0909090909090917</v>
      </c>
      <c r="H91" s="115">
        <v>10</v>
      </c>
      <c r="I91" s="115">
        <v>10</v>
      </c>
      <c r="J91" s="115">
        <v>10</v>
      </c>
      <c r="K91" s="130">
        <v>9.1</v>
      </c>
      <c r="L91" s="130">
        <v>9.09</v>
      </c>
      <c r="M91" s="130">
        <v>9.1</v>
      </c>
      <c r="N91" s="130">
        <v>9.1</v>
      </c>
      <c r="O91" s="130">
        <v>9.1</v>
      </c>
      <c r="P91" s="130">
        <v>18.2</v>
      </c>
      <c r="Q91" s="130">
        <v>18.2</v>
      </c>
      <c r="R91" s="130">
        <v>18.2</v>
      </c>
      <c r="S91" s="130">
        <v>25</v>
      </c>
      <c r="T91" s="130">
        <v>25</v>
      </c>
      <c r="U91" s="130">
        <v>25</v>
      </c>
      <c r="V91" s="114"/>
      <c r="W91" s="115">
        <v>7.69</v>
      </c>
      <c r="X91" s="115">
        <v>9</v>
      </c>
      <c r="Y91" s="110">
        <v>9</v>
      </c>
      <c r="Z91" s="110">
        <v>10</v>
      </c>
      <c r="AA91" s="110">
        <v>9.1</v>
      </c>
      <c r="AB91" s="110">
        <v>18.18</v>
      </c>
      <c r="AC91" s="110">
        <v>25</v>
      </c>
    </row>
    <row r="92" spans="2:29">
      <c r="B92" s="201" t="s">
        <v>298</v>
      </c>
      <c r="C92" s="201" t="s">
        <v>148</v>
      </c>
      <c r="D92" s="111" t="str">
        <f>IF('Índice IFRS 16 | Index IFRS 16'!$K$6="Português",$C92,$B92)</f>
        <v>Idade média dos membros do Conselho de Administração</v>
      </c>
      <c r="E92" s="115">
        <v>55.727272727272727</v>
      </c>
      <c r="F92" s="115">
        <v>56.727272727272727</v>
      </c>
      <c r="G92" s="115">
        <v>57.403272976168246</v>
      </c>
      <c r="H92" s="115">
        <v>57.8</v>
      </c>
      <c r="I92" s="115">
        <v>58.487611225188232</v>
      </c>
      <c r="J92" s="115">
        <v>59</v>
      </c>
      <c r="K92" s="130">
        <v>57.9</v>
      </c>
      <c r="L92" s="130">
        <v>59.6</v>
      </c>
      <c r="M92" s="130">
        <v>59.53</v>
      </c>
      <c r="N92" s="130">
        <v>59.97</v>
      </c>
      <c r="O92" s="130">
        <v>59.97</v>
      </c>
      <c r="P92" s="130">
        <v>58.63</v>
      </c>
      <c r="Q92" s="130">
        <v>58.88</v>
      </c>
      <c r="R92" s="130">
        <v>59.3</v>
      </c>
      <c r="S92" s="130">
        <v>58.1</v>
      </c>
      <c r="T92" s="130">
        <v>58.36</v>
      </c>
      <c r="U92" s="130">
        <v>58.62</v>
      </c>
      <c r="V92" s="114"/>
      <c r="W92" s="115">
        <v>54.07692307692308</v>
      </c>
      <c r="X92" s="115">
        <v>56.090909090909093</v>
      </c>
      <c r="Y92" s="110">
        <v>57.090909090909093</v>
      </c>
      <c r="Z92" s="110">
        <v>59</v>
      </c>
      <c r="AA92" s="110">
        <v>59.920735071453748</v>
      </c>
      <c r="AB92" s="110">
        <v>58.386161408748698</v>
      </c>
      <c r="AC92" s="130">
        <v>58.1</v>
      </c>
    </row>
    <row r="93" spans="2:29">
      <c r="B93" s="201" t="s">
        <v>299</v>
      </c>
      <c r="C93" s="201" t="s">
        <v>149</v>
      </c>
      <c r="D93" s="111" t="str">
        <f>IF('Índice IFRS 16 | Index IFRS 16'!$K$6="Português",$C93,$B93)</f>
        <v xml:space="preserve">% de Frequência da diretoria em reuniões </v>
      </c>
      <c r="E93" s="115">
        <v>95</v>
      </c>
      <c r="F93" s="115">
        <v>85</v>
      </c>
      <c r="G93" s="115">
        <v>88.64</v>
      </c>
      <c r="H93" s="115">
        <v>100</v>
      </c>
      <c r="I93" s="115">
        <v>100</v>
      </c>
      <c r="J93" s="115">
        <v>88.7</v>
      </c>
      <c r="K93" s="130">
        <v>98</v>
      </c>
      <c r="L93" s="130">
        <v>98.86</v>
      </c>
      <c r="M93" s="130">
        <v>100</v>
      </c>
      <c r="N93" s="130">
        <v>100</v>
      </c>
      <c r="O93" s="130">
        <v>100</v>
      </c>
      <c r="P93" s="130">
        <v>100</v>
      </c>
      <c r="Q93" s="130">
        <v>100</v>
      </c>
      <c r="R93" s="130">
        <v>100</v>
      </c>
      <c r="S93" s="130">
        <v>100</v>
      </c>
      <c r="T93" s="130">
        <v>100</v>
      </c>
      <c r="U93" s="130">
        <v>100</v>
      </c>
      <c r="V93" s="114"/>
      <c r="W93" s="115">
        <v>94.87</v>
      </c>
      <c r="X93" s="115">
        <v>98.99</v>
      </c>
      <c r="Y93" s="110">
        <v>87.9</v>
      </c>
      <c r="Z93" s="110">
        <v>88.2</v>
      </c>
      <c r="AA93" s="110">
        <v>98.9</v>
      </c>
      <c r="AB93" s="110">
        <v>96.14</v>
      </c>
      <c r="AC93" s="110">
        <v>99.4</v>
      </c>
    </row>
    <row r="94" spans="2:29">
      <c r="B94" s="201" t="s">
        <v>300</v>
      </c>
      <c r="C94" s="201" t="s">
        <v>150</v>
      </c>
      <c r="D94" s="111" t="str">
        <f>IF('Índice IFRS 16 | Index IFRS 16'!$K$6="Português",$C94,$B94)</f>
        <v>Tamanho do Conselho de Administração</v>
      </c>
      <c r="E94" s="117">
        <v>12</v>
      </c>
      <c r="F94" s="117">
        <v>11</v>
      </c>
      <c r="G94" s="117">
        <v>11</v>
      </c>
      <c r="H94" s="117">
        <v>10</v>
      </c>
      <c r="I94" s="117">
        <v>10</v>
      </c>
      <c r="J94" s="117">
        <v>11</v>
      </c>
      <c r="K94" s="130">
        <v>11</v>
      </c>
      <c r="L94" s="133">
        <v>11</v>
      </c>
      <c r="M94" s="130">
        <v>11</v>
      </c>
      <c r="N94" s="130">
        <v>11</v>
      </c>
      <c r="O94" s="130">
        <v>11</v>
      </c>
      <c r="P94" s="130">
        <v>11</v>
      </c>
      <c r="Q94" s="130">
        <v>11</v>
      </c>
      <c r="R94" s="130">
        <v>11</v>
      </c>
      <c r="S94" s="130">
        <v>12</v>
      </c>
      <c r="T94" s="130">
        <v>12</v>
      </c>
      <c r="U94" s="130">
        <v>12</v>
      </c>
      <c r="V94" s="114"/>
      <c r="W94" s="117">
        <v>13</v>
      </c>
      <c r="X94" s="117">
        <v>11</v>
      </c>
      <c r="Y94" s="113">
        <v>11</v>
      </c>
      <c r="Z94" s="113">
        <v>10</v>
      </c>
      <c r="AA94" s="113">
        <v>11</v>
      </c>
      <c r="AB94" s="113">
        <v>11</v>
      </c>
      <c r="AC94" s="113">
        <v>12</v>
      </c>
    </row>
    <row r="95" spans="2:29">
      <c r="B95" s="201" t="s">
        <v>301</v>
      </c>
      <c r="C95" s="201" t="s">
        <v>151</v>
      </c>
      <c r="D95" s="111" t="str">
        <f>IF('Índice IFRS 16 | Index IFRS 16'!$K$6="Português",$C95,$B95)</f>
        <v>% de Participação de mulheres em cargo de gestão</v>
      </c>
      <c r="E95" s="110">
        <v>40.4</v>
      </c>
      <c r="F95" s="110">
        <v>39.4</v>
      </c>
      <c r="G95" s="110">
        <v>39.1</v>
      </c>
      <c r="H95" s="110">
        <v>39.5</v>
      </c>
      <c r="I95" s="110">
        <v>39.700000000000003</v>
      </c>
      <c r="J95" s="110">
        <v>39.5</v>
      </c>
      <c r="K95" s="130">
        <v>39.6</v>
      </c>
      <c r="L95" s="130">
        <v>39.4</v>
      </c>
      <c r="M95" s="130">
        <v>41.099999999999994</v>
      </c>
      <c r="N95" s="130">
        <v>43.4</v>
      </c>
      <c r="O95" s="130">
        <v>40.300000000000004</v>
      </c>
      <c r="P95" s="110">
        <v>40</v>
      </c>
      <c r="Q95" s="110">
        <v>40</v>
      </c>
      <c r="R95" s="110">
        <v>40</v>
      </c>
      <c r="S95" s="110">
        <v>38</v>
      </c>
      <c r="T95" s="110">
        <v>38</v>
      </c>
      <c r="U95" s="110">
        <v>38</v>
      </c>
      <c r="V95" s="114"/>
      <c r="W95" s="110">
        <v>41</v>
      </c>
      <c r="X95" s="110">
        <v>32</v>
      </c>
      <c r="Y95" s="110">
        <v>39.4</v>
      </c>
      <c r="Z95" s="110">
        <v>37.6</v>
      </c>
      <c r="AA95" s="110">
        <v>39.200000000000003</v>
      </c>
      <c r="AB95" s="110">
        <v>40</v>
      </c>
      <c r="AC95" s="110">
        <v>38</v>
      </c>
    </row>
    <row r="96" spans="2:29">
      <c r="B96" s="201" t="s">
        <v>458</v>
      </c>
      <c r="C96" s="201" t="s">
        <v>459</v>
      </c>
      <c r="D96" s="108" t="str">
        <f>IF('Índice IFRS 16 | Index IFRS 16'!$K$6="Português",$C96,$B96)</f>
        <v>Fornecedores⁴</v>
      </c>
      <c r="E96" s="109"/>
      <c r="F96" s="109"/>
      <c r="G96" s="109"/>
      <c r="H96" s="109"/>
      <c r="I96" s="109"/>
      <c r="J96" s="109"/>
      <c r="K96" s="126"/>
      <c r="L96" s="126"/>
      <c r="M96" s="126"/>
      <c r="N96" s="126"/>
      <c r="O96" s="126"/>
      <c r="P96" s="126"/>
      <c r="Q96" s="126"/>
      <c r="R96" s="126"/>
      <c r="S96" s="126"/>
      <c r="T96" s="126"/>
      <c r="U96" s="126"/>
      <c r="V96" s="120"/>
      <c r="W96" s="109"/>
      <c r="X96" s="109"/>
      <c r="Y96" s="109"/>
      <c r="Z96" s="109"/>
      <c r="AA96" s="109"/>
      <c r="AB96" s="109"/>
      <c r="AC96" s="109"/>
    </row>
    <row r="97" spans="2:29">
      <c r="B97" s="201" t="s">
        <v>386</v>
      </c>
      <c r="C97" s="201" t="s">
        <v>386</v>
      </c>
      <c r="D97" s="201" t="str">
        <f>IF('Índice IFRS 16 | Index IFRS 16'!$K$6="Português",$C97,$B97)</f>
        <v>Total</v>
      </c>
      <c r="W97" s="201"/>
      <c r="X97" s="201"/>
      <c r="Y97" s="201"/>
      <c r="Z97" s="235">
        <v>6119</v>
      </c>
      <c r="AA97" s="235">
        <v>5605</v>
      </c>
      <c r="AB97" s="235">
        <v>4822</v>
      </c>
      <c r="AC97" s="235">
        <f>SUM(AC98:AC99)</f>
        <v>5481</v>
      </c>
    </row>
    <row r="98" spans="2:29">
      <c r="B98" s="201" t="s">
        <v>264</v>
      </c>
      <c r="C98" s="201" t="s">
        <v>379</v>
      </c>
      <c r="D98" s="201" t="str">
        <f>IF('Índice IFRS 16 | Index IFRS 16'!$K$6="Português",$C98,$B98)</f>
        <v>Domésticos</v>
      </c>
      <c r="W98" s="201"/>
      <c r="X98" s="201"/>
      <c r="Y98" s="201"/>
      <c r="Z98" s="235">
        <v>5339</v>
      </c>
      <c r="AA98" s="235">
        <v>4599</v>
      </c>
      <c r="AB98" s="235">
        <v>4059</v>
      </c>
      <c r="AC98" s="235">
        <v>4633</v>
      </c>
    </row>
    <row r="99" spans="2:29">
      <c r="B99" s="201" t="s">
        <v>265</v>
      </c>
      <c r="C99" s="201" t="s">
        <v>380</v>
      </c>
      <c r="D99" s="201" t="str">
        <f>IF('Índice IFRS 16 | Index IFRS 16'!$K$6="Português",$C99,$B99)</f>
        <v>Internacionais</v>
      </c>
      <c r="W99" s="201"/>
      <c r="X99" s="201"/>
      <c r="Y99" s="201"/>
      <c r="Z99" s="235">
        <v>780</v>
      </c>
      <c r="AA99" s="235">
        <v>1006</v>
      </c>
      <c r="AB99" s="235">
        <v>763</v>
      </c>
      <c r="AC99" s="235">
        <v>848</v>
      </c>
    </row>
    <row r="100" spans="2:29">
      <c r="B100" s="201" t="s">
        <v>383</v>
      </c>
      <c r="C100" s="201" t="s">
        <v>378</v>
      </c>
      <c r="D100" s="201" t="str">
        <f>IF('Índice IFRS 16 | Index IFRS 16'!$K$6="Português",$C100,$B100)</f>
        <v>Valor (R$ Bi)</v>
      </c>
      <c r="W100" s="201"/>
      <c r="X100" s="201"/>
      <c r="Y100" s="201"/>
      <c r="Z100" s="252">
        <v>5.7190000000000003</v>
      </c>
      <c r="AA100" s="252">
        <v>10.624000000000001</v>
      </c>
      <c r="AB100" s="252">
        <v>15.350000000000001</v>
      </c>
      <c r="AC100" s="252">
        <f>SUM(AC101:AC102)</f>
        <v>15.399999999999999</v>
      </c>
    </row>
    <row r="101" spans="2:29">
      <c r="B101" s="201" t="s">
        <v>384</v>
      </c>
      <c r="C101" s="201" t="s">
        <v>381</v>
      </c>
      <c r="D101" s="201" t="str">
        <f>IF('Índice IFRS 16 | Index IFRS 16'!$K$6="Português",$C101,$B101)</f>
        <v>Domésticos (R$ Bi)</v>
      </c>
      <c r="W101" s="201"/>
      <c r="X101" s="201"/>
      <c r="Y101" s="201"/>
      <c r="Z101" s="252">
        <v>3.3300000000000005</v>
      </c>
      <c r="AA101" s="252">
        <v>6.1350000000000007</v>
      </c>
      <c r="AB101" s="252">
        <v>9.32</v>
      </c>
      <c r="AC101" s="252">
        <v>10.1</v>
      </c>
    </row>
    <row r="102" spans="2:29">
      <c r="B102" s="201" t="s">
        <v>385</v>
      </c>
      <c r="C102" s="201" t="s">
        <v>382</v>
      </c>
      <c r="D102" s="201" t="str">
        <f>IF('Índice IFRS 16 | Index IFRS 16'!$K$6="Português",$C102,$B102)</f>
        <v>Internacionais (R$ Bi)</v>
      </c>
      <c r="W102" s="201"/>
      <c r="X102" s="201"/>
      <c r="Y102" s="201"/>
      <c r="Z102" s="252">
        <v>2.3889999999999998</v>
      </c>
      <c r="AA102" s="252">
        <v>4.4889999999999999</v>
      </c>
      <c r="AB102" s="252">
        <v>6.03</v>
      </c>
      <c r="AC102" s="252">
        <v>5.3</v>
      </c>
    </row>
    <row r="103" spans="2:29">
      <c r="Z103" s="179"/>
      <c r="AA103" s="179"/>
      <c r="AB103" s="179"/>
      <c r="AC103" s="179"/>
    </row>
    <row r="104" spans="2:29">
      <c r="B104" s="99" t="s">
        <v>454</v>
      </c>
      <c r="C104" s="99" t="s">
        <v>464</v>
      </c>
      <c r="D104" s="201" t="str">
        <f>IF('Índice IFRS 16 | Index IFRS 16'!$K$6="Português",$C104,$B104)</f>
        <v>¹A Azul possui três restaurantes próprios operados por terceiros, que tem o compromisso de reduzir a perda e o desperdício de alimentos servidos. Suas práticas estão disponíveis em: https://www.stopfoodwasteday.com/en/about.html.</v>
      </c>
    </row>
    <row r="105" spans="2:29">
      <c r="B105" s="99" t="s">
        <v>452</v>
      </c>
      <c r="C105" s="99" t="s">
        <v>453</v>
      </c>
      <c r="D105" s="201" t="str">
        <f>IF('Índice IFRS 16 | Index IFRS 16'!$K$6="Português",$C105,$B105)</f>
        <v>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v>
      </c>
      <c r="Z105" s="179"/>
      <c r="AA105" s="179"/>
      <c r="AB105" s="179"/>
      <c r="AC105" s="179"/>
    </row>
    <row r="106" spans="2:29">
      <c r="B106" s="99" t="s">
        <v>455</v>
      </c>
      <c r="C106" s="99" t="s">
        <v>455</v>
      </c>
      <c r="D106" s="201" t="str">
        <f>IF('Índice IFRS 16 | Index IFRS 16'!$K$6="Português",$C106,$B106)</f>
        <v>³2021: Litro Luz: BRL 80.000,00 | Operação Sorriso: BRL 125.000,00 |  Centro de Pesquisa e Difusão da Arte Imaginário (Tapera das Artes): R$ 50.000,00 | FEAC: BRL 59.680,00 | Um Teto para meu País: BRL 52.000,00 | Apoio Pontual ao Instituto Ayrton Senna para o Mc Dia Feliz - BRL 9.996,00</v>
      </c>
    </row>
    <row r="107" spans="2:29">
      <c r="B107" s="99" t="s">
        <v>456</v>
      </c>
      <c r="C107" s="99" t="s">
        <v>457</v>
      </c>
      <c r="D107" s="201" t="str">
        <f>IF('Índice IFRS 16 | Index IFRS 16'!$K$6="Português",$C107,$B107)</f>
        <v>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v>
      </c>
    </row>
    <row r="108" spans="2:29">
      <c r="B108" s="99" t="s">
        <v>478</v>
      </c>
      <c r="C108" s="99" t="s">
        <v>477</v>
      </c>
      <c r="D108" s="201" t="str">
        <f>IF('Índice IFRS 16 | Index IFRS 16'!$K$6="Português",$C108,$B108)</f>
        <v>⁵Valores referentes as embalagens servidas para alimentação dos passegeiros em voo</v>
      </c>
    </row>
    <row r="109" spans="2:29">
      <c r="B109" s="201" t="s">
        <v>634</v>
      </c>
      <c r="C109" s="201" t="s">
        <v>633</v>
      </c>
      <c r="D109" s="201" t="str">
        <f>IF('Índice IFRS 16 | Index IFRS 16'!$K$6="Português",$C109,$B109)</f>
        <v>⁶ Não tivemos nenhum caso de corrupção no ano de 2021</v>
      </c>
    </row>
    <row r="110" spans="2:29">
      <c r="B110" s="99" t="s">
        <v>641</v>
      </c>
      <c r="C110" s="201" t="s">
        <v>644</v>
      </c>
      <c r="D110" s="201" t="str">
        <f>IF('Índice IFRS 16 | Index IFRS 16'!$K$6="Português",$C110,$B110)</f>
        <v>⁷Todos os indicadores sociais e ambientais cobrem 100% das operações da empresa, exceto quando mencionado de outra forma</v>
      </c>
    </row>
    <row r="111" spans="2:29">
      <c r="B111" s="201" t="s">
        <v>761</v>
      </c>
      <c r="C111" s="201" t="s">
        <v>758</v>
      </c>
      <c r="D111" s="201" t="str">
        <f>IF('Índice IFRS 16 | Index IFRS 16'!$K$6="Português",$C111,$B111)</f>
        <v>⁸Em 2024, melhoramos a monitoramento do consumo desse tipo de material, por isso o crescente número</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7" activePane="bottomRight" state="frozen"/>
      <selection activeCell="A2" sqref="A2"/>
      <selection pane="topRight" activeCell="E2" sqref="E2"/>
      <selection pane="bottomLeft" activeCell="A7" sqref="A7"/>
      <selection pane="bottomRight" activeCell="A2" sqref="A2"/>
    </sheetView>
  </sheetViews>
  <sheetFormatPr defaultColWidth="9.109375" defaultRowHeight="14.4"/>
  <cols>
    <col min="1" max="1" width="3.5546875" style="99" customWidth="1"/>
    <col min="2" max="3" width="9.109375" style="99" hidden="1" customWidth="1"/>
    <col min="4" max="4" width="71.44140625" style="99" bestFit="1" customWidth="1"/>
    <col min="5" max="9" width="18.5546875" style="99" customWidth="1"/>
    <col min="10" max="10" width="15.6640625" style="99" customWidth="1"/>
    <col min="11" max="11" width="17.33203125" style="99" customWidth="1"/>
    <col min="12" max="16384" width="9.109375" style="99"/>
  </cols>
  <sheetData>
    <row r="1" spans="2:33" hidden="1"/>
    <row r="4" spans="2:33" customFormat="1">
      <c r="B4" s="5"/>
      <c r="C4" s="5"/>
      <c r="D4" s="198" t="str">
        <f>IF('Índice IFRS 16 | Index IFRS 16'!$K$6="Português","Menu","Home")</f>
        <v>Menu</v>
      </c>
      <c r="P4" s="144"/>
      <c r="Q4" s="144"/>
      <c r="R4" s="145"/>
      <c r="S4" s="2"/>
      <c r="T4" s="147"/>
      <c r="U4" s="147"/>
      <c r="V4" s="148"/>
      <c r="W4" s="146"/>
      <c r="X4" s="146"/>
      <c r="Y4" s="146"/>
      <c r="Z4" s="146"/>
      <c r="AA4" s="146"/>
      <c r="AB4" s="146"/>
      <c r="AC4" s="146"/>
      <c r="AD4" s="146"/>
      <c r="AE4" s="144"/>
      <c r="AF4" s="144"/>
      <c r="AG4" s="144"/>
    </row>
    <row r="6" spans="2:33" hidden="1"/>
    <row r="8" spans="2:33" s="201" customFormat="1" ht="24.6" thickBot="1">
      <c r="B8" s="201" t="s">
        <v>596</v>
      </c>
      <c r="C8" s="201" t="s">
        <v>595</v>
      </c>
      <c r="D8" s="199" t="str">
        <f>IF('Índice IFRS 16 | Index IFRS 16'!$K$6="Português",$C8,$B8)</f>
        <v>Média De Horas De Capacitação Por Ano E Por Empregado</v>
      </c>
      <c r="E8" s="118" t="str">
        <f>IF('Índice IFRS 16 | Index IFRS 16'!$K$6="Português",$C1048507,$B1048507)</f>
        <v>Gênero</v>
      </c>
      <c r="F8" s="118">
        <f>IF('Índice IFRS 16 | Index IFRS 16'!$K$6="Português",$C1048508,$B1048508)</f>
        <v>2019</v>
      </c>
      <c r="G8" s="118">
        <f>IF('Índice IFRS 16 | Index IFRS 16'!$K$6="Português",$C1048509,$B1048509)</f>
        <v>2020</v>
      </c>
      <c r="H8" s="118">
        <f>IF('Índice IFRS 16 | Index IFRS 16'!$K$6="Português",$C1048510,$B1048510)</f>
        <v>2021</v>
      </c>
      <c r="I8" s="209" t="str">
        <f>IF('Índice IFRS 16 | Index IFRS 16'!$K$6="Português",$C1048511,$B1048511)</f>
        <v>Colaboradores por categoria e gênero</v>
      </c>
      <c r="J8" s="209" t="str">
        <f>IF('Índice IFRS 16 | Index IFRS 16'!$K$6="Português",$C1048512,$B1048512)</f>
        <v>Horas de treinamento por categoria</v>
      </c>
    </row>
    <row r="9" spans="2:33" s="202" customFormat="1" ht="11.4">
      <c r="B9" s="202" t="s">
        <v>482</v>
      </c>
      <c r="C9" s="202" t="s">
        <v>483</v>
      </c>
      <c r="D9" s="268" t="str">
        <f>IF('Índice IFRS 16 | Index IFRS 16'!$K$6="Português",$C9,$B9)</f>
        <v>Aeroportos</v>
      </c>
      <c r="E9" s="207" t="str">
        <f>IF('Índice IFRS 16 | Index IFRS 16'!$K$6="Português",$C$1048522,$B$1048522)</f>
        <v xml:space="preserve">Homem </v>
      </c>
      <c r="F9" s="211">
        <v>58.41</v>
      </c>
      <c r="G9" s="211">
        <v>17.53</v>
      </c>
      <c r="H9" s="211">
        <f>J9/I9</f>
        <v>26.510548001648125</v>
      </c>
      <c r="I9" s="210">
        <v>1618</v>
      </c>
      <c r="J9" s="210">
        <v>42894.066666666666</v>
      </c>
    </row>
    <row r="10" spans="2:33" s="202" customFormat="1" ht="11.4">
      <c r="D10" s="263"/>
      <c r="E10" s="207" t="str">
        <f>IF('Índice IFRS 16 | Index IFRS 16'!$K$6="Português",$C$1048523,$B$1048523)</f>
        <v>Mulher</v>
      </c>
      <c r="F10" s="211" t="s">
        <v>486</v>
      </c>
      <c r="G10" s="211" t="s">
        <v>486</v>
      </c>
      <c r="H10" s="211">
        <f>J10/I10</f>
        <v>25.489114352145425</v>
      </c>
      <c r="I10" s="210">
        <v>1577</v>
      </c>
      <c r="J10" s="210">
        <v>40196.333333333336</v>
      </c>
    </row>
    <row r="11" spans="2:33" s="202" customFormat="1" ht="4.5" customHeight="1">
      <c r="D11" s="208"/>
      <c r="E11" s="207"/>
      <c r="F11" s="211"/>
      <c r="G11" s="211"/>
      <c r="H11" s="211"/>
      <c r="I11" s="210"/>
      <c r="J11" s="210"/>
    </row>
    <row r="12" spans="2:33" s="202" customFormat="1" ht="11.4">
      <c r="B12" s="202" t="s">
        <v>487</v>
      </c>
      <c r="C12" s="202" t="s">
        <v>487</v>
      </c>
      <c r="D12" s="263" t="str">
        <f>IF('Índice IFRS 16 | Index IFRS 16'!$K$6="Português",$C12,$B12)</f>
        <v>Call Center</v>
      </c>
      <c r="E12" s="207" t="str">
        <f>IF('Índice IFRS 16 | Index IFRS 16'!$K$6="Português",$C$1048522,$B$1048522)</f>
        <v xml:space="preserve">Homem </v>
      </c>
      <c r="F12" s="211">
        <v>147.66</v>
      </c>
      <c r="G12" s="211">
        <v>158.83000000000001</v>
      </c>
      <c r="H12" s="211">
        <f>J12/I12</f>
        <v>94.308108108108115</v>
      </c>
      <c r="I12" s="210">
        <v>185</v>
      </c>
      <c r="J12" s="210">
        <v>17447</v>
      </c>
    </row>
    <row r="13" spans="2:33" s="202" customFormat="1" ht="11.4">
      <c r="D13" s="263"/>
      <c r="E13" s="207" t="str">
        <f>IF('Índice IFRS 16 | Index IFRS 16'!$K$6="Português",$C$1048523,$B$1048523)</f>
        <v>Mulher</v>
      </c>
      <c r="F13" s="211" t="s">
        <v>486</v>
      </c>
      <c r="G13" s="211" t="s">
        <v>486</v>
      </c>
      <c r="H13" s="211">
        <f>J13/I13</f>
        <v>102.13333333333334</v>
      </c>
      <c r="I13" s="210">
        <v>225</v>
      </c>
      <c r="J13" s="210">
        <v>22980</v>
      </c>
    </row>
    <row r="14" spans="2:33" s="202" customFormat="1" ht="4.5" customHeight="1">
      <c r="D14" s="208"/>
      <c r="E14" s="207"/>
      <c r="F14" s="211"/>
      <c r="G14" s="211"/>
      <c r="H14" s="211"/>
      <c r="I14" s="210"/>
      <c r="J14" s="210"/>
    </row>
    <row r="15" spans="2:33" s="202" customFormat="1" ht="11.4">
      <c r="B15" s="202" t="s">
        <v>488</v>
      </c>
      <c r="C15" s="202" t="s">
        <v>489</v>
      </c>
      <c r="D15" s="263" t="str">
        <f>IF('Índice IFRS 16 | Index IFRS 16'!$K$6="Português",$C15,$B15)</f>
        <v>Comissários</v>
      </c>
      <c r="E15" s="207" t="str">
        <f>IF('Índice IFRS 16 | Index IFRS 16'!$K$6="Português",$C$1048522,$B$1048522)</f>
        <v xml:space="preserve">Homem </v>
      </c>
      <c r="F15" s="211">
        <v>98.16</v>
      </c>
      <c r="G15" s="211">
        <v>72.08</v>
      </c>
      <c r="H15" s="211">
        <f>J15/I15</f>
        <v>74.665129331381166</v>
      </c>
      <c r="I15" s="210">
        <v>683</v>
      </c>
      <c r="J15" s="210">
        <v>50996.283333333333</v>
      </c>
    </row>
    <row r="16" spans="2:33" s="202" customFormat="1" ht="11.4">
      <c r="D16" s="263"/>
      <c r="E16" s="207" t="str">
        <f>IF('Índice IFRS 16 | Index IFRS 16'!$K$6="Português",$C$1048523,$B$1048523)</f>
        <v>Mulher</v>
      </c>
      <c r="F16" s="211" t="s">
        <v>486</v>
      </c>
      <c r="G16" s="211" t="s">
        <v>486</v>
      </c>
      <c r="H16" s="211">
        <f>J16/I16</f>
        <v>62.961659292035399</v>
      </c>
      <c r="I16" s="210">
        <v>2260</v>
      </c>
      <c r="J16" s="210">
        <v>142293.35</v>
      </c>
    </row>
    <row r="17" spans="2:10" s="202" customFormat="1" ht="4.5" customHeight="1">
      <c r="D17" s="208"/>
      <c r="E17" s="207"/>
      <c r="F17" s="211"/>
      <c r="G17" s="211"/>
      <c r="H17" s="211"/>
      <c r="I17" s="210"/>
      <c r="J17" s="210"/>
    </row>
    <row r="18" spans="2:10" s="202" customFormat="1" ht="11.4">
      <c r="B18" s="202" t="s">
        <v>490</v>
      </c>
      <c r="C18" s="202" t="s">
        <v>491</v>
      </c>
      <c r="D18" s="263" t="str">
        <f>IF('Índice IFRS 16 | Index IFRS 16'!$K$6="Português",$C18,$B18)</f>
        <v>Manutenção</v>
      </c>
      <c r="E18" s="207" t="str">
        <f>IF('Índice IFRS 16 | Index IFRS 16'!$K$6="Português",$C$1048522,$B$1048522)</f>
        <v xml:space="preserve">Homem </v>
      </c>
      <c r="F18" s="211">
        <v>86.07</v>
      </c>
      <c r="G18" s="211">
        <v>58.52</v>
      </c>
      <c r="H18" s="211">
        <f>J18/I18</f>
        <v>74.731930272108841</v>
      </c>
      <c r="I18" s="210">
        <v>2352</v>
      </c>
      <c r="J18" s="210">
        <v>175769.5</v>
      </c>
    </row>
    <row r="19" spans="2:10" s="202" customFormat="1" ht="11.4">
      <c r="D19" s="263"/>
      <c r="E19" s="207" t="str">
        <f>IF('Índice IFRS 16 | Index IFRS 16'!$K$6="Português",$C$1048523,$B$1048523)</f>
        <v>Mulher</v>
      </c>
      <c r="F19" s="211" t="s">
        <v>486</v>
      </c>
      <c r="G19" s="211" t="s">
        <v>486</v>
      </c>
      <c r="H19" s="211">
        <f>J19/I19</f>
        <v>50.190068493150683</v>
      </c>
      <c r="I19" s="210">
        <v>146</v>
      </c>
      <c r="J19" s="210">
        <v>7327.75</v>
      </c>
    </row>
    <row r="20" spans="2:10" s="202" customFormat="1" ht="4.5" customHeight="1">
      <c r="D20" s="208"/>
      <c r="E20" s="207"/>
      <c r="F20" s="211"/>
      <c r="G20" s="211"/>
      <c r="H20" s="211"/>
      <c r="I20" s="210"/>
      <c r="J20" s="210"/>
    </row>
    <row r="21" spans="2:10" s="202" customFormat="1" ht="11.4">
      <c r="B21" s="202" t="s">
        <v>492</v>
      </c>
      <c r="C21" s="202" t="s">
        <v>493</v>
      </c>
      <c r="D21" s="263" t="str">
        <f>IF('Índice IFRS 16 | Index IFRS 16'!$K$6="Português",$C21,$B21)</f>
        <v>Pilotos</v>
      </c>
      <c r="E21" s="207" t="str">
        <f>IF('Índice IFRS 16 | Index IFRS 16'!$K$6="Português",$C$1048522,$B$1048522)</f>
        <v xml:space="preserve">Homem </v>
      </c>
      <c r="F21" s="211">
        <v>154.6</v>
      </c>
      <c r="G21" s="211">
        <v>66.150000000000006</v>
      </c>
      <c r="H21" s="211">
        <f>J21/I21</f>
        <v>144.6398326572008</v>
      </c>
      <c r="I21" s="210">
        <v>1972</v>
      </c>
      <c r="J21" s="210">
        <v>285229.75</v>
      </c>
    </row>
    <row r="22" spans="2:10" s="202" customFormat="1" ht="11.4">
      <c r="D22" s="263"/>
      <c r="E22" s="207" t="str">
        <f>IF('Índice IFRS 16 | Index IFRS 16'!$K$6="Português",$C$1048523,$B$1048523)</f>
        <v>Mulher</v>
      </c>
      <c r="F22" s="211" t="s">
        <v>486</v>
      </c>
      <c r="G22" s="211" t="s">
        <v>486</v>
      </c>
      <c r="H22" s="211">
        <f>J22/I22</f>
        <v>128.41860465116278</v>
      </c>
      <c r="I22" s="210">
        <v>86</v>
      </c>
      <c r="J22" s="210">
        <v>11044</v>
      </c>
    </row>
    <row r="23" spans="2:10" s="202" customFormat="1" ht="4.5" customHeight="1">
      <c r="D23" s="208"/>
      <c r="E23" s="207"/>
      <c r="F23" s="211"/>
      <c r="G23" s="211"/>
      <c r="H23" s="211"/>
      <c r="I23" s="210"/>
      <c r="J23" s="210"/>
    </row>
    <row r="24" spans="2:10" s="202" customFormat="1" ht="11.4">
      <c r="B24" s="202" t="s">
        <v>494</v>
      </c>
      <c r="C24" s="202" t="s">
        <v>495</v>
      </c>
      <c r="D24" s="263" t="str">
        <f>IF('Índice IFRS 16 | Index IFRS 16'!$K$6="Português",$C24,$B24)</f>
        <v>Outros</v>
      </c>
      <c r="E24" s="207" t="str">
        <f>IF('Índice IFRS 16 | Index IFRS 16'!$K$6="Português",$C$1048522,$B$1048522)</f>
        <v xml:space="preserve">Homem </v>
      </c>
      <c r="F24" s="211">
        <v>30.15</v>
      </c>
      <c r="G24" s="211">
        <v>22.47</v>
      </c>
      <c r="H24" s="211">
        <f>J24/I24</f>
        <v>16.371919050366827</v>
      </c>
      <c r="I24" s="210">
        <v>12131</v>
      </c>
      <c r="J24" s="210">
        <v>198607.75</v>
      </c>
    </row>
    <row r="25" spans="2:10" s="202" customFormat="1" ht="11.4">
      <c r="D25" s="263"/>
      <c r="E25" s="207" t="str">
        <f>IF('Índice IFRS 16 | Index IFRS 16'!$K$6="Português",$C$1048523,$B$1048523)</f>
        <v>Mulher</v>
      </c>
      <c r="F25" s="211" t="s">
        <v>486</v>
      </c>
      <c r="G25" s="211" t="s">
        <v>486</v>
      </c>
      <c r="H25" s="211">
        <f>J25/I25</f>
        <v>13.570908616683266</v>
      </c>
      <c r="I25" s="210">
        <v>7029</v>
      </c>
      <c r="J25" s="210">
        <v>95389.916666666672</v>
      </c>
    </row>
    <row r="26" spans="2:10" s="202" customFormat="1" ht="4.5" customHeight="1">
      <c r="D26" s="208"/>
      <c r="E26" s="207"/>
      <c r="F26" s="211"/>
      <c r="G26" s="211"/>
      <c r="H26" s="211"/>
      <c r="I26" s="210"/>
      <c r="J26" s="210"/>
    </row>
    <row r="27" spans="2:10" s="202" customFormat="1" ht="11.4">
      <c r="B27" s="202" t="s">
        <v>386</v>
      </c>
      <c r="C27" s="202" t="s">
        <v>386</v>
      </c>
      <c r="D27" s="263" t="str">
        <f>IF('Índice IFRS 16 | Index IFRS 16'!$K$6="Português",$C27,$B27)</f>
        <v>Total</v>
      </c>
      <c r="E27" s="207" t="str">
        <f>IF('Índice IFRS 16 | Index IFRS 16'!$K$6="Português",$C$1048522,$B$1048522)</f>
        <v xml:space="preserve">Homem </v>
      </c>
      <c r="F27" s="211">
        <v>65.760000000000005</v>
      </c>
      <c r="G27" s="211">
        <v>68.91</v>
      </c>
      <c r="H27" s="211">
        <f>J27/I27</f>
        <v>62.288466510462953</v>
      </c>
      <c r="I27" s="210">
        <v>12377</v>
      </c>
      <c r="J27" s="210">
        <v>770944.35</v>
      </c>
    </row>
    <row r="28" spans="2:10" s="202" customFormat="1" ht="11.4">
      <c r="D28" s="263"/>
      <c r="E28" s="207" t="str">
        <f>IF('Índice IFRS 16 | Index IFRS 16'!$K$6="Português",$C$1048523,$B$1048523)</f>
        <v>Mulher</v>
      </c>
      <c r="F28" s="211" t="s">
        <v>486</v>
      </c>
      <c r="G28" s="211">
        <v>54.58</v>
      </c>
      <c r="H28" s="211">
        <f>J28/I28</f>
        <v>45.025578279266568</v>
      </c>
      <c r="I28" s="210">
        <v>7090</v>
      </c>
      <c r="J28" s="210">
        <v>319231.34999999998</v>
      </c>
    </row>
    <row r="29" spans="2:10">
      <c r="E29" s="189"/>
      <c r="F29" s="189"/>
      <c r="G29" s="189"/>
      <c r="H29" s="189"/>
      <c r="I29" s="189"/>
      <c r="J29" s="189"/>
    </row>
    <row r="30" spans="2:10" hidden="1">
      <c r="E30" s="189"/>
      <c r="F30" s="189"/>
      <c r="G30" s="189"/>
      <c r="H30" s="189"/>
      <c r="I30" s="189"/>
      <c r="J30" s="189"/>
    </row>
    <row r="31" spans="2:10" s="201" customFormat="1" ht="13.8" thickBot="1">
      <c r="B31" s="201" t="s">
        <v>597</v>
      </c>
      <c r="C31" s="201" t="s">
        <v>598</v>
      </c>
      <c r="D31" s="103" t="str">
        <f>IF('Índice IFRS 16 | Index IFRS 16'!$K$6="Português",$C31,$B31)</f>
        <v>Saúde E Segurança Ocupacional</v>
      </c>
      <c r="E31" s="118">
        <f>IF('Índice IFRS 16 | Index IFRS 16'!$K$6="Português",$C1048509,$B1048509)</f>
        <v>2020</v>
      </c>
      <c r="F31" s="118">
        <f>IF('Índice IFRS 16 | Index IFRS 16'!$K$6="Português",$C1048510,$B1048510)</f>
        <v>2021</v>
      </c>
    </row>
    <row r="32" spans="2:10" s="202" customFormat="1" ht="11.4">
      <c r="B32" s="202" t="s">
        <v>496</v>
      </c>
      <c r="C32" s="202" t="s">
        <v>497</v>
      </c>
      <c r="D32" s="190" t="str">
        <f>IF('Índice IFRS 16 | Index IFRS 16'!$K$6="Português",$C32,$B32)</f>
        <v>Número de óbitos em decorrência de acidentes relacionadas ao trabalho</v>
      </c>
      <c r="E32" s="212">
        <v>0</v>
      </c>
      <c r="F32" s="212">
        <v>0</v>
      </c>
    </row>
    <row r="33" spans="2:10" s="202" customFormat="1" ht="11.4">
      <c r="B33" s="202" t="s">
        <v>498</v>
      </c>
      <c r="C33" s="202" t="s">
        <v>499</v>
      </c>
      <c r="D33" s="191" t="str">
        <f>IF('Índice IFRS 16 | Index IFRS 16'!$K$6="Português",$C33,$B33)</f>
        <v>Taxa de óbitos em decorrência de acidentes relacionadas ao trabalho</v>
      </c>
      <c r="E33" s="212">
        <v>0</v>
      </c>
      <c r="F33" s="212">
        <v>0</v>
      </c>
    </row>
    <row r="34" spans="2:10" s="202" customFormat="1" ht="17.25" customHeight="1">
      <c r="B34" s="202" t="s">
        <v>500</v>
      </c>
      <c r="C34" s="202" t="s">
        <v>501</v>
      </c>
      <c r="D34" s="191" t="str">
        <f>IF('Índice IFRS 16 | Index IFRS 16'!$K$6="Português",$C34,$B34)</f>
        <v>Número de acidentes relacionadas ao trabalho de alta consequência (excluindo mortes)</v>
      </c>
      <c r="E34" s="212">
        <v>7</v>
      </c>
      <c r="F34" s="212">
        <v>25</v>
      </c>
      <c r="I34" s="205"/>
      <c r="J34" s="205"/>
    </row>
    <row r="35" spans="2:10" s="202" customFormat="1" ht="18.75" customHeight="1">
      <c r="B35" s="202" t="s">
        <v>502</v>
      </c>
      <c r="C35" s="202" t="s">
        <v>503</v>
      </c>
      <c r="D35" s="191" t="str">
        <f>IF('Índice IFRS 16 | Index IFRS 16'!$K$6="Português",$C35,$B35)</f>
        <v>Taxa de acidentes relacionadas ao trabalho de alta consequência (excluindo mortes)</v>
      </c>
      <c r="E35" s="212" t="s">
        <v>504</v>
      </c>
      <c r="F35" s="212" t="s">
        <v>505</v>
      </c>
      <c r="I35" s="205"/>
      <c r="J35" s="205"/>
    </row>
    <row r="36" spans="2:10" s="202" customFormat="1" ht="11.4">
      <c r="B36" s="202" t="s">
        <v>506</v>
      </c>
      <c r="C36" s="202" t="s">
        <v>507</v>
      </c>
      <c r="D36" s="191" t="str">
        <f>IF('Índice IFRS 16 | Index IFRS 16'!$K$6="Português",$C36,$B36)</f>
        <v>Número de acidentes relacionadas ao trabalho</v>
      </c>
      <c r="E36" s="212">
        <v>40</v>
      </c>
      <c r="F36" s="212">
        <v>125</v>
      </c>
      <c r="I36" s="205"/>
      <c r="J36" s="205"/>
    </row>
    <row r="37" spans="2:10" s="202" customFormat="1" ht="11.4">
      <c r="B37" s="202" t="s">
        <v>508</v>
      </c>
      <c r="C37" s="202" t="s">
        <v>509</v>
      </c>
      <c r="D37" s="191" t="str">
        <f>IF('Índice IFRS 16 | Index IFRS 16'!$K$6="Português",$C37,$B37)</f>
        <v>Taxa de acidentes relacionadas ao trabalho (taxa de frequência) - LTIFR</v>
      </c>
      <c r="E37" s="212" t="s">
        <v>510</v>
      </c>
      <c r="F37" s="212" t="s">
        <v>511</v>
      </c>
      <c r="I37" s="205"/>
      <c r="J37" s="205"/>
    </row>
    <row r="38" spans="2:10" s="202" customFormat="1" ht="15" customHeight="1">
      <c r="B38" s="202" t="s">
        <v>512</v>
      </c>
      <c r="C38" s="202" t="s">
        <v>513</v>
      </c>
      <c r="D38" s="191" t="str">
        <f>IF('Índice IFRS 16 | Index IFRS 16'!$K$6="Português",$C38,$B38)</f>
        <v>Número de horas trabalhadas*</v>
      </c>
      <c r="E38" s="213" t="s">
        <v>514</v>
      </c>
      <c r="F38" s="214" t="s">
        <v>515</v>
      </c>
      <c r="I38" s="205"/>
      <c r="J38" s="205"/>
    </row>
    <row r="39" spans="2:10">
      <c r="J39" s="192"/>
    </row>
    <row r="40" spans="2:10" s="201" customFormat="1" ht="48" customHeight="1" thickBot="1">
      <c r="B40" s="201" t="s">
        <v>599</v>
      </c>
      <c r="C40" s="201" t="s">
        <v>600</v>
      </c>
      <c r="D40" s="200" t="str">
        <f>IF('Índice IFRS 16 | Index IFRS 16'!$K$6="Português",$C40,$B40)</f>
        <v>Diversidade De Gênero</v>
      </c>
      <c r="E40" s="118" t="str">
        <f>IF('Índice IFRS 16 | Index IFRS 16'!$K$6="Português",$C1048507,$B1048507)</f>
        <v>Gênero</v>
      </c>
      <c r="F40" s="196" t="str">
        <f>IF('Índice IFRS 16 | Index IFRS 16'!$K$6="Português",$C1048513,$B1048513)</f>
        <v>Participação Gênero</v>
      </c>
      <c r="G40" s="197" t="str">
        <f>IF('Índice IFRS 16 | Index IFRS 16'!$K$6="Português",$C1048514,$B1048514)</f>
        <v xml:space="preserve"> Participação Faixa Etária (-30 anos)</v>
      </c>
      <c r="H40" s="196" t="str">
        <f>IF('Índice IFRS 16 | Index IFRS 16'!$K$6="Português",$C1048515,$B1048515)</f>
        <v>Participação Faixa Etária (30 a 50 anos)</v>
      </c>
      <c r="I40" s="196" t="str">
        <f>IF('Índice IFRS 16 | Index IFRS 16'!$K$6="Português",$C1048516,$B1048516)</f>
        <v>Participação Faixa Etária (+ 50 anos)</v>
      </c>
    </row>
    <row r="41" spans="2:10" s="202" customFormat="1" ht="12" thickTop="1">
      <c r="B41" s="202" t="s">
        <v>520</v>
      </c>
      <c r="C41" s="202" t="s">
        <v>521</v>
      </c>
      <c r="D41" s="264" t="str">
        <f>IF('Índice IFRS 16 | Index IFRS 16'!$K$6="Português",$C41,$B41)</f>
        <v>Diretor</v>
      </c>
      <c r="E41" s="227" t="str">
        <f>IF('Índice IFRS 16 | Index IFRS 16'!$K$6="Português",$C$1048522,$B$1048522)</f>
        <v xml:space="preserve">Homem </v>
      </c>
      <c r="F41" s="228">
        <v>0.76</v>
      </c>
      <c r="G41" s="266">
        <v>0</v>
      </c>
      <c r="H41" s="266">
        <v>0.67</v>
      </c>
      <c r="I41" s="266">
        <v>0.33</v>
      </c>
    </row>
    <row r="42" spans="2:10" s="202" customFormat="1" ht="11.4">
      <c r="D42" s="265"/>
      <c r="E42" s="225" t="str">
        <f>IF('Índice IFRS 16 | Index IFRS 16'!$K$6="Português",$C$1048523,$B$1048523)</f>
        <v>Mulher</v>
      </c>
      <c r="F42" s="226">
        <v>0.24</v>
      </c>
      <c r="G42" s="267"/>
      <c r="H42" s="267"/>
      <c r="I42" s="267"/>
    </row>
    <row r="43" spans="2:10" s="202" customFormat="1" ht="4.5" customHeight="1" thickBot="1">
      <c r="E43" s="219"/>
      <c r="F43" s="215"/>
      <c r="G43" s="216"/>
      <c r="H43" s="216"/>
      <c r="I43" s="216"/>
    </row>
    <row r="44" spans="2:10" s="202" customFormat="1" ht="12" thickTop="1">
      <c r="B44" s="202" t="s">
        <v>522</v>
      </c>
      <c r="C44" s="202" t="s">
        <v>523</v>
      </c>
      <c r="D44" s="269" t="str">
        <f>IF('Índice IFRS 16 | Index IFRS 16'!$K$6="Português",$C44,$B44)</f>
        <v>Gerente Geral / Sr</v>
      </c>
      <c r="E44" s="227" t="str">
        <f>IF('Índice IFRS 16 | Index IFRS 16'!$K$6="Português",$C$1048522,$B$1048522)</f>
        <v xml:space="preserve">Homem </v>
      </c>
      <c r="F44" s="228">
        <v>0.73</v>
      </c>
      <c r="G44" s="266">
        <v>0</v>
      </c>
      <c r="H44" s="270">
        <v>0.73</v>
      </c>
      <c r="I44" s="270">
        <v>0.27</v>
      </c>
    </row>
    <row r="45" spans="2:10" s="202" customFormat="1" ht="11.4">
      <c r="D45" s="265"/>
      <c r="E45" s="225" t="str">
        <f>IF('Índice IFRS 16 | Index IFRS 16'!$K$6="Português",$C$1048523,$B$1048523)</f>
        <v>Mulher</v>
      </c>
      <c r="F45" s="226">
        <v>0.27</v>
      </c>
      <c r="G45" s="267"/>
      <c r="H45" s="267"/>
      <c r="I45" s="267"/>
    </row>
    <row r="46" spans="2:10" s="202" customFormat="1" ht="4.5" customHeight="1" thickBot="1">
      <c r="E46" s="219"/>
      <c r="F46" s="215"/>
      <c r="G46" s="216"/>
      <c r="H46" s="216"/>
      <c r="I46" s="216"/>
    </row>
    <row r="47" spans="2:10" s="202" customFormat="1" ht="12" thickTop="1">
      <c r="B47" s="202" t="s">
        <v>524</v>
      </c>
      <c r="C47" s="202" t="s">
        <v>525</v>
      </c>
      <c r="D47" s="269" t="str">
        <f>IF('Índice IFRS 16 | Index IFRS 16'!$K$6="Português",$C47,$B47)</f>
        <v>Gerente</v>
      </c>
      <c r="E47" s="227" t="str">
        <f>IF('Índice IFRS 16 | Index IFRS 16'!$K$6="Português",$C$1048522,$B$1048522)</f>
        <v xml:space="preserve">Homem </v>
      </c>
      <c r="F47" s="228">
        <v>0.7</v>
      </c>
      <c r="G47" s="266">
        <v>0.01</v>
      </c>
      <c r="H47" s="270">
        <v>0.77</v>
      </c>
      <c r="I47" s="270">
        <v>0.22</v>
      </c>
    </row>
    <row r="48" spans="2:10" s="202" customFormat="1" ht="11.4">
      <c r="D48" s="265"/>
      <c r="E48" s="225" t="str">
        <f>IF('Índice IFRS 16 | Index IFRS 16'!$K$6="Português",$C$1048523,$B$1048523)</f>
        <v>Mulher</v>
      </c>
      <c r="F48" s="226">
        <v>0.3</v>
      </c>
      <c r="G48" s="267"/>
      <c r="H48" s="267"/>
      <c r="I48" s="267"/>
    </row>
    <row r="49" spans="2:9" s="202" customFormat="1" ht="4.5" customHeight="1" thickBot="1">
      <c r="E49" s="219"/>
      <c r="F49" s="215"/>
      <c r="G49" s="216"/>
      <c r="H49" s="216"/>
      <c r="I49" s="216"/>
    </row>
    <row r="50" spans="2:9" s="202" customFormat="1" ht="12" thickTop="1">
      <c r="B50" s="202" t="s">
        <v>526</v>
      </c>
      <c r="C50" s="202" t="s">
        <v>527</v>
      </c>
      <c r="D50" s="269" t="str">
        <f>IF('Índice IFRS 16 | Index IFRS 16'!$K$6="Português",$C50,$B50)</f>
        <v>Gerente Aeroporto</v>
      </c>
      <c r="E50" s="227" t="str">
        <f>IF('Índice IFRS 16 | Index IFRS 16'!$K$6="Português",$C$1048522,$B$1048522)</f>
        <v xml:space="preserve">Homem </v>
      </c>
      <c r="F50" s="228">
        <v>0.69</v>
      </c>
      <c r="G50" s="266">
        <v>0</v>
      </c>
      <c r="H50" s="270">
        <v>0.89</v>
      </c>
      <c r="I50" s="270">
        <v>0.11</v>
      </c>
    </row>
    <row r="51" spans="2:9" s="202" customFormat="1" ht="11.4">
      <c r="D51" s="265"/>
      <c r="E51" s="225" t="str">
        <f>IF('Índice IFRS 16 | Index IFRS 16'!$K$6="Português",$C$1048523,$B$1048523)</f>
        <v>Mulher</v>
      </c>
      <c r="F51" s="226">
        <v>0.31</v>
      </c>
      <c r="G51" s="267"/>
      <c r="H51" s="267"/>
      <c r="I51" s="267"/>
    </row>
    <row r="52" spans="2:9" s="202" customFormat="1" ht="4.5" customHeight="1" thickBot="1">
      <c r="E52" s="219"/>
      <c r="F52" s="215"/>
      <c r="G52" s="216"/>
      <c r="H52" s="216"/>
      <c r="I52" s="216"/>
    </row>
    <row r="53" spans="2:9" s="202" customFormat="1" ht="12" thickTop="1">
      <c r="B53" s="202" t="s">
        <v>528</v>
      </c>
      <c r="C53" s="202" t="s">
        <v>529</v>
      </c>
      <c r="D53" s="269" t="str">
        <f>IF('Índice IFRS 16 | Index IFRS 16'!$K$6="Português",$C53,$B53)</f>
        <v>Especialista/ Supervisor/ Coordenador</v>
      </c>
      <c r="E53" s="227" t="str">
        <f>IF('Índice IFRS 16 | Index IFRS 16'!$K$6="Português",$C$1048522,$B$1048522)</f>
        <v xml:space="preserve">Homem </v>
      </c>
      <c r="F53" s="228">
        <v>0.68</v>
      </c>
      <c r="G53" s="266">
        <v>7.0000000000000007E-2</v>
      </c>
      <c r="H53" s="270">
        <v>0.75</v>
      </c>
      <c r="I53" s="270">
        <v>0.19</v>
      </c>
    </row>
    <row r="54" spans="2:9" s="202" customFormat="1" ht="11.4">
      <c r="D54" s="265"/>
      <c r="E54" s="225" t="str">
        <f>IF('Índice IFRS 16 | Index IFRS 16'!$K$6="Português",$C$1048523,$B$1048523)</f>
        <v>Mulher</v>
      </c>
      <c r="F54" s="226">
        <v>0.32</v>
      </c>
      <c r="G54" s="267"/>
      <c r="H54" s="267"/>
      <c r="I54" s="267"/>
    </row>
    <row r="55" spans="2:9" s="202" customFormat="1" ht="4.5" customHeight="1" thickBot="1">
      <c r="E55" s="219"/>
      <c r="F55" s="215"/>
      <c r="G55" s="216"/>
      <c r="H55" s="216"/>
      <c r="I55" s="216"/>
    </row>
    <row r="56" spans="2:9" s="202" customFormat="1" ht="12" thickTop="1">
      <c r="B56" s="202" t="s">
        <v>530</v>
      </c>
      <c r="C56" s="202" t="s">
        <v>531</v>
      </c>
      <c r="D56" s="269" t="str">
        <f>IF('Índice IFRS 16 | Index IFRS 16'!$K$6="Português",$C56,$B56)</f>
        <v>Analista Senior</v>
      </c>
      <c r="E56" s="227" t="str">
        <f>IF('Índice IFRS 16 | Index IFRS 16'!$K$6="Português",$C$1048522,$B$1048522)</f>
        <v xml:space="preserve">Homem </v>
      </c>
      <c r="F56" s="228">
        <v>0.55000000000000004</v>
      </c>
      <c r="G56" s="266">
        <v>0.16</v>
      </c>
      <c r="H56" s="270">
        <v>0.77</v>
      </c>
      <c r="I56" s="270">
        <v>7.0000000000000007E-2</v>
      </c>
    </row>
    <row r="57" spans="2:9" s="202" customFormat="1" ht="11.4">
      <c r="D57" s="265"/>
      <c r="E57" s="225" t="str">
        <f>IF('Índice IFRS 16 | Index IFRS 16'!$K$6="Português",$C$1048523,$B$1048523)</f>
        <v>Mulher</v>
      </c>
      <c r="F57" s="226">
        <v>0.45</v>
      </c>
      <c r="G57" s="267"/>
      <c r="H57" s="267"/>
      <c r="I57" s="267"/>
    </row>
    <row r="58" spans="2:9" s="202" customFormat="1" ht="4.5" customHeight="1" thickBot="1">
      <c r="E58" s="219"/>
      <c r="F58" s="215"/>
      <c r="G58" s="216"/>
      <c r="H58" s="216"/>
      <c r="I58" s="216"/>
    </row>
    <row r="59" spans="2:9" s="202" customFormat="1" ht="12" thickTop="1">
      <c r="B59" s="202" t="s">
        <v>532</v>
      </c>
      <c r="C59" s="202" t="s">
        <v>533</v>
      </c>
      <c r="D59" s="269" t="str">
        <f>IF('Índice IFRS 16 | Index IFRS 16'!$K$6="Português",$C59,$B59)</f>
        <v>Analista Pleno</v>
      </c>
      <c r="E59" s="227" t="str">
        <f>IF('Índice IFRS 16 | Index IFRS 16'!$K$6="Português",$C$1048522,$B$1048522)</f>
        <v xml:space="preserve">Homem </v>
      </c>
      <c r="F59" s="228">
        <v>0.55000000000000004</v>
      </c>
      <c r="G59" s="266">
        <v>0.27</v>
      </c>
      <c r="H59" s="270">
        <v>0.69</v>
      </c>
      <c r="I59" s="270">
        <v>0.04</v>
      </c>
    </row>
    <row r="60" spans="2:9" s="202" customFormat="1" ht="11.4">
      <c r="D60" s="265"/>
      <c r="E60" s="225" t="str">
        <f>IF('Índice IFRS 16 | Index IFRS 16'!$K$6="Português",$C$1048523,$B$1048523)</f>
        <v>Mulher</v>
      </c>
      <c r="F60" s="226">
        <v>0.45</v>
      </c>
      <c r="G60" s="267"/>
      <c r="H60" s="267"/>
      <c r="I60" s="267"/>
    </row>
    <row r="61" spans="2:9" s="202" customFormat="1" ht="4.5" customHeight="1" thickBot="1">
      <c r="E61" s="219"/>
      <c r="F61" s="215"/>
      <c r="G61" s="216"/>
      <c r="H61" s="216"/>
      <c r="I61" s="216"/>
    </row>
    <row r="62" spans="2:9" s="202" customFormat="1" ht="12" thickTop="1">
      <c r="B62" s="202" t="s">
        <v>534</v>
      </c>
      <c r="C62" s="202" t="s">
        <v>535</v>
      </c>
      <c r="D62" s="269" t="str">
        <f>IF('Índice IFRS 16 | Index IFRS 16'!$K$6="Português",$C62,$B62)</f>
        <v>Analista Jr</v>
      </c>
      <c r="E62" s="227" t="str">
        <f>IF('Índice IFRS 16 | Index IFRS 16'!$K$6="Português",$C$1048522,$B$1048522)</f>
        <v xml:space="preserve">Homem </v>
      </c>
      <c r="F62" s="228">
        <v>0.53</v>
      </c>
      <c r="G62" s="266">
        <v>0.49</v>
      </c>
      <c r="H62" s="270">
        <v>0.49</v>
      </c>
      <c r="I62" s="270">
        <v>0.02</v>
      </c>
    </row>
    <row r="63" spans="2:9" s="202" customFormat="1" ht="11.4">
      <c r="D63" s="265"/>
      <c r="E63" s="225" t="str">
        <f>IF('Índice IFRS 16 | Index IFRS 16'!$K$6="Português",$C$1048523,$B$1048523)</f>
        <v>Mulher</v>
      </c>
      <c r="F63" s="226">
        <v>0.47</v>
      </c>
      <c r="G63" s="267"/>
      <c r="H63" s="267"/>
      <c r="I63" s="267"/>
    </row>
    <row r="64" spans="2:9" s="202" customFormat="1" ht="4.5" customHeight="1" thickBot="1">
      <c r="E64" s="219"/>
      <c r="F64" s="215"/>
      <c r="G64" s="216"/>
      <c r="H64" s="216"/>
      <c r="I64" s="216"/>
    </row>
    <row r="65" spans="2:9" s="202" customFormat="1" ht="12" thickTop="1">
      <c r="B65" s="202" t="s">
        <v>536</v>
      </c>
      <c r="C65" s="202" t="s">
        <v>537</v>
      </c>
      <c r="D65" s="269" t="str">
        <f>IF('Índice IFRS 16 | Index IFRS 16'!$K$6="Português",$C65,$B65)</f>
        <v>Auxiliar/Assistente</v>
      </c>
      <c r="E65" s="227" t="str">
        <f>IF('Índice IFRS 16 | Index IFRS 16'!$K$6="Português",$C$1048522,$B$1048522)</f>
        <v xml:space="preserve">Homem </v>
      </c>
      <c r="F65" s="228">
        <v>0.65</v>
      </c>
      <c r="G65" s="266">
        <v>0.49</v>
      </c>
      <c r="H65" s="270">
        <v>0.49</v>
      </c>
      <c r="I65" s="270">
        <v>0.02</v>
      </c>
    </row>
    <row r="66" spans="2:9" s="202" customFormat="1" ht="11.4">
      <c r="D66" s="265"/>
      <c r="E66" s="225" t="str">
        <f>IF('Índice IFRS 16 | Index IFRS 16'!$K$6="Português",$C$1048523,$B$1048523)</f>
        <v>Mulher</v>
      </c>
      <c r="F66" s="226">
        <v>0.35</v>
      </c>
      <c r="G66" s="267"/>
      <c r="H66" s="267"/>
      <c r="I66" s="267"/>
    </row>
    <row r="67" spans="2:9" s="202" customFormat="1" ht="4.5" customHeight="1" thickBot="1">
      <c r="E67" s="219"/>
      <c r="F67" s="215"/>
      <c r="G67" s="216"/>
      <c r="H67" s="216"/>
      <c r="I67" s="216"/>
    </row>
    <row r="68" spans="2:9" s="202" customFormat="1" ht="12" thickTop="1">
      <c r="B68" s="202" t="s">
        <v>538</v>
      </c>
      <c r="C68" s="202" t="s">
        <v>539</v>
      </c>
      <c r="D68" s="269" t="str">
        <f>IF('Índice IFRS 16 | Index IFRS 16'!$K$6="Português",$C68,$B68)</f>
        <v>Operacional</v>
      </c>
      <c r="E68" s="227" t="str">
        <f>IF('Índice IFRS 16 | Index IFRS 16'!$K$6="Português",$C$1048522,$B$1048522)</f>
        <v xml:space="preserve">Homem </v>
      </c>
      <c r="F68" s="228">
        <v>0.9</v>
      </c>
      <c r="G68" s="266">
        <v>0.21</v>
      </c>
      <c r="H68" s="270">
        <v>0.69</v>
      </c>
      <c r="I68" s="270">
        <v>0.09</v>
      </c>
    </row>
    <row r="69" spans="2:9" s="202" customFormat="1" ht="11.4">
      <c r="D69" s="265"/>
      <c r="E69" s="225" t="str">
        <f>IF('Índice IFRS 16 | Index IFRS 16'!$K$6="Português",$C$1048523,$B$1048523)</f>
        <v>Mulher</v>
      </c>
      <c r="F69" s="226">
        <v>0.1</v>
      </c>
      <c r="G69" s="267"/>
      <c r="H69" s="267"/>
      <c r="I69" s="267"/>
    </row>
    <row r="70" spans="2:9" s="202" customFormat="1" ht="4.5" customHeight="1" thickBot="1">
      <c r="E70" s="219"/>
      <c r="F70" s="215"/>
      <c r="G70" s="216"/>
      <c r="H70" s="216"/>
      <c r="I70" s="216"/>
    </row>
    <row r="71" spans="2:9" s="202" customFormat="1" ht="12" thickTop="1">
      <c r="B71" s="202" t="s">
        <v>487</v>
      </c>
      <c r="C71" s="202" t="s">
        <v>487</v>
      </c>
      <c r="D71" s="269" t="str">
        <f>IF('Índice IFRS 16 | Index IFRS 16'!$K$6="Português",$C71,$B71)</f>
        <v>Call Center</v>
      </c>
      <c r="E71" s="227" t="str">
        <f>IF('Índice IFRS 16 | Index IFRS 16'!$K$6="Português",$C$1048522,$B$1048522)</f>
        <v xml:space="preserve">Homem </v>
      </c>
      <c r="F71" s="228">
        <v>0.4</v>
      </c>
      <c r="G71" s="266">
        <v>0.41</v>
      </c>
      <c r="H71" s="270">
        <v>0.55000000000000004</v>
      </c>
      <c r="I71" s="270">
        <v>0.04</v>
      </c>
    </row>
    <row r="72" spans="2:9" s="202" customFormat="1" ht="11.4">
      <c r="D72" s="265"/>
      <c r="E72" s="225" t="str">
        <f>IF('Índice IFRS 16 | Index IFRS 16'!$K$6="Português",$C$1048523,$B$1048523)</f>
        <v>Mulher</v>
      </c>
      <c r="F72" s="226">
        <v>0.6</v>
      </c>
      <c r="G72" s="267"/>
      <c r="H72" s="267"/>
      <c r="I72" s="267"/>
    </row>
    <row r="73" spans="2:9" s="202" customFormat="1" ht="4.5" customHeight="1" thickBot="1">
      <c r="E73" s="219"/>
      <c r="F73" s="215"/>
      <c r="G73" s="216"/>
      <c r="H73" s="216"/>
      <c r="I73" s="216"/>
    </row>
    <row r="74" spans="2:9" s="202" customFormat="1" ht="12" thickTop="1">
      <c r="B74" s="202" t="s">
        <v>540</v>
      </c>
      <c r="C74" s="202" t="s">
        <v>540</v>
      </c>
      <c r="D74" s="269" t="str">
        <f>IF('Índice IFRS 16 | Index IFRS 16'!$K$6="Português",$C74,$B74)</f>
        <v>Cargas</v>
      </c>
      <c r="E74" s="227" t="str">
        <f>IF('Índice IFRS 16 | Index IFRS 16'!$K$6="Português",$C$1048522,$B$1048522)</f>
        <v xml:space="preserve">Homem </v>
      </c>
      <c r="F74" s="228">
        <v>0.74</v>
      </c>
      <c r="G74" s="266">
        <v>0.38</v>
      </c>
      <c r="H74" s="270">
        <v>0.6</v>
      </c>
      <c r="I74" s="270">
        <v>0.03</v>
      </c>
    </row>
    <row r="75" spans="2:9" s="202" customFormat="1" ht="11.4">
      <c r="D75" s="265"/>
      <c r="E75" s="225" t="str">
        <f>IF('Índice IFRS 16 | Index IFRS 16'!$K$6="Português",$C$1048523,$B$1048523)</f>
        <v>Mulher</v>
      </c>
      <c r="F75" s="226">
        <v>0.26</v>
      </c>
      <c r="G75" s="267"/>
      <c r="H75" s="267"/>
      <c r="I75" s="267"/>
    </row>
    <row r="76" spans="2:9" s="202" customFormat="1" ht="4.5" customHeight="1" thickBot="1">
      <c r="E76" s="219"/>
      <c r="F76" s="215"/>
      <c r="G76" s="216"/>
      <c r="H76" s="216"/>
      <c r="I76" s="216"/>
    </row>
    <row r="77" spans="2:9" s="202" customFormat="1" ht="12" thickTop="1">
      <c r="B77" s="202" t="s">
        <v>541</v>
      </c>
      <c r="C77" s="202" t="s">
        <v>542</v>
      </c>
      <c r="D77" s="269" t="str">
        <f>IF('Índice IFRS 16 | Index IFRS 16'!$K$6="Português",$C77,$B77)</f>
        <v>Aeroporto</v>
      </c>
      <c r="E77" s="227" t="str">
        <f>IF('Índice IFRS 16 | Index IFRS 16'!$K$6="Português",$C$1048522,$B$1048522)</f>
        <v xml:space="preserve">Homem </v>
      </c>
      <c r="F77" s="228">
        <v>0.49</v>
      </c>
      <c r="G77" s="266">
        <v>0.37</v>
      </c>
      <c r="H77" s="270">
        <v>0.59</v>
      </c>
      <c r="I77" s="270">
        <v>0.04</v>
      </c>
    </row>
    <row r="78" spans="2:9" s="202" customFormat="1" ht="11.4">
      <c r="D78" s="265"/>
      <c r="E78" s="225" t="str">
        <f>IF('Índice IFRS 16 | Index IFRS 16'!$K$6="Português",$C$1048523,$B$1048523)</f>
        <v>Mulher</v>
      </c>
      <c r="F78" s="226">
        <v>0.51</v>
      </c>
      <c r="G78" s="267"/>
      <c r="H78" s="267"/>
      <c r="I78" s="267"/>
    </row>
    <row r="79" spans="2:9" s="202" customFormat="1" ht="4.5" customHeight="1" thickBot="1">
      <c r="E79" s="219"/>
      <c r="F79" s="215"/>
      <c r="G79" s="216"/>
      <c r="H79" s="216"/>
      <c r="I79" s="216"/>
    </row>
    <row r="80" spans="2:9" s="202" customFormat="1" ht="12" thickTop="1">
      <c r="B80" s="202" t="s">
        <v>490</v>
      </c>
      <c r="C80" s="202" t="s">
        <v>491</v>
      </c>
      <c r="D80" s="269" t="str">
        <f>IF('Índice IFRS 16 | Index IFRS 16'!$K$6="Português",$C80,$B80)</f>
        <v>Manutenção</v>
      </c>
      <c r="E80" s="227" t="str">
        <f>IF('Índice IFRS 16 | Index IFRS 16'!$K$6="Português",$C$1048522,$B$1048522)</f>
        <v xml:space="preserve">Homem </v>
      </c>
      <c r="F80" s="228">
        <v>0.96</v>
      </c>
      <c r="G80" s="266">
        <v>0.1</v>
      </c>
      <c r="H80" s="270">
        <v>0.76</v>
      </c>
      <c r="I80" s="270">
        <v>0.13</v>
      </c>
    </row>
    <row r="81" spans="2:9" s="202" customFormat="1" ht="11.4">
      <c r="D81" s="265"/>
      <c r="E81" s="225" t="str">
        <f>IF('Índice IFRS 16 | Index IFRS 16'!$K$6="Português",$C$1048523,$B$1048523)</f>
        <v>Mulher</v>
      </c>
      <c r="F81" s="226">
        <v>0.04</v>
      </c>
      <c r="G81" s="267"/>
      <c r="H81" s="267"/>
      <c r="I81" s="267"/>
    </row>
    <row r="82" spans="2:9" s="202" customFormat="1" ht="4.5" customHeight="1" thickBot="1">
      <c r="E82" s="219"/>
      <c r="F82" s="215"/>
      <c r="G82" s="216"/>
      <c r="H82" s="216"/>
      <c r="I82" s="216"/>
    </row>
    <row r="83" spans="2:9" s="202" customFormat="1" ht="12" thickTop="1">
      <c r="B83" s="202" t="s">
        <v>543</v>
      </c>
      <c r="C83" s="202" t="s">
        <v>489</v>
      </c>
      <c r="D83" s="269" t="str">
        <f>IF('Índice IFRS 16 | Index IFRS 16'!$K$6="Português",$C83,$B83)</f>
        <v>Comissários</v>
      </c>
      <c r="E83" s="227" t="str">
        <f>IF('Índice IFRS 16 | Index IFRS 16'!$K$6="Português",$C$1048522,$B$1048522)</f>
        <v xml:space="preserve">Homem </v>
      </c>
      <c r="F83" s="228">
        <v>0.22</v>
      </c>
      <c r="G83" s="266">
        <v>0.26</v>
      </c>
      <c r="H83" s="270">
        <v>0.73</v>
      </c>
      <c r="I83" s="270">
        <v>0.01</v>
      </c>
    </row>
    <row r="84" spans="2:9" s="202" customFormat="1" ht="11.4">
      <c r="D84" s="265"/>
      <c r="E84" s="225" t="str">
        <f>IF('Índice IFRS 16 | Index IFRS 16'!$K$6="Português",$C$1048523,$B$1048523)</f>
        <v>Mulher</v>
      </c>
      <c r="F84" s="226">
        <v>0.78</v>
      </c>
      <c r="G84" s="267"/>
      <c r="H84" s="267"/>
      <c r="I84" s="267"/>
    </row>
    <row r="85" spans="2:9" s="202" customFormat="1" ht="4.5" customHeight="1" thickBot="1">
      <c r="E85" s="219"/>
      <c r="F85" s="215"/>
      <c r="G85" s="216"/>
      <c r="H85" s="216"/>
      <c r="I85" s="216"/>
    </row>
    <row r="86" spans="2:9" s="202" customFormat="1" ht="12" thickTop="1">
      <c r="B86" s="202" t="s">
        <v>492</v>
      </c>
      <c r="C86" s="202" t="s">
        <v>493</v>
      </c>
      <c r="D86" s="269" t="str">
        <f>IF('Índice IFRS 16 | Index IFRS 16'!$K$6="Português",$C86,$B86)</f>
        <v>Pilotos</v>
      </c>
      <c r="E86" s="227" t="str">
        <f>IF('Índice IFRS 16 | Index IFRS 16'!$K$6="Português",$C$1048522,$B$1048522)</f>
        <v xml:space="preserve">Homem </v>
      </c>
      <c r="F86" s="228">
        <v>0.96</v>
      </c>
      <c r="G86" s="266">
        <v>0.13</v>
      </c>
      <c r="H86" s="270">
        <v>0.67</v>
      </c>
      <c r="I86" s="270">
        <v>0.19</v>
      </c>
    </row>
    <row r="87" spans="2:9" s="202" customFormat="1" ht="11.4">
      <c r="D87" s="265"/>
      <c r="E87" s="225" t="str">
        <f>IF('Índice IFRS 16 | Index IFRS 16'!$K$6="Português",$C$1048523,$B$1048523)</f>
        <v>Mulher</v>
      </c>
      <c r="F87" s="226">
        <v>0.04</v>
      </c>
      <c r="G87" s="267"/>
      <c r="H87" s="267"/>
      <c r="I87" s="267"/>
    </row>
    <row r="88" spans="2:9" s="202" customFormat="1" ht="4.5" customHeight="1" thickBot="1">
      <c r="E88" s="219"/>
      <c r="F88" s="215"/>
      <c r="G88" s="216"/>
      <c r="H88" s="216"/>
      <c r="I88" s="216"/>
    </row>
    <row r="89" spans="2:9" s="202" customFormat="1" ht="12" thickTop="1">
      <c r="B89" s="202" t="s">
        <v>386</v>
      </c>
      <c r="C89" s="202" t="s">
        <v>386</v>
      </c>
      <c r="D89" s="269" t="str">
        <f>IF('Índice IFRS 16 | Index IFRS 16'!$K$6="Português",$C89,$B89)</f>
        <v>Total</v>
      </c>
      <c r="E89" s="227" t="str">
        <f>IF('Índice IFRS 16 | Index IFRS 16'!$K$6="Português",$C$1048522,$B$1048522)</f>
        <v xml:space="preserve">Homem </v>
      </c>
      <c r="F89" s="228">
        <v>0.59</v>
      </c>
      <c r="G89" s="266">
        <v>0.25</v>
      </c>
      <c r="H89" s="270">
        <v>0.67</v>
      </c>
      <c r="I89" s="270">
        <v>0.08</v>
      </c>
    </row>
    <row r="90" spans="2:9" s="202" customFormat="1" ht="11.4">
      <c r="D90" s="265"/>
      <c r="E90" s="225" t="str">
        <f>IF('Índice IFRS 16 | Index IFRS 16'!$K$6="Português",$C$1048523,$B$1048523)</f>
        <v>Mulher</v>
      </c>
      <c r="F90" s="226">
        <v>0.41</v>
      </c>
      <c r="G90" s="267"/>
      <c r="H90" s="267"/>
      <c r="I90" s="267"/>
    </row>
    <row r="91" spans="2:9">
      <c r="F91" s="217"/>
      <c r="G91" s="217"/>
      <c r="H91" s="217"/>
      <c r="I91" s="217"/>
    </row>
    <row r="92" spans="2:9" ht="15" thickBot="1">
      <c r="B92" s="99" t="s">
        <v>663</v>
      </c>
      <c r="C92" s="99" t="s">
        <v>664</v>
      </c>
      <c r="D92" s="103" t="str">
        <f>IF('Índice IFRS 16 | Index IFRS 16'!$K$6="Português",$C92,$B92)</f>
        <v>Diferença entre homens e mulheres empregados (%)</v>
      </c>
      <c r="E92" s="118">
        <f>IF('Índice IFRS 16 | Index IFRS 16'!$K$6="Português",$C1048510,$B1048510)</f>
        <v>2021</v>
      </c>
    </row>
    <row r="93" spans="2:9">
      <c r="B93" s="202" t="s">
        <v>665</v>
      </c>
      <c r="C93" s="202" t="s">
        <v>671</v>
      </c>
      <c r="D93" s="202" t="str">
        <f>IF('Índice IFRS 16 | Index IFRS 16'!$K$6="Português",$C93,$B93)</f>
        <v>Diferença salarial média entre os gêneros</v>
      </c>
      <c r="E93" s="217">
        <v>3</v>
      </c>
    </row>
    <row r="94" spans="2:9">
      <c r="B94" s="202" t="s">
        <v>666</v>
      </c>
      <c r="C94" s="202" t="s">
        <v>672</v>
      </c>
      <c r="D94" s="202" t="str">
        <f>IF('Índice IFRS 16 | Index IFRS 16'!$K$6="Português",$C94,$B94)</f>
        <v>Diferença salarial mediana entre os genêros</v>
      </c>
      <c r="E94" s="217">
        <v>5</v>
      </c>
    </row>
    <row r="95" spans="2:9">
      <c r="B95" s="202" t="s">
        <v>667</v>
      </c>
      <c r="C95" s="202" t="s">
        <v>669</v>
      </c>
      <c r="D95" s="202" t="str">
        <f>IF('Índice IFRS 16 | Index IFRS 16'!$K$6="Português",$C95,$B95)</f>
        <v>Diferença média de bônus</v>
      </c>
      <c r="E95" s="217">
        <v>7</v>
      </c>
    </row>
    <row r="96" spans="2:9">
      <c r="B96" s="202" t="s">
        <v>668</v>
      </c>
      <c r="C96" s="202" t="s">
        <v>670</v>
      </c>
      <c r="D96" s="202" t="str">
        <f>IF('Índice IFRS 16 | Index IFRS 16'!$K$6="Português",$C96,$B96)</f>
        <v>Diferença mediana do bônus</v>
      </c>
      <c r="E96" s="217">
        <v>8</v>
      </c>
    </row>
    <row r="99" spans="2:6" ht="15" thickBot="1">
      <c r="B99" s="201" t="s">
        <v>601</v>
      </c>
      <c r="C99" s="201" t="s">
        <v>602</v>
      </c>
      <c r="D99" s="103" t="str">
        <f>IF('Índice IFRS 16 | Index IFRS 16'!$K$6="Português",$C99,$B99)</f>
        <v>Diversidade - Outros Grupos Minoritários</v>
      </c>
      <c r="E99" s="193" t="str">
        <f>IF('Índice IFRS 16 | Index IFRS 16'!$K$6="Português",$C1048517,$B1048517)</f>
        <v>Negros</v>
      </c>
      <c r="F99" s="193" t="str">
        <f>IF('Índice IFRS 16 | Index IFRS 16'!$K$6="Português",$C1048518,$B1048518)</f>
        <v>Portador de Deficiência</v>
      </c>
    </row>
    <row r="100" spans="2:6" s="202" customFormat="1" ht="11.4">
      <c r="B100" s="202" t="s">
        <v>520</v>
      </c>
      <c r="C100" s="202" t="s">
        <v>521</v>
      </c>
      <c r="D100" s="204" t="str">
        <f>IF('Índice IFRS 16 | Index IFRS 16'!$K$6="Português",$C100,$B100)</f>
        <v>Diretor</v>
      </c>
      <c r="E100" s="218">
        <v>0</v>
      </c>
      <c r="F100" s="218">
        <v>0</v>
      </c>
    </row>
    <row r="101" spans="2:6" s="202" customFormat="1" ht="11.4">
      <c r="B101" s="202" t="s">
        <v>545</v>
      </c>
      <c r="C101" s="202" t="s">
        <v>546</v>
      </c>
      <c r="D101" s="204" t="str">
        <f>IF('Índice IFRS 16 | Index IFRS 16'!$K$6="Português",$C101,$B101)</f>
        <v>Gerente Geral/ Sr</v>
      </c>
      <c r="E101" s="218">
        <v>0</v>
      </c>
      <c r="F101" s="218">
        <v>0</v>
      </c>
    </row>
    <row r="102" spans="2:6" s="202" customFormat="1" ht="11.4">
      <c r="B102" s="202" t="s">
        <v>524</v>
      </c>
      <c r="C102" s="202" t="s">
        <v>525</v>
      </c>
      <c r="D102" s="204" t="str">
        <f>IF('Índice IFRS 16 | Index IFRS 16'!$K$6="Português",$C102,$B102)</f>
        <v>Gerente</v>
      </c>
      <c r="E102" s="218">
        <v>0.02</v>
      </c>
      <c r="F102" s="218">
        <v>0</v>
      </c>
    </row>
    <row r="103" spans="2:6" s="202" customFormat="1" ht="11.4">
      <c r="B103" s="202" t="s">
        <v>526</v>
      </c>
      <c r="C103" s="202" t="s">
        <v>527</v>
      </c>
      <c r="D103" s="204" t="str">
        <f>IF('Índice IFRS 16 | Index IFRS 16'!$K$6="Português",$C103,$B103)</f>
        <v>Gerente Aeroporto</v>
      </c>
      <c r="E103" s="218">
        <v>0.02</v>
      </c>
      <c r="F103" s="218">
        <v>0</v>
      </c>
    </row>
    <row r="104" spans="2:6" s="202" customFormat="1" ht="11.4">
      <c r="B104" s="202" t="s">
        <v>547</v>
      </c>
      <c r="C104" s="202" t="s">
        <v>529</v>
      </c>
      <c r="D104" s="191" t="str">
        <f>IF('Índice IFRS 16 | Index IFRS 16'!$K$6="Português",$C104,$B104)</f>
        <v>Especialista/ Supervisor/ Coordenador</v>
      </c>
      <c r="E104" s="218">
        <v>0.03</v>
      </c>
      <c r="F104" s="218">
        <v>0.01</v>
      </c>
    </row>
    <row r="105" spans="2:6" s="202" customFormat="1" ht="11.4">
      <c r="B105" s="202" t="s">
        <v>548</v>
      </c>
      <c r="C105" s="202" t="s">
        <v>549</v>
      </c>
      <c r="D105" s="204" t="str">
        <f>IF('Índice IFRS 16 | Index IFRS 16'!$K$6="Português",$C105,$B105)</f>
        <v>Analista Sr</v>
      </c>
      <c r="E105" s="218">
        <v>0.02</v>
      </c>
      <c r="F105" s="218">
        <v>0.01</v>
      </c>
    </row>
    <row r="106" spans="2:6" s="202" customFormat="1" ht="11.4">
      <c r="B106" s="202" t="s">
        <v>550</v>
      </c>
      <c r="C106" s="202" t="s">
        <v>551</v>
      </c>
      <c r="D106" s="204" t="str">
        <f>IF('Índice IFRS 16 | Index IFRS 16'!$K$6="Português",$C106,$B106)</f>
        <v>Analista PI</v>
      </c>
      <c r="E106" s="218">
        <v>0.05</v>
      </c>
      <c r="F106" s="218">
        <v>0.02</v>
      </c>
    </row>
    <row r="107" spans="2:6" s="202" customFormat="1" ht="11.4">
      <c r="B107" s="202" t="s">
        <v>534</v>
      </c>
      <c r="C107" s="202" t="s">
        <v>535</v>
      </c>
      <c r="D107" s="204" t="str">
        <f>IF('Índice IFRS 16 | Index IFRS 16'!$K$6="Português",$C107,$B107)</f>
        <v>Analista Jr</v>
      </c>
      <c r="E107" s="218">
        <v>0.08</v>
      </c>
      <c r="F107" s="218">
        <v>0.01</v>
      </c>
    </row>
    <row r="108" spans="2:6" s="202" customFormat="1" ht="11.4">
      <c r="B108" s="202" t="s">
        <v>552</v>
      </c>
      <c r="C108" s="202" t="s">
        <v>553</v>
      </c>
      <c r="D108" s="204" t="str">
        <f>IF('Índice IFRS 16 | Index IFRS 16'!$K$6="Português",$C108,$B108)</f>
        <v>Auxiliar/ Assistente</v>
      </c>
      <c r="E108" s="218">
        <v>0.12</v>
      </c>
      <c r="F108" s="218">
        <v>0.03</v>
      </c>
    </row>
    <row r="109" spans="2:6" s="202" customFormat="1" ht="11.4">
      <c r="B109" s="202" t="s">
        <v>554</v>
      </c>
      <c r="C109" s="202" t="s">
        <v>539</v>
      </c>
      <c r="D109" s="204" t="str">
        <f>IF('Índice IFRS 16 | Index IFRS 16'!$K$6="Português",$C109,$B109)</f>
        <v>Operacional</v>
      </c>
      <c r="E109" s="218">
        <v>0.1</v>
      </c>
      <c r="F109" s="218">
        <v>0.01</v>
      </c>
    </row>
    <row r="110" spans="2:6" s="202" customFormat="1" ht="11.4">
      <c r="B110" s="202" t="s">
        <v>487</v>
      </c>
      <c r="C110" s="202" t="s">
        <v>487</v>
      </c>
      <c r="D110" s="204" t="str">
        <f>IF('Índice IFRS 16 | Index IFRS 16'!$K$6="Português",$C110,$B110)</f>
        <v>Call Center</v>
      </c>
      <c r="E110" s="218">
        <v>0.13</v>
      </c>
      <c r="F110" s="218">
        <v>0.02</v>
      </c>
    </row>
    <row r="111" spans="2:6" s="202" customFormat="1" ht="11.4">
      <c r="B111" s="202" t="s">
        <v>540</v>
      </c>
      <c r="C111" s="202" t="s">
        <v>540</v>
      </c>
      <c r="D111" s="191" t="str">
        <f>IF('Índice IFRS 16 | Index IFRS 16'!$K$6="Português",$C111,$B111)</f>
        <v>Cargas</v>
      </c>
      <c r="E111" s="218">
        <v>0.12</v>
      </c>
      <c r="F111" s="218">
        <v>0</v>
      </c>
    </row>
    <row r="112" spans="2:6" s="202" customFormat="1" ht="11.4">
      <c r="B112" s="202" t="s">
        <v>541</v>
      </c>
      <c r="C112" s="202" t="s">
        <v>542</v>
      </c>
      <c r="D112" s="191" t="str">
        <f>IF('Índice IFRS 16 | Index IFRS 16'!$K$6="Português",$C112,$B112)</f>
        <v>Aeroporto</v>
      </c>
      <c r="E112" s="218">
        <v>7.0000000000000007E-2</v>
      </c>
      <c r="F112" s="218">
        <v>0.02</v>
      </c>
    </row>
    <row r="113" spans="2:8" s="202" customFormat="1" ht="11.4">
      <c r="B113" s="202" t="s">
        <v>490</v>
      </c>
      <c r="C113" s="202" t="s">
        <v>491</v>
      </c>
      <c r="D113" s="191" t="str">
        <f>IF('Índice IFRS 16 | Index IFRS 16'!$K$6="Português",$C113,$B113)</f>
        <v>Manutenção</v>
      </c>
      <c r="E113" s="218">
        <v>7.0000000000000007E-2</v>
      </c>
      <c r="F113" s="218">
        <v>0</v>
      </c>
    </row>
    <row r="114" spans="2:8" s="202" customFormat="1" ht="11.4">
      <c r="B114" s="202" t="s">
        <v>543</v>
      </c>
      <c r="C114" s="202" t="s">
        <v>489</v>
      </c>
      <c r="D114" s="191" t="str">
        <f>IF('Índice IFRS 16 | Index IFRS 16'!$K$6="Português",$C114,$B114)</f>
        <v>Comissários</v>
      </c>
      <c r="E114" s="218">
        <v>0.02</v>
      </c>
      <c r="F114" s="218">
        <v>0</v>
      </c>
    </row>
    <row r="115" spans="2:8" s="202" customFormat="1" ht="11.4">
      <c r="B115" s="202" t="s">
        <v>492</v>
      </c>
      <c r="C115" s="202" t="s">
        <v>493</v>
      </c>
      <c r="D115" s="191" t="str">
        <f>IF('Índice IFRS 16 | Index IFRS 16'!$K$6="Português",$C115,$B115)</f>
        <v>Pilotos</v>
      </c>
      <c r="E115" s="218">
        <v>0.01</v>
      </c>
      <c r="F115" s="218">
        <v>0</v>
      </c>
    </row>
    <row r="116" spans="2:8" s="202" customFormat="1" ht="11.4">
      <c r="B116" s="202" t="s">
        <v>386</v>
      </c>
      <c r="C116" s="202" t="s">
        <v>386</v>
      </c>
      <c r="D116" s="191" t="str">
        <f>IF('Índice IFRS 16 | Index IFRS 16'!$K$6="Português",$C116,$B116)</f>
        <v>Total</v>
      </c>
      <c r="E116" s="218">
        <v>0.05</v>
      </c>
      <c r="F116" s="218">
        <v>0.01</v>
      </c>
    </row>
    <row r="119" spans="2:8" ht="15" thickBot="1">
      <c r="B119" s="99" t="s">
        <v>603</v>
      </c>
      <c r="C119" s="99" t="s">
        <v>604</v>
      </c>
      <c r="D119" s="194" t="str">
        <f>IF('Índice IFRS 16 | Index IFRS 16'!$K$6="Português",$C119,$B119)</f>
        <v>Razão Entre Salário Base E Remuneração De Homens E Mulheres</v>
      </c>
      <c r="E119" s="193" t="str">
        <f>IF('Índice IFRS 16 | Index IFRS 16'!$K$6="Português",$C1048519,$B1048519)</f>
        <v>Razão 2020</v>
      </c>
      <c r="F119" s="271" t="str">
        <f>IF('Índice IFRS 16 | Index IFRS 16'!$K$6="Português",$C1048520,$B1048520)</f>
        <v>Razão 2021</v>
      </c>
      <c r="G119" s="272"/>
    </row>
    <row r="120" spans="2:8" s="202" customFormat="1" ht="42" customHeight="1">
      <c r="B120" s="202" t="s">
        <v>557</v>
      </c>
      <c r="C120" s="202" t="s">
        <v>558</v>
      </c>
      <c r="D120" s="191" t="str">
        <f>IF('Índice IFRS 16 | Index IFRS 16'!$K$6="Português",$C120,$B120)</f>
        <v>Categoria funcional</v>
      </c>
      <c r="E120" s="220" t="str">
        <f>IF('Índice IFRS 16 | Index IFRS 16'!$K$6="Português",$C1048524,$B1048524)</f>
        <v>Razão entre a remuneração de mulheres e homens</v>
      </c>
      <c r="F120" s="220" t="str">
        <f>IF('Índice IFRS 16 | Index IFRS 16'!$K$6="Português",$C1048525,$B1048525)</f>
        <v>Salário base</v>
      </c>
      <c r="G120" s="220" t="str">
        <f>IF('Índice IFRS 16 | Index IFRS 16'!$K$6="Português",$C1048526,$B1048526)</f>
        <v>Remuneração</v>
      </c>
    </row>
    <row r="121" spans="2:8" s="202" customFormat="1" ht="11.4">
      <c r="B121" s="202" t="s">
        <v>520</v>
      </c>
      <c r="C121" s="202" t="s">
        <v>521</v>
      </c>
      <c r="D121" s="204" t="str">
        <f>IF('Índice IFRS 16 | Index IFRS 16'!$K$6="Português",$C121,$B121)</f>
        <v>Diretor</v>
      </c>
      <c r="E121" s="221">
        <v>0.95</v>
      </c>
      <c r="F121" s="220" t="s">
        <v>562</v>
      </c>
      <c r="G121" s="220" t="s">
        <v>563</v>
      </c>
    </row>
    <row r="122" spans="2:8" s="202" customFormat="1" ht="11.4">
      <c r="B122" s="202" t="s">
        <v>564</v>
      </c>
      <c r="C122" s="202" t="s">
        <v>546</v>
      </c>
      <c r="D122" s="204" t="str">
        <f>IF('Índice IFRS 16 | Index IFRS 16'!$K$6="Português",$C122,$B122)</f>
        <v>Gerente Geral/ Sr</v>
      </c>
      <c r="E122" s="221">
        <v>0.86</v>
      </c>
      <c r="F122" s="220" t="s">
        <v>565</v>
      </c>
      <c r="G122" s="220" t="s">
        <v>566</v>
      </c>
    </row>
    <row r="123" spans="2:8" s="202" customFormat="1" ht="11.4">
      <c r="B123" s="202" t="s">
        <v>524</v>
      </c>
      <c r="C123" s="202" t="s">
        <v>525</v>
      </c>
      <c r="D123" s="204" t="str">
        <f>IF('Índice IFRS 16 | Index IFRS 16'!$K$6="Português",$C123,$B123)</f>
        <v>Gerente</v>
      </c>
      <c r="E123" s="221">
        <v>0.91</v>
      </c>
      <c r="F123" s="220" t="s">
        <v>567</v>
      </c>
      <c r="G123" s="220" t="s">
        <v>568</v>
      </c>
    </row>
    <row r="124" spans="2:8" s="202" customFormat="1" ht="11.4">
      <c r="B124" s="202" t="s">
        <v>526</v>
      </c>
      <c r="C124" s="202" t="s">
        <v>527</v>
      </c>
      <c r="D124" s="204" t="str">
        <f>IF('Índice IFRS 16 | Index IFRS 16'!$K$6="Português",$C124,$B124)</f>
        <v>Gerente Aeroporto</v>
      </c>
      <c r="E124" s="221">
        <v>0.9</v>
      </c>
      <c r="F124" s="220" t="s">
        <v>569</v>
      </c>
      <c r="G124" s="220" t="s">
        <v>570</v>
      </c>
    </row>
    <row r="127" spans="2:8" ht="15" thickBot="1">
      <c r="B127" s="202" t="s">
        <v>605</v>
      </c>
      <c r="C127" s="202" t="s">
        <v>606</v>
      </c>
      <c r="D127" s="194" t="str">
        <f>IF('Índice IFRS 16 | Index IFRS 16'!$K$6="Português",$C127,$B127)</f>
        <v xml:space="preserve">Contratação De Novos Funcionários </v>
      </c>
      <c r="E127" s="193">
        <v>2018</v>
      </c>
      <c r="F127" s="193">
        <v>2019</v>
      </c>
      <c r="G127" s="193">
        <v>2020</v>
      </c>
      <c r="H127" s="193">
        <v>2021</v>
      </c>
    </row>
    <row r="128" spans="2:8" s="202" customFormat="1" ht="11.4">
      <c r="B128" s="202" t="s">
        <v>571</v>
      </c>
      <c r="C128" s="202" t="s">
        <v>572</v>
      </c>
      <c r="D128" s="203" t="str">
        <f>IF('Índice IFRS 16 | Index IFRS 16'!$K$6="Português",$C128,$B128)</f>
        <v>Total de empregados contratados</v>
      </c>
      <c r="E128" s="222">
        <v>1787</v>
      </c>
      <c r="F128" s="222">
        <v>2614</v>
      </c>
      <c r="G128" s="222">
        <v>1243</v>
      </c>
      <c r="H128" s="222">
        <v>2275</v>
      </c>
    </row>
    <row r="129" spans="2:9" s="202" customFormat="1" ht="11.4">
      <c r="B129" s="202" t="s">
        <v>573</v>
      </c>
      <c r="C129" s="202" t="s">
        <v>574</v>
      </c>
      <c r="D129" s="203" t="str">
        <f>IF('Índice IFRS 16 | Index IFRS 16'!$K$6="Português",$C129,$B129)</f>
        <v>Posições ocupadas por candidatos internos</v>
      </c>
      <c r="E129" s="223">
        <v>0.67</v>
      </c>
      <c r="F129" s="248">
        <v>0.44</v>
      </c>
      <c r="G129" s="248">
        <v>0.37</v>
      </c>
      <c r="H129" s="248">
        <v>0.54</v>
      </c>
    </row>
    <row r="130" spans="2:9" s="202" customFormat="1" ht="11.4">
      <c r="B130" s="202" t="s">
        <v>575</v>
      </c>
      <c r="C130" s="202" t="s">
        <v>576</v>
      </c>
      <c r="D130" s="203" t="str">
        <f>IF('Índice IFRS 16 | Index IFRS 16'!$K$6="Português",$C130,$B130)</f>
        <v>Custo médio de contratação</v>
      </c>
      <c r="E130" s="224">
        <v>674</v>
      </c>
      <c r="F130" s="224">
        <v>618</v>
      </c>
      <c r="G130" s="224">
        <v>1158</v>
      </c>
      <c r="H130" s="224">
        <v>526</v>
      </c>
    </row>
    <row r="133" spans="2:9" ht="15" thickBot="1">
      <c r="B133" s="201" t="s">
        <v>607</v>
      </c>
      <c r="C133" s="201" t="s">
        <v>608</v>
      </c>
      <c r="D133" s="194" t="str">
        <f>IF('Índice IFRS 16 | Index IFRS 16'!$K$6="Português",$C133,$B133)</f>
        <v xml:space="preserve">Taxas De Rotatividade Total E Voluntária </v>
      </c>
      <c r="E133" s="193">
        <v>2018</v>
      </c>
      <c r="F133" s="193">
        <v>2019</v>
      </c>
      <c r="G133" s="193">
        <v>2020</v>
      </c>
      <c r="H133" s="193">
        <v>2021</v>
      </c>
    </row>
    <row r="134" spans="2:9" s="202" customFormat="1" ht="11.4">
      <c r="B134" s="202" t="s">
        <v>692</v>
      </c>
      <c r="C134" s="202" t="s">
        <v>690</v>
      </c>
      <c r="D134" s="203" t="str">
        <f>IF('Índice IFRS 16 | Index IFRS 16'!$K$6="Português",$C134,$B134)</f>
        <v>Taxa de rotatividade total</v>
      </c>
      <c r="E134" s="247">
        <v>9.5999999999999992E-3</v>
      </c>
      <c r="F134" s="247">
        <v>1.18E-2</v>
      </c>
      <c r="G134" s="246">
        <v>2.1999999999999999E-2</v>
      </c>
      <c r="H134" s="246">
        <v>1.7999999999999999E-2</v>
      </c>
    </row>
    <row r="135" spans="2:9" s="202" customFormat="1" ht="11.4">
      <c r="B135" s="202" t="s">
        <v>693</v>
      </c>
      <c r="C135" s="202" t="s">
        <v>691</v>
      </c>
      <c r="D135" s="203" t="str">
        <f>IF('Índice IFRS 16 | Index IFRS 16'!$K$6="Português",$C135,$B135)</f>
        <v xml:space="preserve">Taxas de rotatividade voluntária </v>
      </c>
      <c r="E135" s="245">
        <v>2.5999999999999999E-2</v>
      </c>
      <c r="F135" s="245">
        <v>2.5999999999999999E-2</v>
      </c>
      <c r="G135" s="246">
        <v>2.8000000000000001E-2</v>
      </c>
      <c r="H135" s="246">
        <v>2.8000000000000001E-2</v>
      </c>
    </row>
    <row r="136" spans="2:9" s="202" customFormat="1" ht="11.4">
      <c r="D136" s="203"/>
      <c r="E136" s="206"/>
    </row>
    <row r="137" spans="2:9" s="202" customFormat="1" ht="13.8" thickBot="1">
      <c r="B137" s="202" t="s">
        <v>683</v>
      </c>
      <c r="C137" s="202" t="s">
        <v>682</v>
      </c>
      <c r="D137" s="194" t="str">
        <f>IF('Índice IFRS 16 | Index IFRS 16'!$K$6="Português",$C137,$B137)</f>
        <v>Investimento Social e Doações</v>
      </c>
      <c r="E137" s="193">
        <f>IF('Índice IFRS 16 | Index IFRS 16'!$K$6="Português",$C1048510,$B1048510)</f>
        <v>2021</v>
      </c>
    </row>
    <row r="138" spans="2:9" s="202" customFormat="1" ht="11.4">
      <c r="B138" s="202" t="s">
        <v>685</v>
      </c>
      <c r="C138" s="202" t="s">
        <v>684</v>
      </c>
      <c r="D138" s="203" t="str">
        <f>IF('Índice IFRS 16 | Index IFRS 16'!$K$6="Português",$C138,$B138)</f>
        <v>Doações</v>
      </c>
      <c r="E138" s="242" t="s">
        <v>686</v>
      </c>
      <c r="F138" s="243"/>
      <c r="G138" s="244"/>
    </row>
    <row r="139" spans="2:9" s="202" customFormat="1" ht="11.4">
      <c r="B139" s="202" t="s">
        <v>689</v>
      </c>
      <c r="C139" s="202" t="s">
        <v>688</v>
      </c>
      <c r="D139" s="203" t="str">
        <f>IF('Índice IFRS 16 | Index IFRS 16'!$K$6="Português",$C139,$B139)</f>
        <v>Investimento em Instituições Sociais</v>
      </c>
      <c r="E139" s="242" t="s">
        <v>687</v>
      </c>
      <c r="F139" s="243"/>
      <c r="G139" s="244"/>
    </row>
    <row r="140" spans="2:9" s="202" customFormat="1" ht="11.4">
      <c r="D140" s="203"/>
      <c r="E140" s="206"/>
      <c r="F140" s="243"/>
    </row>
    <row r="142" spans="2:9" ht="15" thickBot="1">
      <c r="B142" s="99" t="s">
        <v>628</v>
      </c>
      <c r="C142" s="99" t="s">
        <v>628</v>
      </c>
      <c r="D142" s="194" t="str">
        <f>IF('Índice IFRS 16 | Index IFRS 16'!$K$6="Português",$C142,$B142)</f>
        <v>NPS ¹</v>
      </c>
      <c r="E142" s="193">
        <v>2017</v>
      </c>
      <c r="F142" s="193">
        <v>2018</v>
      </c>
      <c r="G142" s="193">
        <v>2019</v>
      </c>
      <c r="H142" s="193">
        <v>2020</v>
      </c>
      <c r="I142" s="193">
        <v>2021</v>
      </c>
    </row>
    <row r="143" spans="2:9">
      <c r="B143" s="99" t="s">
        <v>626</v>
      </c>
      <c r="C143" s="99" t="s">
        <v>627</v>
      </c>
      <c r="D143" s="203" t="str">
        <f>IF('Índice IFRS 16 | Index IFRS 16'!$K$6="Português",$C143,$B143)</f>
        <v xml:space="preserve">Nps anual </v>
      </c>
      <c r="E143" s="238" t="s">
        <v>625</v>
      </c>
      <c r="F143" s="238" t="s">
        <v>621</v>
      </c>
      <c r="G143" s="238" t="s">
        <v>622</v>
      </c>
      <c r="H143" s="238" t="s">
        <v>623</v>
      </c>
      <c r="I143" s="238" t="s">
        <v>624</v>
      </c>
    </row>
    <row r="144" spans="2:9">
      <c r="D144" s="203"/>
      <c r="E144" s="236"/>
      <c r="F144" s="236"/>
      <c r="G144" s="236"/>
      <c r="H144" s="236"/>
      <c r="I144" s="236"/>
    </row>
    <row r="145" spans="2:19" ht="15" thickBot="1">
      <c r="B145" s="241" t="s">
        <v>673</v>
      </c>
      <c r="C145" s="241" t="s">
        <v>674</v>
      </c>
      <c r="D145" s="194" t="str">
        <f>IF('Índice IFRS 16 | Index IFRS 16'!$K$6="Português",$C145,$B145)</f>
        <v>Intensidade de emissões de gases de efeito estufa (GEE) ² ³</v>
      </c>
      <c r="E145" s="193">
        <v>2016</v>
      </c>
      <c r="F145" s="193">
        <v>2017</v>
      </c>
      <c r="G145" s="193">
        <v>2018</v>
      </c>
      <c r="H145" s="193">
        <v>2019</v>
      </c>
      <c r="I145" s="193">
        <v>2020</v>
      </c>
      <c r="J145" s="193">
        <v>2021</v>
      </c>
      <c r="K145" s="193" t="s">
        <v>675</v>
      </c>
    </row>
    <row r="146" spans="2:19">
      <c r="B146" s="202" t="s">
        <v>647</v>
      </c>
      <c r="C146" s="202" t="s">
        <v>645</v>
      </c>
      <c r="D146" s="203" t="str">
        <f>IF('Índice IFRS 16 | Index IFRS 16'!$K$6="Português",$C146,$B146)</f>
        <v xml:space="preserve">ton de CO2 eq/RPK </v>
      </c>
      <c r="E146" s="239" t="s">
        <v>649</v>
      </c>
      <c r="F146" s="239" t="s">
        <v>650</v>
      </c>
      <c r="G146" s="239" t="s">
        <v>651</v>
      </c>
      <c r="H146" s="239" t="s">
        <v>652</v>
      </c>
      <c r="I146" s="239" t="s">
        <v>653</v>
      </c>
      <c r="J146" s="240" t="s">
        <v>654</v>
      </c>
      <c r="K146" s="240" t="s">
        <v>655</v>
      </c>
      <c r="L146" s="217"/>
      <c r="M146" s="217"/>
      <c r="N146" s="217"/>
      <c r="O146" s="217"/>
      <c r="P146" s="217"/>
      <c r="Q146" s="217"/>
      <c r="R146" s="217"/>
      <c r="S146" s="217"/>
    </row>
    <row r="147" spans="2:19">
      <c r="B147" s="202" t="s">
        <v>648</v>
      </c>
      <c r="C147" s="202" t="s">
        <v>646</v>
      </c>
      <c r="D147" s="203" t="str">
        <f>IF('Índice IFRS 16 | Index IFRS 16'!$K$6="Português",$C147,$B147)</f>
        <v xml:space="preserve">ton de CO2 eq/ASK </v>
      </c>
      <c r="E147" s="239" t="s">
        <v>656</v>
      </c>
      <c r="F147" s="239" t="s">
        <v>657</v>
      </c>
      <c r="G147" s="239" t="s">
        <v>658</v>
      </c>
      <c r="H147" s="239" t="s">
        <v>659</v>
      </c>
      <c r="I147" s="239" t="s">
        <v>660</v>
      </c>
      <c r="J147" s="240" t="s">
        <v>661</v>
      </c>
      <c r="K147" s="240" t="s">
        <v>662</v>
      </c>
      <c r="L147" s="217"/>
      <c r="M147" s="217"/>
      <c r="N147" s="217"/>
      <c r="O147" s="217"/>
      <c r="P147" s="217"/>
      <c r="Q147" s="217"/>
      <c r="R147" s="217"/>
      <c r="S147" s="217"/>
    </row>
    <row r="148" spans="2:19">
      <c r="D148" s="203"/>
      <c r="E148" s="236"/>
      <c r="F148" s="236"/>
      <c r="G148" s="236"/>
      <c r="H148" s="236"/>
      <c r="I148" s="236"/>
    </row>
    <row r="149" spans="2:19">
      <c r="B149" s="99" t="s">
        <v>629</v>
      </c>
      <c r="C149" s="99" t="s">
        <v>630</v>
      </c>
      <c r="D149" s="201" t="str">
        <f>IF('Índice IFRS 16 | Index IFRS 16'!$K$6="Português",$C149,$B149)</f>
        <v>¹ A empresa não recebeu nenhuma reclamação de órgãos regulatórios no ano fiscal de 2021</v>
      </c>
    </row>
    <row r="150" spans="2:19">
      <c r="B150" s="99" t="s">
        <v>678</v>
      </c>
      <c r="C150" s="99" t="s">
        <v>679</v>
      </c>
      <c r="D150" s="201" t="str">
        <f>IF('Índice IFRS 16 | Index IFRS 16'!$K$6="Português",$C150,$B150)</f>
        <v>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v>
      </c>
    </row>
    <row r="151" spans="2:19">
      <c r="B151" s="99" t="s">
        <v>680</v>
      </c>
      <c r="C151" s="99" t="s">
        <v>681</v>
      </c>
      <c r="D151" s="201" t="str">
        <f>IF('Índice IFRS 16 | Index IFRS 16'!$K$6="Português",$C151,$B151)</f>
        <v>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v>
      </c>
    </row>
    <row r="1048506" spans="2:3">
      <c r="B1048506" s="99" t="s">
        <v>676</v>
      </c>
      <c r="C1048506" s="99" t="s">
        <v>677</v>
      </c>
    </row>
    <row r="1048507" spans="2:3">
      <c r="B1048507" s="99" t="s">
        <v>578</v>
      </c>
      <c r="C1048507" s="99" t="s">
        <v>479</v>
      </c>
    </row>
    <row r="1048508" spans="2:3">
      <c r="B1048508" s="99">
        <v>2019</v>
      </c>
      <c r="C1048508" s="99">
        <v>2019</v>
      </c>
    </row>
    <row r="1048509" spans="2:3">
      <c r="B1048509" s="99">
        <v>2020</v>
      </c>
      <c r="C1048509" s="99">
        <v>2020</v>
      </c>
    </row>
    <row r="1048510" spans="2:3">
      <c r="B1048510" s="99">
        <v>2021</v>
      </c>
      <c r="C1048510" s="99">
        <v>2021</v>
      </c>
    </row>
    <row r="1048511" spans="2:3">
      <c r="B1048511" s="99" t="s">
        <v>579</v>
      </c>
      <c r="C1048511" s="99" t="s">
        <v>480</v>
      </c>
    </row>
    <row r="1048512" spans="2:3">
      <c r="B1048512" s="99" t="s">
        <v>580</v>
      </c>
      <c r="C1048512" s="99" t="s">
        <v>481</v>
      </c>
    </row>
    <row r="1048513" spans="2:3">
      <c r="B1048513" s="99" t="s">
        <v>581</v>
      </c>
      <c r="C1048513" s="99" t="s">
        <v>516</v>
      </c>
    </row>
    <row r="1048514" spans="2:3">
      <c r="B1048514" s="99" t="s">
        <v>582</v>
      </c>
      <c r="C1048514" s="99" t="s">
        <v>517</v>
      </c>
    </row>
    <row r="1048515" spans="2:3">
      <c r="B1048515" s="99" t="s">
        <v>583</v>
      </c>
      <c r="C1048515" s="99" t="s">
        <v>518</v>
      </c>
    </row>
    <row r="1048516" spans="2:3">
      <c r="B1048516" s="99" t="s">
        <v>584</v>
      </c>
      <c r="C1048516" s="99" t="s">
        <v>519</v>
      </c>
    </row>
    <row r="1048517" spans="2:3">
      <c r="B1048517" s="99" t="s">
        <v>588</v>
      </c>
      <c r="C1048517" s="99" t="s">
        <v>589</v>
      </c>
    </row>
    <row r="1048518" spans="2:3">
      <c r="B1048518" s="99" t="s">
        <v>585</v>
      </c>
      <c r="C1048518" s="99" t="s">
        <v>544</v>
      </c>
    </row>
    <row r="1048519" spans="2:3">
      <c r="B1048519" s="99" t="s">
        <v>586</v>
      </c>
      <c r="C1048519" s="99" t="s">
        <v>555</v>
      </c>
    </row>
    <row r="1048520" spans="2:3">
      <c r="B1048520" s="99" t="s">
        <v>587</v>
      </c>
      <c r="C1048520" s="99" t="s">
        <v>556</v>
      </c>
    </row>
    <row r="1048521" spans="2:3">
      <c r="B1048521" s="99" t="s">
        <v>577</v>
      </c>
      <c r="C1048521" s="99" t="s">
        <v>577</v>
      </c>
    </row>
    <row r="1048522" spans="2:3">
      <c r="B1048522" s="99" t="s">
        <v>590</v>
      </c>
      <c r="C1048522" s="99" t="s">
        <v>484</v>
      </c>
    </row>
    <row r="1048523" spans="2:3">
      <c r="B1048523" s="99" t="s">
        <v>591</v>
      </c>
      <c r="C1048523" s="99" t="s">
        <v>485</v>
      </c>
    </row>
    <row r="1048524" spans="2:3" ht="96.6">
      <c r="B1048524" s="195" t="s">
        <v>592</v>
      </c>
      <c r="C1048524" s="195" t="s">
        <v>559</v>
      </c>
    </row>
    <row r="1048525" spans="2:3" ht="41.4">
      <c r="B1048525" s="195" t="s">
        <v>593</v>
      </c>
      <c r="C1048525" s="195" t="s">
        <v>560</v>
      </c>
    </row>
    <row r="1048526" spans="2:3" ht="27.6">
      <c r="B1048526" s="195" t="s">
        <v>594</v>
      </c>
      <c r="C1048526" s="195" t="s">
        <v>561</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09375" defaultRowHeight="14.4"/>
  <cols>
    <col min="1" max="1" width="4.109375" style="5" customWidth="1"/>
    <col min="2" max="3" width="4.109375" style="5" hidden="1" customWidth="1"/>
    <col min="4" max="4" width="42.5546875" style="2" customWidth="1"/>
    <col min="5" max="28" width="12" style="2" customWidth="1"/>
    <col min="29" max="29" width="10.5546875" bestFit="1" customWidth="1"/>
    <col min="30" max="30" width="10.5546875" customWidth="1"/>
    <col min="31" max="31" width="9.109375" style="2"/>
    <col min="32" max="32" width="12.44140625" style="2" bestFit="1" customWidth="1"/>
    <col min="33" max="33" width="13.5546875" style="2" bestFit="1" customWidth="1"/>
    <col min="34" max="16384" width="9.109375" style="2"/>
  </cols>
  <sheetData>
    <row r="1" spans="1:35" s="171" customFormat="1" ht="15.6" hidden="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103</v>
      </c>
      <c r="W1" s="137" t="s">
        <v>104</v>
      </c>
      <c r="X1" s="137" t="s">
        <v>105</v>
      </c>
      <c r="Y1" s="43"/>
      <c r="Z1" s="173" t="s">
        <v>25</v>
      </c>
      <c r="AA1" s="173" t="s">
        <v>27</v>
      </c>
      <c r="AB1" s="173" t="s">
        <v>29</v>
      </c>
      <c r="AC1" s="173" t="s">
        <v>100</v>
      </c>
      <c r="AD1" s="173" t="s">
        <v>107</v>
      </c>
    </row>
    <row r="2" spans="1:35">
      <c r="Y2" s="163"/>
    </row>
    <row r="4" spans="1:35">
      <c r="D4" s="166" t="str">
        <f>IF('Índice IFRS 16 | Index IFRS 16'!$K$6="Português","Menu","Home")</f>
        <v>Menu</v>
      </c>
    </row>
    <row r="6" spans="1:35">
      <c r="B6" s="5" t="s">
        <v>162</v>
      </c>
      <c r="C6" s="5" t="s">
        <v>44</v>
      </c>
      <c r="D6" s="56" t="str">
        <f>IF('Índice IFRS 16 | Index IFRS 16'!$K$6="Português",$C6,$B6)</f>
        <v>DRE</v>
      </c>
      <c r="E6" s="9"/>
      <c r="F6" s="9"/>
      <c r="G6" s="9"/>
      <c r="H6" s="9"/>
      <c r="I6" s="9"/>
      <c r="J6" s="9"/>
      <c r="K6" s="9"/>
      <c r="L6" s="9"/>
      <c r="M6" s="9"/>
      <c r="N6" s="9"/>
      <c r="O6" s="9"/>
      <c r="P6" s="9"/>
      <c r="Q6" s="9"/>
      <c r="R6" s="9"/>
      <c r="S6" s="9"/>
      <c r="T6" s="9"/>
      <c r="U6" s="9"/>
      <c r="V6" s="9"/>
      <c r="W6" s="9"/>
      <c r="X6" s="9"/>
      <c r="Y6" s="9"/>
      <c r="Z6" s="47"/>
      <c r="AA6" s="47"/>
      <c r="AB6" s="47"/>
    </row>
    <row r="7" spans="1:35" ht="16.2" thickBot="1">
      <c r="A7" s="4"/>
      <c r="B7" s="4" t="s">
        <v>96</v>
      </c>
      <c r="C7" s="4" t="s">
        <v>96</v>
      </c>
      <c r="D7" s="17" t="str">
        <f>IF('Índice IFRS 16 | Index IFRS 16'!$K$6="Português",$C7,$B7)</f>
        <v xml:space="preserve"> (R$000)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163</v>
      </c>
      <c r="C9" s="4" t="s">
        <v>32</v>
      </c>
      <c r="D9" s="18" t="str">
        <f>IF('Índice IFRS 16 | Index IFRS 16'!$K$6="Português",$C9,$B9)</f>
        <v>Receita líquida</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164</v>
      </c>
      <c r="C10" s="4" t="s">
        <v>30</v>
      </c>
      <c r="D10" s="20" t="str">
        <f>IF('Índice IFRS 16 | Index IFRS 16'!$K$6="Português",$C10,$B10)</f>
        <v>Transporte de passageiros</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165</v>
      </c>
      <c r="C11" s="4" t="s">
        <v>6</v>
      </c>
      <c r="D11" s="20" t="str">
        <f>IF('Índice IFRS 16 | Index IFRS 16'!$K$6="Português",$C11,$B11)</f>
        <v>Outras receitas</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166</v>
      </c>
      <c r="C12" s="4" t="s">
        <v>31</v>
      </c>
      <c r="D12" s="57" t="str">
        <f>IF('Índice IFRS 16 | Index IFRS 16'!$K$6="Português",$C12,$B12)</f>
        <v>Total receita líquida</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167</v>
      </c>
      <c r="C14" s="4" t="s">
        <v>33</v>
      </c>
      <c r="D14" s="18" t="str">
        <f>IF('Índice IFRS 16 | Index IFRS 16'!$K$6="Português",$C14,$B14)</f>
        <v xml:space="preserve">Custos dos serviços prestados </v>
      </c>
      <c r="AC14" s="2"/>
      <c r="AD14" s="2"/>
      <c r="AE14" s="79"/>
      <c r="AF14" s="79"/>
      <c r="AG14" s="79"/>
      <c r="AH14" s="79"/>
      <c r="AI14" s="79"/>
    </row>
    <row r="15" spans="1:35" ht="12" customHeight="1">
      <c r="A15" s="4"/>
      <c r="B15" s="4" t="s">
        <v>168</v>
      </c>
      <c r="C15" s="4" t="s">
        <v>1</v>
      </c>
      <c r="D15" s="20" t="str">
        <f>IF('Índice IFRS 16 | Index IFRS 16'!$K$6="Português",$C15,$B15)</f>
        <v xml:space="preserve">Combustível de aviação </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169</v>
      </c>
      <c r="C16" s="4" t="s">
        <v>34</v>
      </c>
      <c r="D16" s="20" t="str">
        <f>IF('Índice IFRS 16 | Index IFRS 16'!$K$6="Português",$C16,$B16)</f>
        <v>Salários e benefícios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170</v>
      </c>
      <c r="C17" s="4" t="s">
        <v>35</v>
      </c>
      <c r="D17" s="20" t="str">
        <f>IF('Índice IFRS 16 | Index IFRS 16'!$K$6="Português",$C17,$B17)</f>
        <v>Arrendamento mercantil de aeronaves e outros</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171</v>
      </c>
      <c r="C18" s="4" t="s">
        <v>2</v>
      </c>
      <c r="D18" s="20" t="str">
        <f>IF('Índice IFRS 16 | Index IFRS 16'!$K$6="Português",$C18,$B18)</f>
        <v xml:space="preserve">Tarifas aeroportuárias </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172</v>
      </c>
      <c r="C19" s="4" t="s">
        <v>36</v>
      </c>
      <c r="D19" s="20" t="str">
        <f>IF('Índice IFRS 16 | Index IFRS 16'!$K$6="Português",$C19,$B19)</f>
        <v>Prestação de serviços de tráfego</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173</v>
      </c>
      <c r="C20" s="4" t="s">
        <v>3</v>
      </c>
      <c r="D20" s="20" t="str">
        <f>IF('Índice IFRS 16 | Index IFRS 16'!$K$6="Português",$C20,$B20)</f>
        <v xml:space="preserve">Comerciais e publicidade </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175</v>
      </c>
      <c r="C21" s="4" t="s">
        <v>4</v>
      </c>
      <c r="D21" s="20" t="str">
        <f>IF('Índice IFRS 16 | Index IFRS 16'!$K$6="Português",$C21,$B21)</f>
        <v xml:space="preserve">Material de manutenção e reparo </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176</v>
      </c>
      <c r="C22" s="4" t="s">
        <v>5</v>
      </c>
      <c r="D22" s="20" t="str">
        <f>IF('Índice IFRS 16 | Index IFRS 16'!$K$6="Português",$C22,$B22)</f>
        <v xml:space="preserve">Depreciação e amortização </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177</v>
      </c>
      <c r="C23" s="4" t="s">
        <v>37</v>
      </c>
      <c r="D23" s="20" t="str">
        <f>IF('Índice IFRS 16 | Index IFRS 16'!$K$6="Português",$C23,$B23)</f>
        <v>Outras despesas operacionais, líquidas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178</v>
      </c>
      <c r="C24" s="4" t="s">
        <v>38</v>
      </c>
      <c r="D24" s="57" t="str">
        <f>IF('Índice IFRS 16 | Index IFRS 16'!$K$6="Português",$C24,$B24)</f>
        <v>Total custos dos serviços prestados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179</v>
      </c>
      <c r="C26" s="4" t="s">
        <v>41</v>
      </c>
      <c r="D26" s="18" t="str">
        <f>IF('Índice IFRS 16 | Index IFRS 16'!$K$6="Português",$C26,$B26)</f>
        <v>Lucro / (prejuízo) operacional</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180</v>
      </c>
      <c r="C27" s="4" t="s">
        <v>7</v>
      </c>
      <c r="D27" s="10" t="str">
        <f>IF('Índice IFRS 16 | Index IFRS 16'!$K$6="Português",$C27,$B27)</f>
        <v>Margem EBIT</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181</v>
      </c>
      <c r="C29" s="4" t="s">
        <v>8</v>
      </c>
      <c r="D29" s="18" t="str">
        <f>IF('Índice IFRS 16 | Index IFRS 16'!$K$6="Português",$C29,$B29)</f>
        <v>Resultado Financeiro</v>
      </c>
      <c r="W29" s="81"/>
      <c r="X29" s="1"/>
      <c r="AC29" s="2"/>
      <c r="AD29" s="1"/>
      <c r="AE29" s="79"/>
      <c r="AF29" s="79"/>
      <c r="AG29" s="79"/>
      <c r="AH29" s="79"/>
      <c r="AI29" s="79"/>
    </row>
    <row r="30" spans="1:35" ht="12" customHeight="1">
      <c r="A30" s="4"/>
      <c r="B30" s="4" t="s">
        <v>182</v>
      </c>
      <c r="C30" s="4" t="s">
        <v>9</v>
      </c>
      <c r="D30" s="20" t="str">
        <f>IF('Índice IFRS 16 | Index IFRS 16'!$K$6="Português",$C30,$B30)</f>
        <v xml:space="preserve">Receita financeira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183</v>
      </c>
      <c r="C31" s="4" t="s">
        <v>10</v>
      </c>
      <c r="D31" s="20" t="str">
        <f>IF('Índice IFRS 16 | Index IFRS 16'!$K$6="Português",$C31,$B31)</f>
        <v xml:space="preserve">Despesas financeiras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184</v>
      </c>
      <c r="C32" s="4" t="s">
        <v>11</v>
      </c>
      <c r="D32" s="20" t="str">
        <f>IF('Índice IFRS 16 | Index IFRS 16'!$K$6="Português",$C32,$B32)</f>
        <v xml:space="preserve">Instrumentos financeiros derivativos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185</v>
      </c>
      <c r="C33" s="4" t="s">
        <v>302</v>
      </c>
      <c r="D33" s="20" t="str">
        <f>IF('Índice IFRS 16 | Index IFRS 16'!$K$6="Português",$C33,$B33)</f>
        <v xml:space="preserve">Variações monetárias e cambiais, líquida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186</v>
      </c>
      <c r="C35" s="4" t="s">
        <v>28</v>
      </c>
      <c r="D35" s="22" t="str">
        <f>IF('Índice IFRS 16 | Index IFRS 16'!$K$6="Português",$C35,$B35)</f>
        <v>Resultado de transações relacionadas, net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187</v>
      </c>
      <c r="C37" s="4" t="s">
        <v>40</v>
      </c>
      <c r="D37" s="58" t="str">
        <f>IF('Índice IFRS 16 | Index IFRS 16'!$K$6="Português",$C37,$B37)</f>
        <v>Lucro (prejuízo) antes do IR e contribuição social</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188</v>
      </c>
      <c r="C38" s="4" t="s">
        <v>13</v>
      </c>
      <c r="D38" s="20" t="str">
        <f>IF('Índice IFRS 16 | Index IFRS 16'!$K$6="Português",$C38,$B38)</f>
        <v>Imposto de renda e contribuição social</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189</v>
      </c>
      <c r="C39" s="4" t="s">
        <v>14</v>
      </c>
      <c r="D39" s="20" t="str">
        <f>IF('Índice IFRS 16 | Index IFRS 16'!$K$6="Português",$C39,$B39)</f>
        <v xml:space="preserve">Imposto de renda e contribuição social diferidos </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179</v>
      </c>
      <c r="C41" s="4" t="s">
        <v>39</v>
      </c>
      <c r="D41" s="15" t="str">
        <f>IF('Índice IFRS 16 | Index IFRS 16'!$K$6="Português",$C41,$B41)</f>
        <v>Prejuízo líquido do exercício</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190</v>
      </c>
      <c r="C42" s="4" t="s">
        <v>15</v>
      </c>
      <c r="D42" s="10" t="str">
        <f>IF('Índice IFRS 16 | Index IFRS 16'!$K$6="Português",$C42,$B42)</f>
        <v>Margem líquida</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304</v>
      </c>
      <c r="C45" s="4" t="s">
        <v>26</v>
      </c>
      <c r="D45" s="10" t="str">
        <f>IF('Índice IFRS 16 | Index IFRS 16'!$K$6="Português",$C45,$B45)</f>
        <v>Margem EBITDAR</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305</v>
      </c>
      <c r="C47" s="5" t="s">
        <v>99</v>
      </c>
      <c r="D47" s="77" t="str">
        <f>IF('Índice IFRS 16 | Index IFRS 16'!$K$6="Português",$C47,$B47)</f>
        <v>¹ Ajustado pelas novas normas contábeis, incluindo o IFRS 15, que acarreta em um novo padrão de reconhecimento de receita.</v>
      </c>
    </row>
    <row r="48" spans="1:35">
      <c r="B48" s="5" t="s">
        <v>306</v>
      </c>
      <c r="C48" s="5" t="s">
        <v>303</v>
      </c>
      <c r="D48" s="77" t="str">
        <f>IF('Índice IFRS 16 | Index IFRS 16'!$K$6="Português",$C48,$B48)</f>
        <v>2 Ajustado para efeitos não-recorrentes totalizando R$283,3 milhoes detalhados no release de resultados do 2T18</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N9" activePane="bottomRight" state="frozen"/>
      <selection activeCell="F2" sqref="F2"/>
      <selection pane="topRight" activeCell="F2" sqref="F2"/>
      <selection pane="bottomLeft" activeCell="F2" sqref="F2"/>
      <selection pane="bottomRight"/>
    </sheetView>
  </sheetViews>
  <sheetFormatPr defaultColWidth="9.109375" defaultRowHeight="13.8"/>
  <cols>
    <col min="1" max="1" width="4.109375" style="5" customWidth="1"/>
    <col min="2" max="3" width="4.109375" style="5" hidden="1" customWidth="1"/>
    <col min="4" max="4" width="42.5546875" style="2" customWidth="1"/>
    <col min="5" max="17" width="12" style="2" customWidth="1"/>
    <col min="18" max="19" width="10.5546875" style="2" bestFit="1" customWidth="1"/>
    <col min="20" max="20" width="10.6640625" style="2" bestFit="1" customWidth="1"/>
    <col min="21" max="21" width="10.6640625" style="2" customWidth="1"/>
    <col min="22" max="23" width="10.6640625" style="2" bestFit="1" customWidth="1"/>
    <col min="24" max="24" width="10.6640625" style="2" customWidth="1"/>
    <col min="25" max="16384" width="9.109375" style="2"/>
  </cols>
  <sheetData>
    <row r="1" spans="1:26" s="171" customFormat="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101</v>
      </c>
      <c r="W1" s="137" t="s">
        <v>104</v>
      </c>
      <c r="X1" s="137" t="s">
        <v>105</v>
      </c>
    </row>
    <row r="2" spans="1:26" ht="14.4">
      <c r="Y2" s="163"/>
    </row>
    <row r="4" spans="1:26">
      <c r="D4" s="166" t="str">
        <f>IF('Índice IFRS 16 | Index IFRS 16'!$K$6="Português","Menu","Home")</f>
        <v>Menu</v>
      </c>
    </row>
    <row r="6" spans="1:26">
      <c r="B6" s="5" t="s">
        <v>307</v>
      </c>
      <c r="C6" s="5" t="s">
        <v>55</v>
      </c>
      <c r="D6" s="56" t="str">
        <f>IF('Índice IFRS 16 | Index IFRS 16'!$K$6="Português",$C6,$B6)</f>
        <v>Balanço</v>
      </c>
      <c r="E6" s="9"/>
      <c r="F6" s="9"/>
      <c r="G6" s="9"/>
      <c r="H6" s="9"/>
      <c r="I6" s="9"/>
      <c r="J6" s="9"/>
      <c r="K6" s="9"/>
      <c r="L6" s="9"/>
      <c r="M6" s="9"/>
      <c r="N6" s="9"/>
      <c r="O6" s="9"/>
      <c r="P6" s="9"/>
      <c r="Q6" s="9"/>
    </row>
    <row r="7" spans="1:26" ht="14.4" thickBot="1">
      <c r="A7" s="4"/>
      <c r="B7" s="4" t="s">
        <v>96</v>
      </c>
      <c r="C7" s="4" t="s">
        <v>0</v>
      </c>
      <c r="D7" s="17" t="str">
        <f>IF('Índice IFRS 16 | Index IFRS 16'!$K$6="Português",$C7,$B7)</f>
        <v xml:space="preserve"> (R$ 000)</v>
      </c>
      <c r="E7" s="25" t="str">
        <f>IF('Índice IFRS 16 | Index IFRS 16'!$K$6="Português",E$1,SUBSTITUTE(E$1,"T","Q"))</f>
        <v>1T14</v>
      </c>
      <c r="F7" s="25" t="str">
        <f>IF('Índice IFRS 16 | Index IFRS 16'!$K$6="Português",F$1,SUBSTITUTE(F$1,"T","Q"))</f>
        <v>2T14</v>
      </c>
      <c r="G7" s="25" t="str">
        <f>IF('Índice IFRS 16 | Index IFRS 16'!$K$6="Português",G$1,SUBSTITUTE(G$1,"T","Q"))</f>
        <v>3T14</v>
      </c>
      <c r="H7" s="25" t="str">
        <f>IF('Índice IFRS 16 | Index IFRS 16'!$K$6="Português",H$1,SUBSTITUTE(H$1,"T","Q"))</f>
        <v>4T14</v>
      </c>
      <c r="I7" s="25" t="str">
        <f>IF('Índice IFRS 16 | Index IFRS 16'!$K$6="Português",I$1,SUBSTITUTE(I$1,"T","Q"))</f>
        <v>1T15</v>
      </c>
      <c r="J7" s="25" t="str">
        <f>IF('Índice IFRS 16 | Index IFRS 16'!$K$6="Português",J$1,SUBSTITUTE(J$1,"T","Q"))</f>
        <v>2T15</v>
      </c>
      <c r="K7" s="25" t="str">
        <f>IF('Índice IFRS 16 | Index IFRS 16'!$K$6="Português",K$1,SUBSTITUTE(K$1,"T","Q"))</f>
        <v>3T15</v>
      </c>
      <c r="L7" s="25" t="str">
        <f>IF('Índice IFRS 16 | Index IFRS 16'!$K$6="Português",L$1,SUBSTITUTE(L$1,"T","Q"))</f>
        <v>4T15</v>
      </c>
      <c r="M7" s="25" t="str">
        <f>IF('Índice IFRS 16 | Index IFRS 16'!$K$6="Português",M$1,SUBSTITUTE(M$1,"T","Q"))</f>
        <v>1T16</v>
      </c>
      <c r="N7" s="25" t="str">
        <f>IF('Índice IFRS 16 | Index IFRS 16'!$K$6="Português",N$1,SUBSTITUTE(N$1,"T","Q"))</f>
        <v>2T16</v>
      </c>
      <c r="O7" s="25" t="str">
        <f>IF('Índice IFRS 16 | Index IFRS 16'!$K$6="Português",O$1,SUBSTITUTE(O$1,"T","Q"))</f>
        <v>3T16</v>
      </c>
      <c r="P7" s="42" t="str">
        <f>IF('Índice IFRS 16 | Index IFRS 16'!$K$6="Português",P$1,SUBSTITUTE(P$1,"T","Q"))</f>
        <v>4T16</v>
      </c>
      <c r="Q7" s="42" t="str">
        <f>IF('Índice IFRS 16 | Index IFRS 16'!$K$6="Português",Q$1,SUBSTITUTE(Q$1,"T","Q"))</f>
        <v>1T17¹</v>
      </c>
      <c r="R7" s="42" t="str">
        <f>IF('Índice IFRS 16 | Index IFRS 16'!$K$6="Português",R$1,SUBSTITUTE(R$1,"T","Q"))</f>
        <v>2T17¹</v>
      </c>
      <c r="S7" s="42" t="str">
        <f>IF('Índice IFRS 16 | Index IFRS 16'!$K$6="Português",S$1,SUBSTITUTE(S$1,"T","Q"))</f>
        <v>3T17¹</v>
      </c>
      <c r="T7" s="42" t="str">
        <f>IF('Índice IFRS 16 | Index IFRS 16'!$K$6="Português",T$1,SUBSTITUTE(T$1,"T","Q"))</f>
        <v>4T17¹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209</v>
      </c>
      <c r="C9" s="4" t="s">
        <v>56</v>
      </c>
      <c r="D9" s="18" t="str">
        <f>IF('Índice IFRS 16 | Index IFRS 16'!$K$6="Português",$C9,$B9)</f>
        <v>Ativo</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210</v>
      </c>
      <c r="C10" s="4" t="s">
        <v>57</v>
      </c>
      <c r="D10" s="22" t="str">
        <f>IF('Índice IFRS 16 | Index IFRS 16'!$K$6="Português",$C10,$B10)</f>
        <v>Circulante</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211</v>
      </c>
      <c r="C11" s="4" t="s">
        <v>58</v>
      </c>
      <c r="D11" s="65" t="str">
        <f>IF('Índice IFRS 16 | Index IFRS 16'!$K$6="Português",$C11,$B11)</f>
        <v>Caixa e equivalentes de caixa</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212</v>
      </c>
      <c r="C12" s="4" t="s">
        <v>59</v>
      </c>
      <c r="D12" s="65" t="str">
        <f>IF('Índice IFRS 16 | Index IFRS 16'!$K$6="Português",$C12,$B12)</f>
        <v>Aplicações financeiras</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213</v>
      </c>
      <c r="C13" s="4" t="s">
        <v>60</v>
      </c>
      <c r="D13" s="65" t="str">
        <f>IF('Índice IFRS 16 | Index IFRS 16'!$K$6="Português",$C13,$B13)</f>
        <v>Aplicações financeiras vinculadas</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214</v>
      </c>
      <c r="C14" s="4" t="s">
        <v>61</v>
      </c>
      <c r="D14" s="65" t="str">
        <f>IF('Índice IFRS 16 | Index IFRS 16'!$K$6="Português",$C14,$B14)</f>
        <v>Contas a receber, líquido</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216</v>
      </c>
      <c r="C15" s="4" t="s">
        <v>62</v>
      </c>
      <c r="D15" s="65" t="str">
        <f>IF('Índice IFRS 16 | Index IFRS 16'!$K$6="Português",$C15,$B15)</f>
        <v>Estoques</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218</v>
      </c>
      <c r="C16" s="4" t="s">
        <v>102</v>
      </c>
      <c r="D16" s="65" t="str">
        <f>IF('Índice IFRS 16 | Index IFRS 16'!$K$6="Português",$C16,$B16)</f>
        <v>Ativos disponíveis para a venda</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219</v>
      </c>
      <c r="C17" s="4" t="s">
        <v>63</v>
      </c>
      <c r="D17" s="65" t="str">
        <f>IF('Índice IFRS 16 | Index IFRS 16'!$K$6="Português",$C17,$B17)</f>
        <v>Tributos a recuperar</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220</v>
      </c>
      <c r="C18" s="4" t="s">
        <v>64</v>
      </c>
      <c r="D18" s="65" t="str">
        <f>IF('Índice IFRS 16 | Index IFRS 16'!$K$6="Português",$C18,$B18)</f>
        <v>Instrumentos financeiros derivativos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221</v>
      </c>
      <c r="C19" s="4" t="s">
        <v>65</v>
      </c>
      <c r="D19" s="65" t="str">
        <f>IF('Índice IFRS 16 | Index IFRS 16'!$K$6="Português",$C19,$B19)</f>
        <v>Despesas antecipadas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308</v>
      </c>
      <c r="C20" s="4" t="s">
        <v>95</v>
      </c>
      <c r="D20" s="65" t="str">
        <f>IF('Índice IFRS 16 | Index IFRS 16'!$K$6="Português",$C20,$B20)</f>
        <v>Partes Relacionadas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222</v>
      </c>
      <c r="C21" s="4" t="s">
        <v>66</v>
      </c>
      <c r="D21" s="66" t="str">
        <f>IF('Índice IFRS 16 | Index IFRS 16'!$K$6="Português",$C21,$B21)</f>
        <v>Outros ativos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223</v>
      </c>
      <c r="C22" s="4" t="s">
        <v>67</v>
      </c>
      <c r="D22" s="22" t="str">
        <f>IF('Índice IFRS 16 | Index IFRS 16'!$K$6="Português",$C22,$B22)</f>
        <v>Ativo não circulante</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309</v>
      </c>
      <c r="C23" s="4" t="s">
        <v>68</v>
      </c>
      <c r="D23" s="65" t="str">
        <f>IF('Índice IFRS 16 | Index IFRS 16'!$K$6="Português",$C23,$B23)</f>
        <v>Partes relacionadas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224</v>
      </c>
      <c r="C24" s="4" t="s">
        <v>69</v>
      </c>
      <c r="D24" s="65" t="str">
        <f>IF('Índice IFRS 16 | Index IFRS 16'!$K$6="Português",$C24,$B24)</f>
        <v>Aplicações financeiras de longo prazo</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213</v>
      </c>
      <c r="C25" s="4" t="s">
        <v>60</v>
      </c>
      <c r="D25" s="65" t="str">
        <f>IF('Índice IFRS 16 | Index IFRS 16'!$K$6="Português",$C25,$B25)</f>
        <v>Aplicações financeiras vinculadas</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225</v>
      </c>
      <c r="C26" s="4" t="s">
        <v>70</v>
      </c>
      <c r="D26" s="65" t="str">
        <f>IF('Índice IFRS 16 | Index IFRS 16'!$K$6="Português",$C26,$B26)</f>
        <v>Depósitos em garantia e reservas de manutenção</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220</v>
      </c>
      <c r="C27" s="4" t="s">
        <v>64</v>
      </c>
      <c r="D27" s="65" t="str">
        <f>IF('Índice IFRS 16 | Index IFRS 16'!$K$6="Português",$C27,$B27)</f>
        <v>Instrumentos financeiros derivativos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226</v>
      </c>
      <c r="C28" s="4" t="s">
        <v>65</v>
      </c>
      <c r="D28" s="65" t="str">
        <f>IF('Índice IFRS 16 | Index IFRS 16'!$K$6="Português",$C28,$B28)</f>
        <v>Despesas antecipadas</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228</v>
      </c>
      <c r="C29" s="4" t="s">
        <v>66</v>
      </c>
      <c r="D29" s="65" t="str">
        <f>IF('Índice IFRS 16 | Index IFRS 16'!$K$6="Português",$C29,$B29)</f>
        <v>Outros ativos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231</v>
      </c>
      <c r="C30" s="4" t="s">
        <v>71</v>
      </c>
      <c r="D30" s="65" t="str">
        <f>IF('Índice IFRS 16 | Index IFRS 16'!$K$6="Português",$C30,$B30)</f>
        <v>Imobilizado</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232</v>
      </c>
      <c r="C31" s="4" t="s">
        <v>72</v>
      </c>
      <c r="D31" s="69" t="str">
        <f>IF('Índice IFRS 16 | Index IFRS 16'!$K$6="Português",$C31,$B31)</f>
        <v>Intangível</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233</v>
      </c>
      <c r="C32" s="4" t="s">
        <v>73</v>
      </c>
      <c r="D32" s="18" t="str">
        <f>IF('Índice IFRS 16 | Index IFRS 16'!$K$6="Português",$C32,$B32)</f>
        <v>Passivo</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234</v>
      </c>
      <c r="C33" s="4" t="s">
        <v>74</v>
      </c>
      <c r="D33" s="22" t="str">
        <f>IF('Índice IFRS 16 | Index IFRS 16'!$K$6="Português",$C33,$B33)</f>
        <v>Passivo circulante</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235</v>
      </c>
      <c r="C34" s="4" t="s">
        <v>75</v>
      </c>
      <c r="D34" s="65" t="str">
        <f>IF('Índice IFRS 16 | Index IFRS 16'!$K$6="Português",$C34,$B34)</f>
        <v>Empréstimos e financiamentos</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236</v>
      </c>
      <c r="C35" s="4" t="s">
        <v>76</v>
      </c>
      <c r="D35" s="65" t="str">
        <f>IF('Índice IFRS 16 | Index IFRS 16'!$K$6="Português",$C35,$B35)</f>
        <v>Fornecedores</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310</v>
      </c>
      <c r="C36" s="4" t="s">
        <v>106</v>
      </c>
      <c r="D36" s="65" t="str">
        <f>IF('Índice IFRS 16 | Index IFRS 16'!$K$6="Português",$C36,$B36)</f>
        <v>Fornecedores risco sacado</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308</v>
      </c>
      <c r="C37" s="4" t="s">
        <v>95</v>
      </c>
      <c r="D37" s="65" t="str">
        <f>IF('Índice IFRS 16 | Index IFRS 16'!$K$6="Português",$C37,$B37)</f>
        <v>Partes Relacionadas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237</v>
      </c>
      <c r="C38" s="4" t="s">
        <v>77</v>
      </c>
      <c r="D38" s="65" t="str">
        <f>IF('Índice IFRS 16 | Index IFRS 16'!$K$6="Português",$C38,$B38)</f>
        <v>Transportes a executar</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238</v>
      </c>
      <c r="C39" s="4" t="s">
        <v>78</v>
      </c>
      <c r="D39" s="65" t="str">
        <f>IF('Índice IFRS 16 | Index IFRS 16'!$K$6="Português",$C39,$B39)</f>
        <v>Salários, provisões e encargos sociais</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239</v>
      </c>
      <c r="C40" s="4" t="s">
        <v>79</v>
      </c>
      <c r="D40" s="65" t="str">
        <f>IF('Índice IFRS 16 | Index IFRS 16'!$K$6="Português",$C40,$B40)</f>
        <v>Prêmios de seguros a pagar</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240</v>
      </c>
      <c r="C41" s="4" t="s">
        <v>80</v>
      </c>
      <c r="D41" s="65" t="str">
        <f>IF('Índice IFRS 16 | Index IFRS 16'!$K$6="Português",$C41,$B41)</f>
        <v>Tributos a recolher</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241</v>
      </c>
      <c r="C42" s="4" t="s">
        <v>81</v>
      </c>
      <c r="D42" s="65" t="str">
        <f>IF('Índice IFRS 16 | Index IFRS 16'!$K$6="Português",$C42,$B42)</f>
        <v>Programa de recuperação fiscal</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220</v>
      </c>
      <c r="C43" s="4" t="s">
        <v>64</v>
      </c>
      <c r="D43" s="65" t="str">
        <f>IF('Índice IFRS 16 | Index IFRS 16'!$K$6="Português",$C43,$B43)</f>
        <v>Instrumentos financeiros derivativos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311</v>
      </c>
      <c r="C44" s="4" t="s">
        <v>82</v>
      </c>
      <c r="D44" s="65" t="str">
        <f>IF('Índice IFRS 16 | Index IFRS 16'!$K$6="Português",$C44,$B44)</f>
        <v>Passivos financeiros a valor justo por meio do resultado</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244</v>
      </c>
      <c r="C45" s="4" t="s">
        <v>83</v>
      </c>
      <c r="D45" s="66" t="str">
        <f>IF('Índice IFRS 16 | Index IFRS 16'!$K$6="Português",$C45,$B45)</f>
        <v>Outros passivos circulantes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245</v>
      </c>
      <c r="C46" s="4" t="s">
        <v>84</v>
      </c>
      <c r="D46" s="22" t="str">
        <f>IF('Índice IFRS 16 | Index IFRS 16'!$K$6="Português",$C46,$B46)</f>
        <v>Não circulante</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312</v>
      </c>
      <c r="C47" s="4" t="s">
        <v>75</v>
      </c>
      <c r="D47" s="65" t="str">
        <f>IF('Índice IFRS 16 | Index IFRS 16'!$K$6="Português",$C47,$B47)</f>
        <v>Empréstimos e financiamentos</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313</v>
      </c>
      <c r="C48" s="5" t="s">
        <v>64</v>
      </c>
      <c r="D48" s="65" t="str">
        <f>IF('Índice IFRS 16 | Index IFRS 16'!$K$6="Português",$C48,$B48)</f>
        <v>Instrumentos financeiros derivativos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314</v>
      </c>
      <c r="C49" s="5" t="s">
        <v>85</v>
      </c>
      <c r="D49" s="65" t="str">
        <f>IF('Índice IFRS 16 | Index IFRS 16'!$K$6="Português",$C49,$B49)</f>
        <v>Imposto de renda e contribuição social diferidos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315</v>
      </c>
      <c r="C50" s="5" t="s">
        <v>81</v>
      </c>
      <c r="D50" s="65" t="str">
        <f>IF('Índice IFRS 16 | Index IFRS 16'!$K$6="Português",$C50,$B50)</f>
        <v>Programa de recuperação fiscal</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316</v>
      </c>
      <c r="C51" s="5" t="s">
        <v>86</v>
      </c>
      <c r="D51" s="65" t="str">
        <f>IF('Índice IFRS 16 | Index IFRS 16'!$K$6="Português",$C51,$B51)</f>
        <v>Provisões para riscos tributários, cíveis e trabalhistas</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317</v>
      </c>
      <c r="C52" s="5" t="s">
        <v>87</v>
      </c>
      <c r="D52" s="65" t="str">
        <f>IF('Índice IFRS 16 | Index IFRS 16'!$K$6="Português",$C52,$B52)</f>
        <v xml:space="preserve">Provisão para devolução de aeronaves e motores </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252</v>
      </c>
      <c r="C53" s="5" t="s">
        <v>88</v>
      </c>
      <c r="D53" s="66" t="str">
        <f>IF('Índice IFRS 16 | Index IFRS 16'!$K$6="Português",$C53,$B53)</f>
        <v>Outros passivos não circulantes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253</v>
      </c>
      <c r="C54" s="5" t="s">
        <v>89</v>
      </c>
      <c r="D54" s="22" t="str">
        <f>IF('Índice IFRS 16 | Index IFRS 16'!$K$6="Português",$C54,$B54)</f>
        <v>Patrimônio líquido</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254</v>
      </c>
      <c r="C55" s="5" t="s">
        <v>90</v>
      </c>
      <c r="D55" s="65" t="str">
        <f>IF('Índice IFRS 16 | Index IFRS 16'!$K$6="Português",$C55,$B55)</f>
        <v>Capital social</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256</v>
      </c>
      <c r="C56" s="5" t="s">
        <v>91</v>
      </c>
      <c r="D56" s="65" t="str">
        <f>IF('Índice IFRS 16 | Index IFRS 16'!$K$6="Português",$C56,$B56)</f>
        <v>Reserva de capital</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257</v>
      </c>
      <c r="C57" s="5" t="s">
        <v>97</v>
      </c>
      <c r="D57" s="65" t="str">
        <f>IF('Índice IFRS 16 | Index IFRS 16'!$K$6="Português",$C57,$B57)</f>
        <v>Ações em tesouraria</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258</v>
      </c>
      <c r="C58" s="5" t="s">
        <v>92</v>
      </c>
      <c r="D58" s="65" t="str">
        <f>IF('Índice IFRS 16 | Index IFRS 16'!$K$6="Português",$C58,$B58)</f>
        <v>Outros resultados abrangentes</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259</v>
      </c>
      <c r="C59" s="5" t="s">
        <v>93</v>
      </c>
      <c r="D59" s="69" t="str">
        <f>IF('Índice IFRS 16 | Index IFRS 16'!$K$6="Português",$C59,$B59)</f>
        <v>Prejuízo acumulado</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305</v>
      </c>
      <c r="C61" s="5" t="s">
        <v>99</v>
      </c>
      <c r="D61" s="77" t="str">
        <f>IF('Índice IFRS 16 | Index IFRS 16'!$K$6="Português",$C61,$B61)</f>
        <v>¹ Ajustado pelas novas normas contábeis, incluindo o IFRS 15, que acarreta em um novo padrão de reconhecimento de receita.</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L9" activePane="bottomRight" state="frozen"/>
      <selection activeCell="D6" sqref="D6"/>
      <selection pane="topRight" activeCell="D6" sqref="D6"/>
      <selection pane="bottomLeft" activeCell="D6" sqref="D6"/>
      <selection pane="bottomRight" activeCell="A2" sqref="A2"/>
    </sheetView>
  </sheetViews>
  <sheetFormatPr defaultRowHeight="14.4"/>
  <cols>
    <col min="1" max="1" width="4.109375" style="7" customWidth="1"/>
    <col min="2" max="3" width="4.109375" style="7" hidden="1" customWidth="1"/>
    <col min="4" max="4" width="66" customWidth="1"/>
    <col min="5" max="17" width="13.44140625" bestFit="1" customWidth="1"/>
    <col min="18" max="24" width="13.44140625" customWidth="1"/>
    <col min="25" max="27" width="13.44140625" bestFit="1" customWidth="1"/>
    <col min="28" max="30" width="13.88671875" customWidth="1"/>
  </cols>
  <sheetData>
    <row r="1" spans="1:32" s="138" customFormat="1" ht="15.75" hidden="1" customHeight="1">
      <c r="A1" s="158"/>
      <c r="B1" s="158"/>
      <c r="C1" s="158"/>
      <c r="G1" s="159" t="s">
        <v>119</v>
      </c>
      <c r="H1" s="159" t="s">
        <v>113</v>
      </c>
      <c r="I1" s="159" t="s">
        <v>120</v>
      </c>
      <c r="J1" s="159" t="s">
        <v>121</v>
      </c>
      <c r="K1" s="159" t="s">
        <v>122</v>
      </c>
      <c r="L1" s="159" t="s">
        <v>123</v>
      </c>
      <c r="M1" s="159" t="s">
        <v>124</v>
      </c>
      <c r="N1" s="159" t="s">
        <v>125</v>
      </c>
      <c r="O1" s="159" t="s">
        <v>129</v>
      </c>
      <c r="P1" s="159" t="s">
        <v>153</v>
      </c>
      <c r="Q1" s="156" t="s">
        <v>199</v>
      </c>
      <c r="R1" s="156" t="s">
        <v>200</v>
      </c>
      <c r="S1" s="156" t="s">
        <v>201</v>
      </c>
      <c r="T1" s="156" t="s">
        <v>202</v>
      </c>
      <c r="U1" s="156" t="s">
        <v>203</v>
      </c>
      <c r="V1" s="159" t="s">
        <v>160</v>
      </c>
    </row>
    <row r="2" spans="1:32" ht="15.75" customHeight="1">
      <c r="AA2" s="138"/>
    </row>
    <row r="3" spans="1:32" ht="15.75" customHeight="1"/>
    <row r="4" spans="1:32" ht="15.75" customHeight="1">
      <c r="D4" s="167" t="str">
        <f>IF('Índice IFRS 16 | Index IFRS 16'!$K$6="Português","Menu","Home")</f>
        <v>Menu</v>
      </c>
    </row>
    <row r="5" spans="1:32" ht="15.75" customHeight="1"/>
    <row r="6" spans="1:32" ht="15.75" customHeight="1"/>
    <row r="7" spans="1:32" ht="15" thickBot="1">
      <c r="B7" s="7" t="s">
        <v>260</v>
      </c>
      <c r="C7" s="7" t="s">
        <v>23</v>
      </c>
      <c r="D7" s="3" t="str">
        <f>IF('Índice IFRS 16 | Index IFRS 16'!$K$6="Português",$C7,$B7)</f>
        <v>Dados Operacionais</v>
      </c>
      <c r="E7" s="25" t="s">
        <v>42</v>
      </c>
      <c r="F7" s="25" t="s">
        <v>43</v>
      </c>
      <c r="G7" s="25" t="str">
        <f>IF('Índice IFRS 16 | Index IFRS 16'!$K$6="Português",G$1,SUBSTITUTE(G$1,"T","Q"))</f>
        <v>1T18¹</v>
      </c>
      <c r="H7" s="25" t="str">
        <f>IF('Índice IFRS 16 | Index IFRS 16'!$K$6="Português",H$1,SUBSTITUTE(H$1,"T","Q"))</f>
        <v>2T18¹</v>
      </c>
      <c r="I7" s="25" t="str">
        <f>IF('Índice IFRS 16 | Index IFRS 16'!$K$6="Português",I$1,SUBSTITUTE(I$1,"T","Q"))</f>
        <v>3T18¹</v>
      </c>
      <c r="J7" s="25" t="str">
        <f>IF('Índice IFRS 16 | Index IFRS 16'!$K$6="Português",J$1,SUBSTITUTE(J$1,"T","Q"))</f>
        <v>4T18¹</v>
      </c>
      <c r="K7" s="25" t="str">
        <f>IF('Índice IFRS 16 | Index IFRS 16'!$K$6="Português",K$1,SUBSTITUTE(K$1,"T","Q"))</f>
        <v>1T19²</v>
      </c>
      <c r="L7" s="25" t="str">
        <f>IF('Índice IFRS 16 | Index IFRS 16'!$K$6="Português",L$1,SUBSTITUTE(L$1,"T","Q"))</f>
        <v>2T19²</v>
      </c>
      <c r="M7" s="25" t="str">
        <f>IF('Índice IFRS 16 | Index IFRS 16'!$K$6="Português",M$1,SUBSTITUTE(M$1,"T","Q"))</f>
        <v>3T19²</v>
      </c>
      <c r="N7" s="25" t="str">
        <f>IF('Índice IFRS 16 | Index IFRS 16'!$K$6="Português",N$1,SUBSTITUTE(N$1,"T","Q"))</f>
        <v>4T19²</v>
      </c>
      <c r="O7" s="25" t="str">
        <f>IF('Índice IFRS 16 | Index IFRS 16'!$K$6="Português",O$1,SUBSTITUTE(O$1,"T","Q"))</f>
        <v>1T20³</v>
      </c>
      <c r="P7" s="42" t="str">
        <f>IF('Índice IFRS 16 | Index IFRS 16'!$K$6="Português",P$1,SUBSTITUTE(P$1,"T","Q"))</f>
        <v>2T20⁴</v>
      </c>
      <c r="Q7" s="42" t="str">
        <f>IF('Índice IFRS 16 | Index IFRS 16'!$K$6="Português",Q$1,SUBSTITUTE(Q$1,"T","Q"))</f>
        <v>3T20⁵</v>
      </c>
      <c r="R7" s="42" t="str">
        <f>IF('Índice IFRS 16 | Index IFRS 16'!$K$6="Português",R$1,SUBSTITUTE(R$1,"T","Q"))</f>
        <v>4T20⁶</v>
      </c>
      <c r="S7" s="42" t="str">
        <f>IF('Índice IFRS 16 | Index IFRS 16'!$K$6="Português",S$1,SUBSTITUTE(S$1,"T","Q"))</f>
        <v>1T21⁸</v>
      </c>
      <c r="T7" s="42" t="str">
        <f>IF('Índice IFRS 16 | Index IFRS 16'!$K$6="Português",T$1,SUBSTITUTE(T$1,"T","Q"))</f>
        <v>2T21⁹</v>
      </c>
      <c r="U7" s="42" t="str">
        <f>IF('Índice IFRS 16 | Index IFRS 16'!$K$6="Português",U$1,SUBSTITUTE(U$1,"T","Q"))</f>
        <v>3T21¹⁰</v>
      </c>
      <c r="V7" s="42" t="str">
        <f>IF('Índice IFRS 16 | Index IFRS 16'!$K$6="Português",V$1,SUBSTITUTE(V$1,"T","Q"))</f>
        <v>4T21⁹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261</v>
      </c>
      <c r="C9" s="12" t="s">
        <v>16</v>
      </c>
      <c r="D9" s="20" t="str">
        <f>IF('Índice IFRS 16 | Index IFRS 16'!$K$6="Português",$C9,$B9)</f>
        <v xml:space="preserve">Receitas de transporte de passageiros (em milhões de reais)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318</v>
      </c>
      <c r="C10" s="12" t="s">
        <v>49</v>
      </c>
      <c r="D10" s="20" t="str">
        <f>IF('Índice IFRS 16 | Index IFRS 16'!$K$6="Português",$C10,$B10)</f>
        <v>Aeronaves operacionais final do período</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263</v>
      </c>
      <c r="C11" s="7" t="s">
        <v>17</v>
      </c>
      <c r="D11" s="20" t="str">
        <f>IF('Índice IFRS 16 | Index IFRS 16'!$K$6="Português",$C11,$B11)</f>
        <v xml:space="preserve">Assento-quilômetro oferecido (ASKs) (milhões)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264</v>
      </c>
      <c r="C12" s="7" t="s">
        <v>52</v>
      </c>
      <c r="D12" s="63" t="str">
        <f>IF('Índice IFRS 16 | Index IFRS 16'!$K$6="Português",$C12,$B12)</f>
        <v>Doméstico</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265</v>
      </c>
      <c r="C13" s="7" t="s">
        <v>53</v>
      </c>
      <c r="D13" s="63" t="str">
        <f>IF('Índice IFRS 16 | Index IFRS 16'!$K$6="Português",$C13,$B13)</f>
        <v>Internacional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266</v>
      </c>
      <c r="C14" s="7" t="s">
        <v>54</v>
      </c>
      <c r="D14" s="20" t="str">
        <f>IF('Índice IFRS 16 | Index IFRS 16'!$K$6="Português",$C14,$B14)</f>
        <v>Passageiros pagantes transportados por quilômetros voados (RPK) (milhões)</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264</v>
      </c>
      <c r="C15" s="7" t="s">
        <v>52</v>
      </c>
      <c r="D15" s="63" t="str">
        <f>IF('Índice IFRS 16 | Index IFRS 16'!$K$6="Português",$C15,$B15)</f>
        <v>Doméstico</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265</v>
      </c>
      <c r="C16" s="7" t="s">
        <v>53</v>
      </c>
      <c r="D16" s="63" t="str">
        <f>IF('Índice IFRS 16 | Index IFRS 16'!$K$6="Português",$C16,$B16)</f>
        <v>Internacional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267</v>
      </c>
      <c r="C17" s="7" t="s">
        <v>18</v>
      </c>
      <c r="D17" s="20" t="str">
        <f>IF('Índice IFRS 16 | Index IFRS 16'!$K$6="Português",$C17,$B17)</f>
        <v xml:space="preserve">Taxa de ocupação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268</v>
      </c>
      <c r="C18" s="7" t="s">
        <v>45</v>
      </c>
      <c r="D18" s="20" t="str">
        <f>IF('Índice IFRS 16 | Index IFRS 16'!$K$6="Português",$C18,$B18)</f>
        <v>Receita de passageiros por ASK (centavos) (PRASK)</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269</v>
      </c>
      <c r="C19" s="7" t="s">
        <v>46</v>
      </c>
      <c r="D19" s="20" t="str">
        <f>IF('Índice IFRS 16 | Index IFRS 16'!$K$6="Português",$C19,$B19)</f>
        <v>Receita operacional por ASK (centavos) (RASK)</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270</v>
      </c>
      <c r="C20" s="7" t="s">
        <v>131</v>
      </c>
      <c r="D20" s="10" t="str">
        <f>IF('Índice IFRS 16 | Index IFRS 16'!$K$6="Português",$C20,$B20)</f>
        <v xml:space="preserve">Yield por passageiro/quilômetro (centavos) </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271</v>
      </c>
      <c r="C21" s="7" t="s">
        <v>19</v>
      </c>
      <c r="D21" s="20" t="str">
        <f>IF('Índice IFRS 16 | Index IFRS 16'!$K$6="Português",$C21,$B21)</f>
        <v xml:space="preserve">Número de decolagens </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272</v>
      </c>
      <c r="C22" s="7" t="s">
        <v>20</v>
      </c>
      <c r="D22" s="20" t="str">
        <f>IF('Índice IFRS 16 | Index IFRS 16'!$K$6="Português",$C22,$B22)</f>
        <v xml:space="preserve">Horas-bloco </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273</v>
      </c>
      <c r="C23" s="7" t="s">
        <v>21</v>
      </c>
      <c r="D23" s="20" t="str">
        <f>IF('Índice IFRS 16 | Index IFRS 16'!$K$6="Português",$C23,$B23)</f>
        <v xml:space="preserve">Tarifa média (em reais) </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274</v>
      </c>
      <c r="C24" s="12" t="s">
        <v>22</v>
      </c>
      <c r="D24" s="20" t="str">
        <f>IF('Índice IFRS 16 | Index IFRS 16'!$K$6="Português",$C24,$B24)</f>
        <v xml:space="preserve">Etapa média (em Km) </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275</v>
      </c>
      <c r="C25" s="12" t="s">
        <v>47</v>
      </c>
      <c r="D25" s="20" t="str">
        <f>IF('Índice IFRS 16 | Index IFRS 16'!$K$6="Português",$C25,$B25)</f>
        <v>CASK (centavos)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276</v>
      </c>
      <c r="C26" s="12" t="s">
        <v>48</v>
      </c>
      <c r="D26" s="20" t="str">
        <f>IF('Índice IFRS 16 | Index IFRS 16'!$K$6="Português",$C26,$B26)</f>
        <v>CASK ex-fuel (centavos)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319</v>
      </c>
      <c r="C27" s="12" t="s">
        <v>94</v>
      </c>
      <c r="D27" s="20" t="str">
        <f>IF('Índice IFRS 16 | Index IFRS 16'!$K$6="Português",$C27,$B27)</f>
        <v>Funcionários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278</v>
      </c>
      <c r="C28" s="12" t="s">
        <v>51</v>
      </c>
      <c r="D28" s="20" t="str">
        <f>IF('Índice IFRS 16 | Index IFRS 16'!$K$6="Português",$C28,$B28)</f>
        <v>Combustível de aviação  (milhares litros)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279</v>
      </c>
      <c r="C29" s="12" t="s">
        <v>50</v>
      </c>
      <c r="D29" s="20" t="str">
        <f>IF('Índice IFRS 16 | Index IFRS 16'!$K$6="Português",$C29,$B29)</f>
        <v>Preço médio / litro</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 thickBot="1">
      <c r="B30" s="7" t="s">
        <v>280</v>
      </c>
      <c r="C30" s="7" t="s">
        <v>115</v>
      </c>
      <c r="D30" s="61" t="str">
        <f>IF('Índice IFRS 16 | Index IFRS 16'!$K$6="Português",$C30,$B30)</f>
        <v>Passageiros (milhares)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305</v>
      </c>
      <c r="C32" s="7" t="s">
        <v>99</v>
      </c>
      <c r="D32" s="77" t="str">
        <f>IF('Índice IFRS 16 | Index IFRS 16'!$K$6="Português",$C32,$B32)</f>
        <v>¹ Ajustado pelas novas normas contábeis, incluindo o IFRS 15, que acarreta em um novo padrão de reconhecimento de receita.</v>
      </c>
    </row>
    <row r="33" spans="2:4">
      <c r="B33" s="7" t="s">
        <v>306</v>
      </c>
      <c r="C33" s="7" t="s">
        <v>303</v>
      </c>
      <c r="D33" s="77" t="str">
        <f>IF('Índice IFRS 16 | Index IFRS 16'!$K$6="Português",$C33,$B33)</f>
        <v>2 Ajustado para efeitos não-recorrentes totalizando R$283,3 milhoes detalhados no release de resultados do 2T18</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DRE | Income Statement</vt:lpstr>
      <vt:lpstr>Balanço | Balance Sheet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Heloisa Brandão Monte</cp:lastModifiedBy>
  <cp:lastPrinted>2013-07-29T13:57:42Z</cp:lastPrinted>
  <dcterms:created xsi:type="dcterms:W3CDTF">2011-09-23T19:39:08Z</dcterms:created>
  <dcterms:modified xsi:type="dcterms:W3CDTF">2024-08-30T21:45:34Z</dcterms:modified>
</cp:coreProperties>
</file>