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codeName="EstaPastaDeTrabalho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uisanet.sharepoint.com/sites/uisa/Documentos Compartilhados/Estruturação Financeira e RI/Release/Planilha de Resultados/"/>
    </mc:Choice>
  </mc:AlternateContent>
  <xr:revisionPtr revIDLastSave="791" documentId="8_{CFEE5E64-3AB5-4942-A66B-6A7C29174B43}" xr6:coauthVersionLast="47" xr6:coauthVersionMax="47" xr10:uidLastSave="{5CBE2893-011E-4B48-A9FC-5422AE5669F4}"/>
  <workbookProtection workbookAlgorithmName="SHA-512" workbookHashValue="OfheX/2EPvlHaPWGpk7rSiMXl8BDdDY0S2QY3pgeSn/Xq3DqryGNBXTcVQpUTEAWVIaBfl/4z95OKzpWC+2TJg==" workbookSaltValue="HTqtwCuCo8Ns8pLuR0TEKg==" workbookSpinCount="100000" lockStructure="1"/>
  <bookViews>
    <workbookView xWindow="28690" yWindow="-110" windowWidth="29020" windowHeight="15700" tabRatio="900" xr2:uid="{26727A23-899D-45D0-A70A-CC2F6BBE5F48}"/>
  </bookViews>
  <sheets>
    <sheet name="Menu" sheetId="8" r:id="rId1"/>
    <sheet name="1. DRE" sheetId="10" r:id="rId2"/>
    <sheet name="2. BP" sheetId="11" r:id="rId3"/>
    <sheet name="3. Fluxo de Caixa" sheetId="15" r:id="rId4"/>
    <sheet name="4. Endividamento" sheetId="9" r:id="rId5"/>
    <sheet name="5. Capex" sheetId="12" r:id="rId6"/>
    <sheet name="6. Performance" sheetId="14" r:id="rId7"/>
    <sheet name="7. Dados Operacionais" sheetId="16" r:id="rId8"/>
    <sheet name="8. Dashboard" sheetId="5" r:id="rId9"/>
    <sheet name="Planilha1" sheetId="17" state="hidden" r:id="rId10"/>
    <sheet name="Pivots" sheetId="2" state="hidden" r:id="rId11"/>
    <sheet name="Consolidado" sheetId="3" state="hidden" r:id="rId12"/>
  </sheets>
  <definedNames>
    <definedName name="_xlnm._FilterDatabase" localSheetId="1" hidden="1">'1. DRE'!$B$9:$V$29</definedName>
    <definedName name="_xlnm._FilterDatabase" localSheetId="4" hidden="1">'4. Endividamento'!#REF!</definedName>
    <definedName name="_xlnm._FilterDatabase" localSheetId="11" hidden="1">Consolidado!$A$1:$G$174</definedName>
    <definedName name="Capex">"Retângulo 146"</definedName>
    <definedName name="SegmentaçãodeDados_Safra">#N/A</definedName>
  </definedNames>
  <calcPr calcId="191029"/>
  <pivotCaches>
    <pivotCache cacheId="7" r:id="rId13"/>
  </pivotCaches>
  <extLst>
    <ext xmlns:x14="http://schemas.microsoft.com/office/spreadsheetml/2009/9/main" uri="{BBE1A952-AA13-448e-AADC-164F8A28A991}">
      <x14:slicerCaches>
        <x14:slicerCache r:id="rId14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26" i="11" l="1"/>
  <c r="C10" i="14" l="1"/>
  <c r="F269" i="3"/>
  <c r="F261" i="3"/>
  <c r="F247" i="3"/>
  <c r="F246" i="3"/>
  <c r="F243" i="3"/>
  <c r="F242" i="3"/>
  <c r="F241" i="3"/>
  <c r="F240" i="3"/>
  <c r="C65" i="15"/>
  <c r="C64" i="15"/>
  <c r="C42" i="15" l="1"/>
  <c r="C19" i="15"/>
  <c r="C17" i="15"/>
  <c r="C14" i="15"/>
  <c r="C21" i="16"/>
  <c r="C11" i="16"/>
  <c r="C12" i="14"/>
  <c r="C27" i="14" s="1"/>
  <c r="C33" i="14"/>
  <c r="C32" i="14"/>
  <c r="C31" i="14"/>
  <c r="C30" i="14"/>
  <c r="C29" i="14"/>
  <c r="C28" i="14"/>
  <c r="C26" i="14"/>
  <c r="C40" i="14"/>
  <c r="C37" i="14"/>
  <c r="C21" i="14"/>
  <c r="C15" i="12"/>
  <c r="C12" i="12"/>
  <c r="C8" i="12"/>
  <c r="C10" i="9"/>
  <c r="C8" i="9"/>
  <c r="C15" i="9"/>
  <c r="C59" i="9"/>
  <c r="C49" i="9"/>
  <c r="C13" i="9" s="1"/>
  <c r="C39" i="9"/>
  <c r="C40" i="9" s="1"/>
  <c r="C36" i="9"/>
  <c r="C38" i="9" s="1"/>
  <c r="C25" i="9"/>
  <c r="C23" i="9"/>
  <c r="C74" i="15"/>
  <c r="C70" i="15"/>
  <c r="C61" i="15"/>
  <c r="C60" i="11"/>
  <c r="C61" i="11"/>
  <c r="C49" i="11"/>
  <c r="C37" i="11" s="1"/>
  <c r="C27" i="11"/>
  <c r="C20" i="11"/>
  <c r="C63" i="11"/>
  <c r="C11" i="11"/>
  <c r="C25" i="10"/>
  <c r="C12" i="10"/>
  <c r="C18" i="10" s="1"/>
  <c r="C20" i="10" s="1"/>
  <c r="C23" i="10" s="1"/>
  <c r="D17" i="12"/>
  <c r="D16" i="12"/>
  <c r="D14" i="12"/>
  <c r="D9" i="12"/>
  <c r="D10" i="12"/>
  <c r="D11" i="12"/>
  <c r="C25" i="14" l="1"/>
  <c r="C18" i="12"/>
  <c r="C14" i="9"/>
  <c r="C16" i="9" s="1"/>
  <c r="C18" i="9" s="1"/>
  <c r="C51" i="11"/>
  <c r="C69" i="11"/>
  <c r="C22" i="11"/>
  <c r="C34" i="11" s="1"/>
  <c r="C28" i="10"/>
  <c r="C11" i="15" s="1"/>
  <c r="C29" i="15" s="1"/>
  <c r="C43" i="15" s="1"/>
  <c r="C52" i="15" s="1"/>
  <c r="F231" i="3"/>
  <c r="D14" i="15"/>
  <c r="D60" i="11"/>
  <c r="D56" i="11"/>
  <c r="D43" i="11"/>
  <c r="D26" i="11"/>
  <c r="D17" i="11"/>
  <c r="C20" i="9" l="1"/>
  <c r="D17" i="15"/>
  <c r="D44" i="15" l="1"/>
  <c r="D42" i="15"/>
  <c r="E33" i="14" l="1"/>
  <c r="E32" i="14"/>
  <c r="E31" i="14"/>
  <c r="E30" i="14"/>
  <c r="E29" i="14"/>
  <c r="E28" i="14"/>
  <c r="E26" i="14"/>
  <c r="E40" i="14"/>
  <c r="E37" i="14"/>
  <c r="E12" i="14"/>
  <c r="E10" i="14" s="1"/>
  <c r="D48" i="14"/>
  <c r="D47" i="14"/>
  <c r="D46" i="14"/>
  <c r="D45" i="14"/>
  <c r="D44" i="14"/>
  <c r="D43" i="14"/>
  <c r="D42" i="14"/>
  <c r="D41" i="14"/>
  <c r="D39" i="14"/>
  <c r="D38" i="14"/>
  <c r="D23" i="14"/>
  <c r="D22" i="14"/>
  <c r="D20" i="14"/>
  <c r="D19" i="14"/>
  <c r="D18" i="14"/>
  <c r="D17" i="14"/>
  <c r="D16" i="14"/>
  <c r="D15" i="14"/>
  <c r="D14" i="14"/>
  <c r="D13" i="14"/>
  <c r="D11" i="14"/>
  <c r="E21" i="14"/>
  <c r="E15" i="12"/>
  <c r="E12" i="12"/>
  <c r="E8" i="12"/>
  <c r="D39" i="9"/>
  <c r="D37" i="9"/>
  <c r="D33" i="9"/>
  <c r="D31" i="9"/>
  <c r="D12" i="9"/>
  <c r="D11" i="9"/>
  <c r="D59" i="9"/>
  <c r="D49" i="9"/>
  <c r="D13" i="9" s="1"/>
  <c r="D25" i="9"/>
  <c r="D23" i="9"/>
  <c r="E27" i="14" l="1"/>
  <c r="E18" i="12"/>
  <c r="D14" i="9"/>
  <c r="D16" i="9" s="1"/>
  <c r="D20" i="9" s="1"/>
  <c r="D36" i="9"/>
  <c r="D38" i="9" s="1"/>
  <c r="D40" i="9" s="1"/>
  <c r="E25" i="14" l="1"/>
  <c r="D18" i="9"/>
  <c r="D74" i="15" l="1"/>
  <c r="H61" i="15"/>
  <c r="D61" i="15"/>
  <c r="D29" i="16"/>
  <c r="D28" i="16"/>
  <c r="D27" i="16"/>
  <c r="D26" i="16"/>
  <c r="D25" i="16"/>
  <c r="D24" i="16"/>
  <c r="D23" i="16"/>
  <c r="D22" i="16"/>
  <c r="D21" i="16"/>
  <c r="D20" i="16"/>
  <c r="D12" i="16"/>
  <c r="D13" i="16"/>
  <c r="D14" i="16"/>
  <c r="D15" i="16"/>
  <c r="D16" i="16"/>
  <c r="D37" i="15"/>
  <c r="D20" i="15"/>
  <c r="D70" i="15"/>
  <c r="D51" i="11"/>
  <c r="D37" i="11"/>
  <c r="D22" i="11"/>
  <c r="D63" i="11"/>
  <c r="D11" i="11"/>
  <c r="D12" i="10"/>
  <c r="D18" i="10" s="1"/>
  <c r="D20" i="10" s="1"/>
  <c r="D23" i="10" s="1"/>
  <c r="D28" i="10" s="1"/>
  <c r="D11" i="15" s="1"/>
  <c r="D29" i="15" l="1"/>
  <c r="D43" i="15" s="1"/>
  <c r="D52" i="15" s="1"/>
  <c r="D69" i="11"/>
  <c r="D34" i="11"/>
  <c r="E47" i="9" l="1"/>
  <c r="F37" i="14" l="1"/>
  <c r="E25" i="9"/>
  <c r="E23" i="9"/>
  <c r="E65" i="11" l="1"/>
  <c r="E60" i="11"/>
  <c r="E49" i="11"/>
  <c r="E38" i="11"/>
  <c r="F198" i="3"/>
  <c r="E19" i="15"/>
  <c r="E17" i="15"/>
  <c r="E14" i="15"/>
  <c r="E26" i="11"/>
  <c r="E11" i="16" l="1"/>
  <c r="D11" i="16" s="1"/>
  <c r="F33" i="14"/>
  <c r="F32" i="14"/>
  <c r="F31" i="14"/>
  <c r="F30" i="14"/>
  <c r="F29" i="14"/>
  <c r="F28" i="14"/>
  <c r="F26" i="14"/>
  <c r="F12" i="14"/>
  <c r="F40" i="14"/>
  <c r="E17" i="9"/>
  <c r="E15" i="9"/>
  <c r="E12" i="9"/>
  <c r="E11" i="9"/>
  <c r="E10" i="9"/>
  <c r="E9" i="9"/>
  <c r="E8" i="9"/>
  <c r="E61" i="15"/>
  <c r="E37" i="15"/>
  <c r="E62" i="9" l="1"/>
  <c r="F27" i="14"/>
  <c r="F25" i="14" l="1"/>
  <c r="F21" i="14"/>
  <c r="F10" i="14"/>
  <c r="F8" i="12"/>
  <c r="F12" i="12"/>
  <c r="F15" i="12"/>
  <c r="E59" i="9"/>
  <c r="E49" i="9"/>
  <c r="E36" i="9"/>
  <c r="E38" i="9" s="1"/>
  <c r="E40" i="9" s="1"/>
  <c r="E14" i="9"/>
  <c r="E16" i="9" s="1"/>
  <c r="E20" i="9" s="1"/>
  <c r="E74" i="15"/>
  <c r="E76" i="15" s="1"/>
  <c r="E70" i="15"/>
  <c r="E63" i="11"/>
  <c r="E51" i="11"/>
  <c r="E37" i="11"/>
  <c r="E22" i="11"/>
  <c r="E11" i="11"/>
  <c r="E12" i="10"/>
  <c r="E18" i="10" s="1"/>
  <c r="E20" i="10" s="1"/>
  <c r="E23" i="10" s="1"/>
  <c r="E28" i="10" s="1"/>
  <c r="E11" i="15" s="1"/>
  <c r="E29" i="15" s="1"/>
  <c r="E43" i="15" s="1"/>
  <c r="E52" i="15" s="1"/>
  <c r="I28" i="15"/>
  <c r="I28" i="11"/>
  <c r="D116" i="2"/>
  <c r="D106" i="2"/>
  <c r="F26" i="10"/>
  <c r="G26" i="10"/>
  <c r="I26" i="10"/>
  <c r="H26" i="10" s="1"/>
  <c r="F25" i="10"/>
  <c r="I25" i="10"/>
  <c r="G25" i="10"/>
  <c r="F21" i="16"/>
  <c r="F11" i="16"/>
  <c r="G40" i="14"/>
  <c r="G37" i="14"/>
  <c r="G33" i="14"/>
  <c r="G32" i="14"/>
  <c r="G31" i="14"/>
  <c r="G30" i="14"/>
  <c r="G29" i="14"/>
  <c r="G28" i="14"/>
  <c r="G26" i="14"/>
  <c r="H21" i="14"/>
  <c r="G21" i="14"/>
  <c r="G12" i="14"/>
  <c r="G15" i="12"/>
  <c r="G12" i="12"/>
  <c r="H12" i="12"/>
  <c r="G8" i="12"/>
  <c r="F59" i="9"/>
  <c r="F47" i="9"/>
  <c r="F49" i="9" s="1"/>
  <c r="F13" i="9" s="1"/>
  <c r="F36" i="9"/>
  <c r="F38" i="9" s="1"/>
  <c r="F40" i="9" s="1"/>
  <c r="F22" i="9"/>
  <c r="F17" i="9"/>
  <c r="F15" i="9"/>
  <c r="F12" i="9"/>
  <c r="F11" i="9"/>
  <c r="F10" i="9"/>
  <c r="F9" i="9"/>
  <c r="F8" i="9"/>
  <c r="F74" i="15"/>
  <c r="F76" i="15" s="1"/>
  <c r="F70" i="15"/>
  <c r="F61" i="15"/>
  <c r="F42" i="15"/>
  <c r="H43" i="15"/>
  <c r="F37" i="15"/>
  <c r="F19" i="15"/>
  <c r="F14" i="15"/>
  <c r="F65" i="11"/>
  <c r="F63" i="11" s="1"/>
  <c r="F60" i="11"/>
  <c r="F51" i="11" s="1"/>
  <c r="F37" i="11"/>
  <c r="F26" i="11"/>
  <c r="F22" i="11" s="1"/>
  <c r="F11" i="11"/>
  <c r="D21" i="14" l="1"/>
  <c r="D12" i="12"/>
  <c r="G27" i="14"/>
  <c r="G25" i="14" s="1"/>
  <c r="F62" i="9"/>
  <c r="E18" i="9"/>
  <c r="E69" i="11"/>
  <c r="E34" i="11"/>
  <c r="F18" i="12"/>
  <c r="F22" i="12" s="1"/>
  <c r="G10" i="14"/>
  <c r="G18" i="12"/>
  <c r="G22" i="12" s="1"/>
  <c r="F14" i="9"/>
  <c r="F16" i="9" s="1"/>
  <c r="F18" i="9" s="1"/>
  <c r="F69" i="11"/>
  <c r="F34" i="11"/>
  <c r="F74" i="11" l="1"/>
  <c r="E74" i="11"/>
  <c r="F20" i="9"/>
  <c r="F12" i="10" l="1"/>
  <c r="F18" i="10" s="1"/>
  <c r="F20" i="10" s="1"/>
  <c r="F23" i="10" s="1"/>
  <c r="F28" i="10" s="1"/>
  <c r="F11" i="15" s="1"/>
  <c r="F29" i="15" s="1"/>
  <c r="F43" i="15" s="1"/>
  <c r="F52" i="15" s="1"/>
  <c r="G19" i="15"/>
  <c r="M14" i="15"/>
  <c r="K39" i="11"/>
  <c r="I53" i="11"/>
  <c r="I14" i="12"/>
  <c r="I16" i="12"/>
  <c r="D124" i="2"/>
  <c r="I9" i="12"/>
  <c r="J15" i="12"/>
  <c r="K15" i="12"/>
  <c r="M15" i="12"/>
  <c r="H15" i="12"/>
  <c r="D15" i="12" s="1"/>
  <c r="J11" i="14"/>
  <c r="L11" i="14"/>
  <c r="M11" i="14"/>
  <c r="H47" i="9" l="1"/>
  <c r="V55" i="15"/>
  <c r="U55" i="15"/>
  <c r="H44" i="15"/>
  <c r="L42" i="15"/>
  <c r="J42" i="15"/>
  <c r="G42" i="15"/>
  <c r="K61" i="11"/>
  <c r="J61" i="11"/>
  <c r="I61" i="11"/>
  <c r="L61" i="11"/>
  <c r="N11" i="12"/>
  <c r="I10" i="12"/>
  <c r="D35" i="2" l="1"/>
  <c r="E35" i="2"/>
  <c r="D36" i="2"/>
  <c r="D46" i="2"/>
  <c r="D85" i="2"/>
  <c r="H28" i="16"/>
  <c r="I48" i="14"/>
  <c r="H37" i="14"/>
  <c r="D37" i="14" s="1"/>
  <c r="I46" i="14"/>
  <c r="I45" i="14"/>
  <c r="I44" i="14"/>
  <c r="K43" i="14"/>
  <c r="I43" i="14" s="1"/>
  <c r="I42" i="14"/>
  <c r="I41" i="14"/>
  <c r="J40" i="14"/>
  <c r="I19" i="14"/>
  <c r="N11" i="14"/>
  <c r="D12" i="2"/>
  <c r="D71" i="2"/>
  <c r="D95" i="2"/>
  <c r="H12" i="14"/>
  <c r="D12" i="14" s="1"/>
  <c r="G67" i="11"/>
  <c r="I40" i="14" l="1"/>
  <c r="H40" i="14"/>
  <c r="D40" i="14" s="1"/>
  <c r="H10" i="14" l="1"/>
  <c r="D10" i="14" s="1"/>
  <c r="G9" i="9" l="1"/>
  <c r="G17" i="9"/>
  <c r="G12" i="9"/>
  <c r="G11" i="9"/>
  <c r="G10" i="9"/>
  <c r="G8" i="9"/>
  <c r="G74" i="15" l="1"/>
  <c r="G14" i="15"/>
  <c r="G37" i="9"/>
  <c r="G15" i="9" s="1"/>
  <c r="G49" i="11"/>
  <c r="G38" i="11"/>
  <c r="G26" i="11" l="1"/>
  <c r="G28" i="11"/>
  <c r="G63" i="11"/>
  <c r="G51" i="11"/>
  <c r="G37" i="11"/>
  <c r="G11" i="11"/>
  <c r="J25" i="10"/>
  <c r="G12" i="10"/>
  <c r="G18" i="10" s="1"/>
  <c r="G20" i="10" s="1"/>
  <c r="G23" i="10" s="1"/>
  <c r="G22" i="11" l="1"/>
  <c r="G34" i="11" s="1"/>
  <c r="G69" i="11"/>
  <c r="G28" i="10"/>
  <c r="G11" i="15" s="1"/>
  <c r="G21" i="16" l="1"/>
  <c r="G11" i="16"/>
  <c r="H33" i="14"/>
  <c r="D33" i="14" s="1"/>
  <c r="H32" i="14"/>
  <c r="D32" i="14" s="1"/>
  <c r="H31" i="14"/>
  <c r="D31" i="14" s="1"/>
  <c r="H30" i="14"/>
  <c r="D30" i="14" s="1"/>
  <c r="H29" i="14"/>
  <c r="D29" i="14" s="1"/>
  <c r="H28" i="14"/>
  <c r="D28" i="14" s="1"/>
  <c r="H27" i="14"/>
  <c r="D27" i="14" s="1"/>
  <c r="I32" i="14"/>
  <c r="H8" i="12"/>
  <c r="D8" i="12" s="1"/>
  <c r="G59" i="9"/>
  <c r="G49" i="9"/>
  <c r="G13" i="9" s="1"/>
  <c r="G14" i="9" s="1"/>
  <c r="G16" i="9" s="1"/>
  <c r="G36" i="9"/>
  <c r="G26" i="9"/>
  <c r="G22" i="9"/>
  <c r="H59" i="9"/>
  <c r="H49" i="9"/>
  <c r="H13" i="9" s="1"/>
  <c r="H36" i="9"/>
  <c r="H38" i="9" s="1"/>
  <c r="H40" i="9" s="1"/>
  <c r="H26" i="9"/>
  <c r="H22" i="9"/>
  <c r="H17" i="9"/>
  <c r="H15" i="9"/>
  <c r="H12" i="9"/>
  <c r="H11" i="9"/>
  <c r="H10" i="9"/>
  <c r="H9" i="9"/>
  <c r="H8" i="9"/>
  <c r="G70" i="15"/>
  <c r="G61" i="15"/>
  <c r="G29" i="15"/>
  <c r="H63" i="11"/>
  <c r="H51" i="11"/>
  <c r="H37" i="11"/>
  <c r="H22" i="11"/>
  <c r="H11" i="11"/>
  <c r="D61" i="2"/>
  <c r="F185" i="3"/>
  <c r="F170" i="3"/>
  <c r="F160" i="3"/>
  <c r="E174" i="2"/>
  <c r="O42" i="15"/>
  <c r="P42" i="15"/>
  <c r="R28" i="11"/>
  <c r="M47" i="14"/>
  <c r="I47" i="14" s="1"/>
  <c r="G43" i="15" l="1"/>
  <c r="G52" i="15" s="1"/>
  <c r="H69" i="11"/>
  <c r="H14" i="9"/>
  <c r="H16" i="9" s="1"/>
  <c r="H18" i="9" s="1"/>
  <c r="H34" i="11"/>
  <c r="H18" i="12"/>
  <c r="D18" i="12" s="1"/>
  <c r="G20" i="9"/>
  <c r="G38" i="9"/>
  <c r="G40" i="9" s="1"/>
  <c r="H26" i="14"/>
  <c r="D26" i="14" s="1"/>
  <c r="J38" i="14"/>
  <c r="U49" i="11"/>
  <c r="S49" i="11"/>
  <c r="R49" i="11"/>
  <c r="Q49" i="11"/>
  <c r="P49" i="11"/>
  <c r="O49" i="11"/>
  <c r="N49" i="11"/>
  <c r="M49" i="11"/>
  <c r="L49" i="11"/>
  <c r="K49" i="11"/>
  <c r="J49" i="11"/>
  <c r="I49" i="11"/>
  <c r="T28" i="11"/>
  <c r="V28" i="11"/>
  <c r="S28" i="11"/>
  <c r="Q28" i="11"/>
  <c r="P28" i="11"/>
  <c r="O28" i="11"/>
  <c r="N28" i="11"/>
  <c r="M28" i="11"/>
  <c r="L28" i="11"/>
  <c r="K28" i="11"/>
  <c r="N20" i="11"/>
  <c r="L20" i="11"/>
  <c r="K20" i="11"/>
  <c r="V14" i="15"/>
  <c r="U14" i="15"/>
  <c r="T14" i="15"/>
  <c r="S14" i="15"/>
  <c r="R14" i="15"/>
  <c r="Q14" i="15"/>
  <c r="P14" i="15"/>
  <c r="O14" i="15"/>
  <c r="N14" i="15"/>
  <c r="L14" i="15"/>
  <c r="K14" i="15"/>
  <c r="I14" i="15"/>
  <c r="H25" i="14" l="1"/>
  <c r="H52" i="14" s="1"/>
  <c r="J37" i="14"/>
  <c r="H20" i="9"/>
  <c r="G18" i="9"/>
  <c r="J14" i="15"/>
  <c r="R9" i="12" l="1"/>
  <c r="Q9" i="12"/>
  <c r="P9" i="12"/>
  <c r="O9" i="12"/>
  <c r="E171" i="2"/>
  <c r="E170" i="2"/>
  <c r="E169" i="2"/>
  <c r="E168" i="2"/>
  <c r="E167" i="2"/>
  <c r="E166" i="2"/>
  <c r="E165" i="2"/>
  <c r="E164" i="2"/>
  <c r="F196" i="2"/>
  <c r="K13" i="12"/>
  <c r="I13" i="12" s="1"/>
  <c r="K11" i="12"/>
  <c r="I19" i="9"/>
  <c r="I48" i="9"/>
  <c r="I47" i="9"/>
  <c r="I45" i="9"/>
  <c r="I44" i="9"/>
  <c r="I43" i="9"/>
  <c r="I58" i="9"/>
  <c r="I56" i="9"/>
  <c r="I55" i="9"/>
  <c r="I54" i="9"/>
  <c r="I53" i="9"/>
  <c r="I52" i="9"/>
  <c r="I39" i="9"/>
  <c r="I33" i="9"/>
  <c r="I32" i="9"/>
  <c r="I31" i="9"/>
  <c r="K20" i="14"/>
  <c r="I20" i="14" s="1"/>
  <c r="K18" i="14"/>
  <c r="I18" i="14" s="1"/>
  <c r="I31" i="14" s="1"/>
  <c r="K17" i="14"/>
  <c r="I17" i="14" s="1"/>
  <c r="I30" i="14" s="1"/>
  <c r="K16" i="14"/>
  <c r="I16" i="14" s="1"/>
  <c r="I29" i="14" s="1"/>
  <c r="K15" i="14"/>
  <c r="I15" i="14" s="1"/>
  <c r="I28" i="14" s="1"/>
  <c r="K22" i="14"/>
  <c r="K14" i="14"/>
  <c r="I14" i="14" s="1"/>
  <c r="K13" i="14"/>
  <c r="I13" i="14" s="1"/>
  <c r="M38" i="14"/>
  <c r="L38" i="14"/>
  <c r="K38" i="14"/>
  <c r="K39" i="14"/>
  <c r="I39" i="14" s="1"/>
  <c r="I26" i="16"/>
  <c r="I25" i="16"/>
  <c r="I24" i="16"/>
  <c r="I23" i="16"/>
  <c r="H23" i="16" s="1"/>
  <c r="I22" i="16"/>
  <c r="H22" i="16" s="1"/>
  <c r="I20" i="16"/>
  <c r="H20" i="16" s="1"/>
  <c r="I16" i="16"/>
  <c r="H16" i="16" s="1"/>
  <c r="I15" i="16"/>
  <c r="H15" i="16" s="1"/>
  <c r="I14" i="16"/>
  <c r="H14" i="16" s="1"/>
  <c r="I13" i="16"/>
  <c r="H13" i="16" s="1"/>
  <c r="I12" i="16"/>
  <c r="I64" i="15"/>
  <c r="I60" i="15"/>
  <c r="I59" i="15"/>
  <c r="I56" i="15"/>
  <c r="I39" i="15"/>
  <c r="I38" i="15"/>
  <c r="I36" i="15"/>
  <c r="I34" i="15"/>
  <c r="I24" i="15"/>
  <c r="I23" i="15"/>
  <c r="I21" i="15"/>
  <c r="I19" i="15"/>
  <c r="I17" i="15"/>
  <c r="I15" i="15"/>
  <c r="I66" i="11"/>
  <c r="I65" i="11"/>
  <c r="I64" i="11"/>
  <c r="I60" i="11"/>
  <c r="I59" i="11"/>
  <c r="I58" i="11"/>
  <c r="I55" i="11"/>
  <c r="I54" i="11"/>
  <c r="I48" i="11"/>
  <c r="I47" i="11"/>
  <c r="I46" i="11"/>
  <c r="I45" i="11"/>
  <c r="I42" i="11"/>
  <c r="I40" i="11"/>
  <c r="I39" i="11"/>
  <c r="I38" i="11"/>
  <c r="I31" i="11"/>
  <c r="I32" i="11"/>
  <c r="I30" i="11"/>
  <c r="I29" i="11"/>
  <c r="I26" i="11"/>
  <c r="I25" i="11"/>
  <c r="I24" i="11"/>
  <c r="I20" i="11"/>
  <c r="I19" i="11"/>
  <c r="I18" i="11"/>
  <c r="I17" i="11"/>
  <c r="I16" i="11"/>
  <c r="I15" i="11"/>
  <c r="I14" i="11"/>
  <c r="I13" i="11"/>
  <c r="I12" i="11"/>
  <c r="I27" i="11" s="1"/>
  <c r="I10" i="10"/>
  <c r="L17" i="12"/>
  <c r="L11" i="12"/>
  <c r="J48" i="9"/>
  <c r="J46" i="9"/>
  <c r="J45" i="9"/>
  <c r="J44" i="9"/>
  <c r="J43" i="9"/>
  <c r="J56" i="9"/>
  <c r="J58" i="9"/>
  <c r="J55" i="9"/>
  <c r="J54" i="9"/>
  <c r="J53" i="9"/>
  <c r="J52" i="9"/>
  <c r="J24" i="15"/>
  <c r="J21" i="15"/>
  <c r="J19" i="15"/>
  <c r="J17" i="15"/>
  <c r="J65" i="11"/>
  <c r="J66" i="11"/>
  <c r="J64" i="11"/>
  <c r="J60" i="11"/>
  <c r="J59" i="11"/>
  <c r="J58" i="11"/>
  <c r="J55" i="11"/>
  <c r="J54" i="11"/>
  <c r="J57" i="11"/>
  <c r="J53" i="11"/>
  <c r="J52" i="11"/>
  <c r="J48" i="11"/>
  <c r="J47" i="11"/>
  <c r="J46" i="11"/>
  <c r="J45" i="11"/>
  <c r="J42" i="11"/>
  <c r="J40" i="11"/>
  <c r="J39" i="11"/>
  <c r="J38" i="11"/>
  <c r="J20" i="11"/>
  <c r="J31" i="11"/>
  <c r="J32" i="11"/>
  <c r="J30" i="11"/>
  <c r="J29" i="11"/>
  <c r="J28" i="11"/>
  <c r="J27" i="11"/>
  <c r="J26" i="11"/>
  <c r="J25" i="11"/>
  <c r="J24" i="11"/>
  <c r="J19" i="11"/>
  <c r="J18" i="11"/>
  <c r="J17" i="11"/>
  <c r="J16" i="11"/>
  <c r="J15" i="11"/>
  <c r="J14" i="11"/>
  <c r="J13" i="11"/>
  <c r="J12" i="11"/>
  <c r="K20" i="15"/>
  <c r="K66" i="11"/>
  <c r="K65" i="11"/>
  <c r="K64" i="11"/>
  <c r="K60" i="11"/>
  <c r="K59" i="11"/>
  <c r="K58" i="11"/>
  <c r="K57" i="11"/>
  <c r="K55" i="11"/>
  <c r="K54" i="11"/>
  <c r="K53" i="11"/>
  <c r="K52" i="11"/>
  <c r="K48" i="11"/>
  <c r="K47" i="11"/>
  <c r="K46" i="11"/>
  <c r="K45" i="11"/>
  <c r="K43" i="11"/>
  <c r="K42" i="11"/>
  <c r="K44" i="11"/>
  <c r="K40" i="11"/>
  <c r="K38" i="11"/>
  <c r="K31" i="11"/>
  <c r="K32" i="11"/>
  <c r="K30" i="11"/>
  <c r="K29" i="11"/>
  <c r="K27" i="11"/>
  <c r="K26" i="11"/>
  <c r="K25" i="11"/>
  <c r="K24" i="11"/>
  <c r="K19" i="11"/>
  <c r="K18" i="11"/>
  <c r="K17" i="11"/>
  <c r="K16" i="11"/>
  <c r="K15" i="11"/>
  <c r="Q14" i="14"/>
  <c r="P14" i="14"/>
  <c r="AC19" i="14"/>
  <c r="N19" i="14"/>
  <c r="O38" i="14"/>
  <c r="I12" i="14" l="1"/>
  <c r="I27" i="14" s="1"/>
  <c r="H12" i="16"/>
  <c r="H11" i="16" s="1"/>
  <c r="I27" i="16"/>
  <c r="J24" i="16"/>
  <c r="H24" i="16"/>
  <c r="J25" i="16"/>
  <c r="H25" i="16"/>
  <c r="J26" i="16"/>
  <c r="H26" i="16"/>
  <c r="O14" i="14"/>
  <c r="K11" i="14"/>
  <c r="I11" i="14" s="1"/>
  <c r="I22" i="14"/>
  <c r="I38" i="14"/>
  <c r="I37" i="14" s="1"/>
  <c r="L15" i="12"/>
  <c r="I17" i="12"/>
  <c r="I15" i="12" s="1"/>
  <c r="I12" i="12"/>
  <c r="I11" i="12"/>
  <c r="I8" i="12" s="1"/>
  <c r="N9" i="12"/>
  <c r="E172" i="2"/>
  <c r="F172" i="2" s="1"/>
  <c r="J49" i="9"/>
  <c r="I49" i="9"/>
  <c r="E70" i="2"/>
  <c r="H27" i="16" l="1"/>
  <c r="J27" i="16"/>
  <c r="I26" i="14"/>
  <c r="I18" i="12"/>
  <c r="G195" i="2"/>
  <c r="G194" i="2"/>
  <c r="K17" i="9"/>
  <c r="J37" i="9"/>
  <c r="I37" i="9"/>
  <c r="K37" i="9"/>
  <c r="K15" i="9" s="1"/>
  <c r="M37" i="9"/>
  <c r="N37" i="9"/>
  <c r="O37" i="9"/>
  <c r="P37" i="9"/>
  <c r="Q37" i="9"/>
  <c r="R37" i="9"/>
  <c r="S37" i="9"/>
  <c r="T37" i="9"/>
  <c r="U37" i="9"/>
  <c r="V37" i="9"/>
  <c r="L37" i="9"/>
  <c r="L15" i="9" l="1"/>
  <c r="L12" i="14" l="1"/>
  <c r="L27" i="14" s="1"/>
  <c r="K12" i="14"/>
  <c r="J12" i="14"/>
  <c r="J27" i="14" s="1"/>
  <c r="F37" i="3"/>
  <c r="K21" i="16"/>
  <c r="J21" i="16"/>
  <c r="I21" i="16"/>
  <c r="H21" i="16" s="1"/>
  <c r="K11" i="16"/>
  <c r="J11" i="16"/>
  <c r="I11" i="16"/>
  <c r="L27" i="16"/>
  <c r="M40" i="14"/>
  <c r="L40" i="14"/>
  <c r="K40" i="14"/>
  <c r="M37" i="14"/>
  <c r="L37" i="14"/>
  <c r="K37" i="14"/>
  <c r="M33" i="14"/>
  <c r="L33" i="14"/>
  <c r="K33" i="14"/>
  <c r="J33" i="14"/>
  <c r="M32" i="14"/>
  <c r="L32" i="14"/>
  <c r="K32" i="14"/>
  <c r="J32" i="14"/>
  <c r="M31" i="14"/>
  <c r="L31" i="14"/>
  <c r="K31" i="14"/>
  <c r="J31" i="14"/>
  <c r="M30" i="14"/>
  <c r="L30" i="14"/>
  <c r="K30" i="14"/>
  <c r="J30" i="14"/>
  <c r="M29" i="14"/>
  <c r="L29" i="14"/>
  <c r="K29" i="14"/>
  <c r="J29" i="14"/>
  <c r="M28" i="14"/>
  <c r="L28" i="14"/>
  <c r="K28" i="14"/>
  <c r="J28" i="14"/>
  <c r="K27" i="14"/>
  <c r="M26" i="14"/>
  <c r="J26" i="14"/>
  <c r="M21" i="14"/>
  <c r="L21" i="14"/>
  <c r="K21" i="14"/>
  <c r="J21" i="14"/>
  <c r="M12" i="14"/>
  <c r="M27" i="14" s="1"/>
  <c r="K70" i="15"/>
  <c r="J70" i="15"/>
  <c r="I70" i="15"/>
  <c r="K61" i="15"/>
  <c r="J61" i="15"/>
  <c r="I61" i="15"/>
  <c r="M12" i="12"/>
  <c r="L12" i="12"/>
  <c r="K12" i="12"/>
  <c r="J12" i="12"/>
  <c r="M8" i="12"/>
  <c r="L8" i="12"/>
  <c r="K8" i="12"/>
  <c r="J8" i="12"/>
  <c r="J15" i="9"/>
  <c r="K59" i="9"/>
  <c r="J59" i="9"/>
  <c r="I59" i="9"/>
  <c r="K49" i="9"/>
  <c r="K13" i="9" s="1"/>
  <c r="J13" i="9"/>
  <c r="I13" i="9"/>
  <c r="K36" i="9"/>
  <c r="J36" i="9"/>
  <c r="J38" i="9" s="1"/>
  <c r="J40" i="9" s="1"/>
  <c r="I36" i="9"/>
  <c r="I38" i="9" s="1"/>
  <c r="I40" i="9" s="1"/>
  <c r="K26" i="9"/>
  <c r="J26" i="9"/>
  <c r="I26" i="9"/>
  <c r="K22" i="9"/>
  <c r="J22" i="9"/>
  <c r="I22" i="9"/>
  <c r="J17" i="9"/>
  <c r="I17" i="9"/>
  <c r="I15" i="9"/>
  <c r="K12" i="9"/>
  <c r="J12" i="9"/>
  <c r="I12" i="9"/>
  <c r="I27" i="9" s="1"/>
  <c r="K11" i="9"/>
  <c r="J11" i="9"/>
  <c r="I11" i="9"/>
  <c r="K10" i="9"/>
  <c r="J10" i="9"/>
  <c r="I10" i="9"/>
  <c r="K9" i="9"/>
  <c r="J9" i="9"/>
  <c r="I9" i="9"/>
  <c r="K8" i="9"/>
  <c r="J8" i="9"/>
  <c r="I8" i="9"/>
  <c r="K63" i="11"/>
  <c r="J63" i="11"/>
  <c r="I63" i="11"/>
  <c r="K51" i="11"/>
  <c r="J51" i="11"/>
  <c r="I51" i="11"/>
  <c r="K37" i="11"/>
  <c r="J37" i="11"/>
  <c r="I37" i="11"/>
  <c r="K22" i="11"/>
  <c r="J22" i="11"/>
  <c r="I22" i="11"/>
  <c r="K11" i="11"/>
  <c r="J11" i="11"/>
  <c r="I11" i="11"/>
  <c r="K12" i="10"/>
  <c r="K18" i="10" s="1"/>
  <c r="K20" i="10" s="1"/>
  <c r="K23" i="10" s="1"/>
  <c r="K28" i="10" s="1"/>
  <c r="J12" i="10"/>
  <c r="J18" i="10" s="1"/>
  <c r="J20" i="10" s="1"/>
  <c r="J23" i="10" s="1"/>
  <c r="J28" i="10" s="1"/>
  <c r="I12" i="10"/>
  <c r="H12" i="10"/>
  <c r="H18" i="10" s="1"/>
  <c r="H20" i="10" s="1"/>
  <c r="H23" i="10" s="1"/>
  <c r="I18" i="10" l="1"/>
  <c r="I20" i="10" s="1"/>
  <c r="I23" i="10" s="1"/>
  <c r="I28" i="10" s="1"/>
  <c r="I11" i="15" s="1"/>
  <c r="I27" i="10"/>
  <c r="I10" i="14"/>
  <c r="G76" i="15"/>
  <c r="H28" i="10"/>
  <c r="H32" i="10" s="1"/>
  <c r="J10" i="14"/>
  <c r="I34" i="11"/>
  <c r="J34" i="11"/>
  <c r="J18" i="12"/>
  <c r="I62" i="9"/>
  <c r="G62" i="9"/>
  <c r="K34" i="11"/>
  <c r="J25" i="14"/>
  <c r="J52" i="14" s="1"/>
  <c r="L26" i="14"/>
  <c r="L25" i="14" s="1"/>
  <c r="L52" i="14" s="1"/>
  <c r="K10" i="14"/>
  <c r="L10" i="14"/>
  <c r="K18" i="12"/>
  <c r="K22" i="12" s="1"/>
  <c r="J62" i="9"/>
  <c r="K62" i="9"/>
  <c r="K32" i="10"/>
  <c r="K11" i="15"/>
  <c r="K29" i="15" s="1"/>
  <c r="K43" i="15" s="1"/>
  <c r="K52" i="15" s="1"/>
  <c r="K72" i="15" s="1"/>
  <c r="L18" i="12"/>
  <c r="L22" i="12" s="1"/>
  <c r="J69" i="11"/>
  <c r="J11" i="15"/>
  <c r="J29" i="15" s="1"/>
  <c r="J43" i="15" s="1"/>
  <c r="J52" i="15" s="1"/>
  <c r="J72" i="15" s="1"/>
  <c r="J32" i="10"/>
  <c r="I69" i="11"/>
  <c r="K69" i="11"/>
  <c r="M25" i="14"/>
  <c r="M52" i="14" s="1"/>
  <c r="M18" i="12"/>
  <c r="M22" i="12" s="1"/>
  <c r="K14" i="9"/>
  <c r="K16" i="9" s="1"/>
  <c r="K18" i="9" s="1"/>
  <c r="J14" i="9"/>
  <c r="J16" i="9" s="1"/>
  <c r="J20" i="9" s="1"/>
  <c r="I14" i="9"/>
  <c r="I16" i="9" s="1"/>
  <c r="I20" i="9" s="1"/>
  <c r="M10" i="14"/>
  <c r="K38" i="9"/>
  <c r="I32" i="10" l="1"/>
  <c r="I74" i="11"/>
  <c r="I29" i="15"/>
  <c r="I43" i="15" s="1"/>
  <c r="I52" i="15" s="1"/>
  <c r="I72" i="15" s="1"/>
  <c r="K26" i="14"/>
  <c r="K25" i="14" s="1"/>
  <c r="K52" i="14" s="1"/>
  <c r="G74" i="11"/>
  <c r="J74" i="11"/>
  <c r="H22" i="12"/>
  <c r="K74" i="11"/>
  <c r="K40" i="9"/>
  <c r="J18" i="9"/>
  <c r="I18" i="9"/>
  <c r="K20" i="9"/>
  <c r="N46" i="14" l="1"/>
  <c r="N45" i="14"/>
  <c r="N44" i="14"/>
  <c r="N43" i="14"/>
  <c r="N42" i="14"/>
  <c r="N41" i="14"/>
  <c r="N39" i="14"/>
  <c r="N38" i="14"/>
  <c r="N23" i="14"/>
  <c r="I23" i="14" s="1"/>
  <c r="N22" i="14"/>
  <c r="N18" i="14"/>
  <c r="N17" i="14"/>
  <c r="N16" i="14"/>
  <c r="N15" i="14"/>
  <c r="N14" i="14"/>
  <c r="N13" i="14"/>
  <c r="O48" i="15"/>
  <c r="N17" i="12"/>
  <c r="N14" i="12"/>
  <c r="N13" i="12"/>
  <c r="L26" i="9"/>
  <c r="L22" i="9"/>
  <c r="L17" i="9"/>
  <c r="L12" i="9"/>
  <c r="L11" i="9"/>
  <c r="L10" i="9"/>
  <c r="L9" i="9"/>
  <c r="L8" i="9"/>
  <c r="I33" i="14" l="1"/>
  <c r="I25" i="14" s="1"/>
  <c r="I52" i="14" s="1"/>
  <c r="I21" i="14"/>
  <c r="L62" i="9"/>
  <c r="G196" i="2"/>
  <c r="G198" i="2" l="1"/>
  <c r="F195" i="2"/>
  <c r="F194" i="2"/>
  <c r="G193" i="2"/>
  <c r="G197" i="2" l="1"/>
  <c r="D11" i="2" l="1"/>
  <c r="D23" i="2"/>
  <c r="D135" i="2"/>
  <c r="E136" i="2"/>
  <c r="E137" i="2"/>
  <c r="E148" i="2"/>
  <c r="E150" i="2"/>
  <c r="E151" i="2"/>
  <c r="E152" i="2"/>
  <c r="V56" i="9"/>
  <c r="V52" i="9"/>
  <c r="V54" i="9"/>
  <c r="V53" i="9"/>
  <c r="V26" i="9"/>
  <c r="L28" i="16"/>
  <c r="L26" i="16"/>
  <c r="L25" i="16"/>
  <c r="L24" i="16"/>
  <c r="L23" i="16"/>
  <c r="L22" i="16"/>
  <c r="L20" i="16"/>
  <c r="L16" i="16"/>
  <c r="L15" i="16"/>
  <c r="L14" i="16"/>
  <c r="L13" i="16"/>
  <c r="L12" i="16"/>
  <c r="P20" i="14" l="1"/>
  <c r="O20" i="14" l="1"/>
  <c r="N20" i="14" s="1"/>
  <c r="U22" i="9"/>
  <c r="T22" i="9"/>
  <c r="S22" i="9"/>
  <c r="R22" i="9"/>
  <c r="Q22" i="9"/>
  <c r="P22" i="9"/>
  <c r="O22" i="9"/>
  <c r="N22" i="9"/>
  <c r="M22" i="9"/>
  <c r="Q21" i="16"/>
  <c r="U15" i="14" l="1"/>
  <c r="U17" i="14"/>
  <c r="U11" i="12" l="1"/>
  <c r="U14" i="12"/>
  <c r="Q16" i="15"/>
  <c r="M42" i="15" l="1"/>
  <c r="M17" i="9" l="1"/>
  <c r="M15" i="9"/>
  <c r="M12" i="9"/>
  <c r="M11" i="9"/>
  <c r="M10" i="9"/>
  <c r="M9" i="9"/>
  <c r="M8" i="9"/>
  <c r="N17" i="9"/>
  <c r="N12" i="9"/>
  <c r="N11" i="9"/>
  <c r="N10" i="9"/>
  <c r="N9" i="9"/>
  <c r="N8" i="9"/>
  <c r="M62" i="9" l="1"/>
  <c r="N62" i="9"/>
  <c r="Q10" i="12"/>
  <c r="N10" i="12" s="1"/>
  <c r="O28" i="16" l="1"/>
  <c r="O17" i="9"/>
  <c r="O12" i="9"/>
  <c r="O11" i="9"/>
  <c r="O10" i="9"/>
  <c r="O9" i="9"/>
  <c r="O8" i="9"/>
  <c r="O15" i="9"/>
  <c r="O36" i="9"/>
  <c r="O62" i="9" l="1"/>
  <c r="O38" i="9"/>
  <c r="O40" i="9" l="1"/>
  <c r="U45" i="14"/>
  <c r="AD45" i="14" s="1"/>
  <c r="S17" i="14"/>
  <c r="AD17" i="14" s="1"/>
  <c r="T20" i="14"/>
  <c r="AD20" i="14" s="1"/>
  <c r="AD46" i="14"/>
  <c r="AD44" i="14"/>
  <c r="AD43" i="14"/>
  <c r="AD42" i="14"/>
  <c r="AD41" i="14"/>
  <c r="AD39" i="14"/>
  <c r="AD38" i="14"/>
  <c r="AD23" i="14"/>
  <c r="AD22" i="14"/>
  <c r="AD18" i="14"/>
  <c r="AD16" i="14"/>
  <c r="AD15" i="14"/>
  <c r="AD14" i="14"/>
  <c r="AD13" i="14"/>
  <c r="AD11" i="14"/>
  <c r="AC46" i="14" l="1"/>
  <c r="AC45" i="14"/>
  <c r="AC44" i="14"/>
  <c r="AC43" i="14"/>
  <c r="AC42" i="14"/>
  <c r="AC41" i="14"/>
  <c r="AC39" i="14"/>
  <c r="AC38" i="14"/>
  <c r="AC23" i="14"/>
  <c r="AC22" i="14"/>
  <c r="AC18" i="14"/>
  <c r="AC17" i="14"/>
  <c r="AC16" i="14"/>
  <c r="AC15" i="14"/>
  <c r="AC14" i="14"/>
  <c r="AC13" i="14"/>
  <c r="AC11" i="14"/>
  <c r="P28" i="16" l="1"/>
  <c r="P26" i="16"/>
  <c r="P25" i="16"/>
  <c r="P24" i="16"/>
  <c r="P23" i="16"/>
  <c r="P22" i="16"/>
  <c r="P20" i="16"/>
  <c r="P14" i="16"/>
  <c r="P16" i="16"/>
  <c r="P15" i="16"/>
  <c r="P13" i="16"/>
  <c r="P12" i="16"/>
  <c r="T40" i="14"/>
  <c r="T37" i="14"/>
  <c r="T33" i="14"/>
  <c r="T31" i="14"/>
  <c r="T30" i="14"/>
  <c r="T29" i="14"/>
  <c r="T28" i="14"/>
  <c r="T26" i="14"/>
  <c r="T21" i="14"/>
  <c r="T12" i="14"/>
  <c r="T27" i="14" s="1"/>
  <c r="T17" i="12"/>
  <c r="T14" i="12"/>
  <c r="T13" i="12"/>
  <c r="T11" i="12"/>
  <c r="T10" i="12"/>
  <c r="P15" i="15"/>
  <c r="P17" i="9"/>
  <c r="P12" i="9"/>
  <c r="P11" i="9"/>
  <c r="P10" i="9"/>
  <c r="P9" i="9"/>
  <c r="P8" i="9"/>
  <c r="T9" i="12"/>
  <c r="P62" i="9" l="1"/>
  <c r="T10" i="14"/>
  <c r="T25" i="14"/>
  <c r="P12" i="10" l="1"/>
  <c r="P18" i="10" s="1"/>
  <c r="P20" i="10" s="1"/>
  <c r="P23" i="10" s="1"/>
  <c r="P28" i="10" l="1"/>
  <c r="P32" i="10" s="1"/>
  <c r="Q15" i="9"/>
  <c r="Q17" i="9"/>
  <c r="Q12" i="9"/>
  <c r="Q11" i="9"/>
  <c r="Q10" i="9"/>
  <c r="Q9" i="9"/>
  <c r="Q8" i="9"/>
  <c r="Q62" i="9" l="1"/>
  <c r="R17" i="9"/>
  <c r="R12" i="9"/>
  <c r="R11" i="9"/>
  <c r="R10" i="9"/>
  <c r="R9" i="9"/>
  <c r="R8" i="9"/>
  <c r="R52" i="9"/>
  <c r="R59" i="9" s="1"/>
  <c r="N15" i="9"/>
  <c r="P15" i="9"/>
  <c r="R15" i="9"/>
  <c r="R62" i="9" l="1"/>
  <c r="W12" i="14"/>
  <c r="T26" i="9" l="1"/>
  <c r="S26" i="9"/>
  <c r="R26" i="9"/>
  <c r="Q26" i="9"/>
  <c r="P26" i="9"/>
  <c r="O26" i="9"/>
  <c r="N26" i="9"/>
  <c r="M26" i="9"/>
  <c r="U26" i="9"/>
  <c r="Y14" i="12" l="1"/>
  <c r="Y13" i="12"/>
  <c r="Y11" i="12"/>
  <c r="Y10" i="12"/>
  <c r="Y9" i="12"/>
  <c r="S16" i="15" l="1"/>
  <c r="S17" i="9"/>
  <c r="S15" i="9"/>
  <c r="S52" i="9"/>
  <c r="S59" i="9" s="1"/>
  <c r="V17" i="9"/>
  <c r="U17" i="9"/>
  <c r="T17" i="9"/>
  <c r="S12" i="9"/>
  <c r="S11" i="9"/>
  <c r="S10" i="9"/>
  <c r="S9" i="9"/>
  <c r="S8" i="9"/>
  <c r="U16" i="15"/>
  <c r="U52" i="9"/>
  <c r="U59" i="9" s="1"/>
  <c r="U39" i="11"/>
  <c r="U53" i="11"/>
  <c r="Y20" i="14"/>
  <c r="AC20" i="14" s="1"/>
  <c r="V16" i="15"/>
  <c r="B39" i="9"/>
  <c r="V12" i="9"/>
  <c r="V11" i="9"/>
  <c r="V10" i="9"/>
  <c r="V9" i="9"/>
  <c r="V8" i="9"/>
  <c r="U12" i="9"/>
  <c r="U11" i="9"/>
  <c r="U10" i="9"/>
  <c r="U9" i="9"/>
  <c r="U8" i="9"/>
  <c r="T12" i="9"/>
  <c r="T11" i="9"/>
  <c r="T10" i="9"/>
  <c r="T9" i="9"/>
  <c r="T8" i="9"/>
  <c r="V15" i="9"/>
  <c r="U15" i="9"/>
  <c r="T15" i="9"/>
  <c r="T52" i="9"/>
  <c r="T59" i="9" s="1"/>
  <c r="V53" i="11"/>
  <c r="V39" i="11"/>
  <c r="T39" i="11"/>
  <c r="V59" i="9"/>
  <c r="Q59" i="9"/>
  <c r="P59" i="9"/>
  <c r="O59" i="9"/>
  <c r="N59" i="9"/>
  <c r="M59" i="9"/>
  <c r="L59" i="9"/>
  <c r="V21" i="16"/>
  <c r="U21" i="16"/>
  <c r="T21" i="16"/>
  <c r="S21" i="16"/>
  <c r="R21" i="16"/>
  <c r="P21" i="16"/>
  <c r="O21" i="16"/>
  <c r="N21" i="16"/>
  <c r="M21" i="16"/>
  <c r="L21" i="16"/>
  <c r="V11" i="16"/>
  <c r="U11" i="16"/>
  <c r="T11" i="16"/>
  <c r="S11" i="16"/>
  <c r="R11" i="16"/>
  <c r="Q11" i="16"/>
  <c r="P11" i="16"/>
  <c r="O11" i="16"/>
  <c r="N11" i="16"/>
  <c r="M11" i="16"/>
  <c r="L11" i="16"/>
  <c r="AA40" i="14"/>
  <c r="Z40" i="14"/>
  <c r="Y40" i="14"/>
  <c r="X40" i="14"/>
  <c r="W40" i="14"/>
  <c r="V40" i="14"/>
  <c r="U40" i="14"/>
  <c r="S40" i="14"/>
  <c r="R40" i="14"/>
  <c r="Q40" i="14"/>
  <c r="P40" i="14"/>
  <c r="O40" i="14"/>
  <c r="AA37" i="14"/>
  <c r="Z37" i="14"/>
  <c r="Y37" i="14"/>
  <c r="X37" i="14"/>
  <c r="W37" i="14"/>
  <c r="V37" i="14"/>
  <c r="U37" i="14"/>
  <c r="S37" i="14"/>
  <c r="R37" i="14"/>
  <c r="Q37" i="14"/>
  <c r="P37" i="14"/>
  <c r="O37" i="14"/>
  <c r="N40" i="14"/>
  <c r="N37" i="14"/>
  <c r="AA33" i="14"/>
  <c r="AA31" i="14"/>
  <c r="AA30" i="14"/>
  <c r="AA29" i="14"/>
  <c r="AA28" i="14"/>
  <c r="AA26" i="14"/>
  <c r="AA21" i="14"/>
  <c r="AA12" i="14"/>
  <c r="AA10" i="14" s="1"/>
  <c r="Z33" i="14"/>
  <c r="Z31" i="14"/>
  <c r="Z30" i="14"/>
  <c r="Z29" i="14"/>
  <c r="Z28" i="14"/>
  <c r="Z26" i="14"/>
  <c r="Z21" i="14"/>
  <c r="Z12" i="14"/>
  <c r="Z27" i="14" s="1"/>
  <c r="Y31" i="14"/>
  <c r="Y30" i="14"/>
  <c r="Y29" i="14"/>
  <c r="Y28" i="14"/>
  <c r="Y26" i="14"/>
  <c r="Y21" i="14"/>
  <c r="Y12" i="14"/>
  <c r="X33" i="14"/>
  <c r="X31" i="14"/>
  <c r="X30" i="14"/>
  <c r="X29" i="14"/>
  <c r="X28" i="14"/>
  <c r="X26" i="14"/>
  <c r="X21" i="14"/>
  <c r="X12" i="14"/>
  <c r="W33" i="14"/>
  <c r="W31" i="14"/>
  <c r="W30" i="14"/>
  <c r="W29" i="14"/>
  <c r="W28" i="14"/>
  <c r="W26" i="14"/>
  <c r="W21" i="14"/>
  <c r="W27" i="14"/>
  <c r="V33" i="14"/>
  <c r="V31" i="14"/>
  <c r="V30" i="14"/>
  <c r="V29" i="14"/>
  <c r="V28" i="14"/>
  <c r="V26" i="14"/>
  <c r="V21" i="14"/>
  <c r="V12" i="14"/>
  <c r="U33" i="14"/>
  <c r="U31" i="14"/>
  <c r="U30" i="14"/>
  <c r="U29" i="14"/>
  <c r="U28" i="14"/>
  <c r="U26" i="14"/>
  <c r="U21" i="14"/>
  <c r="U12" i="14"/>
  <c r="U27" i="14" s="1"/>
  <c r="S33" i="14"/>
  <c r="S31" i="14"/>
  <c r="S30" i="14"/>
  <c r="S29" i="14"/>
  <c r="S28" i="14"/>
  <c r="S26" i="14"/>
  <c r="S21" i="14"/>
  <c r="S12" i="14"/>
  <c r="S10" i="14" s="1"/>
  <c r="R33" i="14"/>
  <c r="R31" i="14"/>
  <c r="R30" i="14"/>
  <c r="R29" i="14"/>
  <c r="R28" i="14"/>
  <c r="R26" i="14"/>
  <c r="R21" i="14"/>
  <c r="R12" i="14"/>
  <c r="R10" i="14" s="1"/>
  <c r="Q33" i="14"/>
  <c r="Q31" i="14"/>
  <c r="Q30" i="14"/>
  <c r="Q29" i="14"/>
  <c r="Q28" i="14"/>
  <c r="Q26" i="14"/>
  <c r="Q21" i="14"/>
  <c r="Q12" i="14"/>
  <c r="Q27" i="14" s="1"/>
  <c r="P33" i="14"/>
  <c r="P31" i="14"/>
  <c r="P30" i="14"/>
  <c r="P29" i="14"/>
  <c r="P28" i="14"/>
  <c r="P26" i="14"/>
  <c r="P21" i="14"/>
  <c r="P12" i="14"/>
  <c r="O33" i="14"/>
  <c r="O31" i="14"/>
  <c r="O30" i="14"/>
  <c r="O29" i="14"/>
  <c r="O28" i="14"/>
  <c r="O26" i="14"/>
  <c r="O21" i="14"/>
  <c r="O12" i="14"/>
  <c r="O27" i="14" s="1"/>
  <c r="N33" i="14"/>
  <c r="N31" i="14"/>
  <c r="N30" i="14"/>
  <c r="N29" i="14"/>
  <c r="N28" i="14"/>
  <c r="N26" i="14"/>
  <c r="N21" i="14"/>
  <c r="N12" i="14"/>
  <c r="N10" i="14" l="1"/>
  <c r="N27" i="14"/>
  <c r="AD28" i="14"/>
  <c r="Y10" i="14"/>
  <c r="AC30" i="14"/>
  <c r="AC21" i="14"/>
  <c r="AC31" i="14"/>
  <c r="S62" i="9"/>
  <c r="AC40" i="14"/>
  <c r="AC37" i="14"/>
  <c r="AC28" i="14"/>
  <c r="AC26" i="14"/>
  <c r="AC29" i="14"/>
  <c r="Y33" i="14"/>
  <c r="AC33" i="14" s="1"/>
  <c r="AD29" i="14"/>
  <c r="AD40" i="14"/>
  <c r="AD31" i="14"/>
  <c r="AD33" i="14"/>
  <c r="AD26" i="14"/>
  <c r="V10" i="14"/>
  <c r="AD12" i="14"/>
  <c r="X10" i="14"/>
  <c r="AC12" i="14"/>
  <c r="AD21" i="14"/>
  <c r="AD37" i="14"/>
  <c r="AD30" i="14"/>
  <c r="P10" i="14"/>
  <c r="Y27" i="14"/>
  <c r="Q10" i="14"/>
  <c r="P27" i="14"/>
  <c r="P25" i="14" s="1"/>
  <c r="P52" i="14" s="1"/>
  <c r="U10" i="14"/>
  <c r="W10" i="14"/>
  <c r="N25" i="14"/>
  <c r="N52" i="14" s="1"/>
  <c r="U25" i="14"/>
  <c r="AA27" i="14"/>
  <c r="AA25" i="14" s="1"/>
  <c r="AA52" i="14" s="1"/>
  <c r="W25" i="14"/>
  <c r="W52" i="14" s="1"/>
  <c r="O10" i="14"/>
  <c r="X27" i="14"/>
  <c r="Z10" i="14"/>
  <c r="O25" i="14"/>
  <c r="O52" i="14" s="1"/>
  <c r="Q25" i="14"/>
  <c r="Q52" i="14" s="1"/>
  <c r="Z25" i="14"/>
  <c r="Z52" i="14" s="1"/>
  <c r="V27" i="14"/>
  <c r="V25" i="14" s="1"/>
  <c r="S27" i="14"/>
  <c r="S25" i="14" s="1"/>
  <c r="R27" i="14"/>
  <c r="R25" i="14" s="1"/>
  <c r="R52" i="14" s="1"/>
  <c r="Y25" i="14" l="1"/>
  <c r="Y52" i="14" s="1"/>
  <c r="AD10" i="14"/>
  <c r="X25" i="14"/>
  <c r="AC27" i="14"/>
  <c r="AC10" i="14"/>
  <c r="AD27" i="14"/>
  <c r="S52" i="14"/>
  <c r="AD25" i="14"/>
  <c r="V70" i="15"/>
  <c r="V61" i="15"/>
  <c r="U70" i="15"/>
  <c r="U61" i="15"/>
  <c r="T70" i="15"/>
  <c r="T61" i="15"/>
  <c r="S70" i="15"/>
  <c r="S61" i="15"/>
  <c r="R70" i="15"/>
  <c r="R61" i="15"/>
  <c r="Q70" i="15"/>
  <c r="Q61" i="15"/>
  <c r="P70" i="15"/>
  <c r="P61" i="15"/>
  <c r="O70" i="15"/>
  <c r="O61" i="15"/>
  <c r="N70" i="15"/>
  <c r="N61" i="15"/>
  <c r="M70" i="15"/>
  <c r="M61" i="15"/>
  <c r="L70" i="15"/>
  <c r="L61" i="15"/>
  <c r="AA15" i="12"/>
  <c r="AA12" i="12"/>
  <c r="AA8" i="12"/>
  <c r="Z15" i="12"/>
  <c r="Z12" i="12"/>
  <c r="Z8" i="12"/>
  <c r="Y15" i="12"/>
  <c r="Y12" i="12"/>
  <c r="Y8" i="12"/>
  <c r="X15" i="12"/>
  <c r="X12" i="12"/>
  <c r="X8" i="12"/>
  <c r="W15" i="12"/>
  <c r="W12" i="12"/>
  <c r="W8" i="12"/>
  <c r="V15" i="12"/>
  <c r="V12" i="12"/>
  <c r="V8" i="12"/>
  <c r="U15" i="12"/>
  <c r="U12" i="12"/>
  <c r="U8" i="12"/>
  <c r="T15" i="12"/>
  <c r="T12" i="12"/>
  <c r="T8" i="12"/>
  <c r="S15" i="12"/>
  <c r="S12" i="12"/>
  <c r="S8" i="12"/>
  <c r="R15" i="12"/>
  <c r="R12" i="12"/>
  <c r="R8" i="12"/>
  <c r="Q15" i="12"/>
  <c r="Q12" i="12"/>
  <c r="Q8" i="12"/>
  <c r="P15" i="12"/>
  <c r="P12" i="12"/>
  <c r="P8" i="12"/>
  <c r="O15" i="12"/>
  <c r="O12" i="12"/>
  <c r="O8" i="12"/>
  <c r="N15" i="12"/>
  <c r="N12" i="12"/>
  <c r="N8" i="12"/>
  <c r="V36" i="9"/>
  <c r="U36" i="9"/>
  <c r="U38" i="9" s="1"/>
  <c r="T36" i="9"/>
  <c r="S36" i="9"/>
  <c r="S38" i="9" s="1"/>
  <c r="S40" i="9" s="1"/>
  <c r="R36" i="9"/>
  <c r="R38" i="9" s="1"/>
  <c r="R40" i="9" s="1"/>
  <c r="Q36" i="9"/>
  <c r="Q38" i="9" s="1"/>
  <c r="Q40" i="9" s="1"/>
  <c r="P36" i="9"/>
  <c r="N36" i="9"/>
  <c r="M36" i="9"/>
  <c r="L36" i="9"/>
  <c r="V49" i="9"/>
  <c r="V13" i="9" s="1"/>
  <c r="U49" i="9"/>
  <c r="U13" i="9" s="1"/>
  <c r="T49" i="9"/>
  <c r="T13" i="9" s="1"/>
  <c r="S49" i="9"/>
  <c r="S13" i="9" s="1"/>
  <c r="R49" i="9"/>
  <c r="R13" i="9" s="1"/>
  <c r="R14" i="9" s="1"/>
  <c r="R16" i="9" s="1"/>
  <c r="Q49" i="9"/>
  <c r="Q13" i="9" s="1"/>
  <c r="Q14" i="9" s="1"/>
  <c r="Q16" i="9" s="1"/>
  <c r="P49" i="9"/>
  <c r="O49" i="9"/>
  <c r="N49" i="9"/>
  <c r="M49" i="9"/>
  <c r="L49" i="9"/>
  <c r="T38" i="9" l="1"/>
  <c r="T40" i="9" s="1"/>
  <c r="P38" i="9"/>
  <c r="P40" i="9" s="1"/>
  <c r="N38" i="9"/>
  <c r="N40" i="9" s="1"/>
  <c r="L13" i="9"/>
  <c r="N13" i="9"/>
  <c r="N14" i="9" s="1"/>
  <c r="N16" i="9" s="1"/>
  <c r="N20" i="9" s="1"/>
  <c r="O13" i="9"/>
  <c r="O14" i="9" s="1"/>
  <c r="O16" i="9" s="1"/>
  <c r="O20" i="9" s="1"/>
  <c r="M13" i="9"/>
  <c r="M14" i="9" s="1"/>
  <c r="M16" i="9" s="1"/>
  <c r="P13" i="9"/>
  <c r="P14" i="9" s="1"/>
  <c r="P16" i="9" s="1"/>
  <c r="P18" i="9" s="1"/>
  <c r="M38" i="9"/>
  <c r="M40" i="9" s="1"/>
  <c r="X52" i="14"/>
  <c r="AC25" i="14"/>
  <c r="V38" i="9"/>
  <c r="V40" i="9" s="1"/>
  <c r="V61" i="9"/>
  <c r="P18" i="12"/>
  <c r="P22" i="12" s="1"/>
  <c r="Q18" i="9"/>
  <c r="Q20" i="9"/>
  <c r="U18" i="12"/>
  <c r="U22" i="12" s="1"/>
  <c r="R18" i="9"/>
  <c r="R20" i="9"/>
  <c r="V18" i="12"/>
  <c r="V22" i="12" s="1"/>
  <c r="T18" i="12"/>
  <c r="R18" i="12"/>
  <c r="R22" i="12" s="1"/>
  <c r="Z18" i="12"/>
  <c r="Z22" i="12" s="1"/>
  <c r="W18" i="12"/>
  <c r="W22" i="12" s="1"/>
  <c r="Q18" i="12"/>
  <c r="Q22" i="12" s="1"/>
  <c r="S18" i="12"/>
  <c r="S22" i="12" s="1"/>
  <c r="N18" i="12"/>
  <c r="O18" i="12"/>
  <c r="O22" i="12" s="1"/>
  <c r="AA18" i="12"/>
  <c r="AA22" i="12" s="1"/>
  <c r="X18" i="12"/>
  <c r="Y18" i="12"/>
  <c r="Y22" i="12" s="1"/>
  <c r="L38" i="9"/>
  <c r="M18" i="9" l="1"/>
  <c r="M20" i="9"/>
  <c r="O18" i="9"/>
  <c r="P20" i="9"/>
  <c r="N18" i="9"/>
  <c r="L40" i="9"/>
  <c r="X22" i="12"/>
  <c r="N22" i="12"/>
  <c r="V14" i="9"/>
  <c r="V16" i="9" s="1"/>
  <c r="U14" i="9"/>
  <c r="U16" i="9" s="1"/>
  <c r="U20" i="9" s="1"/>
  <c r="T14" i="9"/>
  <c r="T16" i="9" s="1"/>
  <c r="S14" i="9"/>
  <c r="S16" i="9" s="1"/>
  <c r="S20" i="9" s="1"/>
  <c r="L14" i="9"/>
  <c r="L16" i="9" s="1"/>
  <c r="L18" i="9" s="1"/>
  <c r="V63" i="11"/>
  <c r="U63" i="11"/>
  <c r="T63" i="11"/>
  <c r="S63" i="11"/>
  <c r="R63" i="11"/>
  <c r="Q63" i="11"/>
  <c r="P63" i="11"/>
  <c r="O63" i="11"/>
  <c r="N63" i="11"/>
  <c r="M63" i="11"/>
  <c r="L63" i="11"/>
  <c r="V51" i="11"/>
  <c r="U51" i="11"/>
  <c r="T51" i="11"/>
  <c r="S51" i="11"/>
  <c r="R51" i="11"/>
  <c r="Q51" i="11"/>
  <c r="P51" i="11"/>
  <c r="O51" i="11"/>
  <c r="N51" i="11"/>
  <c r="M51" i="11"/>
  <c r="L51" i="11"/>
  <c r="V37" i="11"/>
  <c r="U37" i="11"/>
  <c r="T37" i="11"/>
  <c r="S37" i="11"/>
  <c r="R37" i="11"/>
  <c r="Q37" i="11"/>
  <c r="P37" i="11"/>
  <c r="O37" i="11"/>
  <c r="N37" i="11"/>
  <c r="M37" i="11"/>
  <c r="L37" i="11"/>
  <c r="V22" i="11"/>
  <c r="U22" i="11"/>
  <c r="T22" i="11"/>
  <c r="S22" i="11"/>
  <c r="R22" i="11"/>
  <c r="Q22" i="11"/>
  <c r="P22" i="11"/>
  <c r="O22" i="11"/>
  <c r="N22" i="11"/>
  <c r="M22" i="11"/>
  <c r="L22" i="11"/>
  <c r="V11" i="11"/>
  <c r="U11" i="11"/>
  <c r="T11" i="11"/>
  <c r="S11" i="11"/>
  <c r="R11" i="11"/>
  <c r="Q11" i="11"/>
  <c r="P11" i="11"/>
  <c r="O11" i="11"/>
  <c r="L11" i="11"/>
  <c r="P34" i="11" l="1"/>
  <c r="T34" i="11"/>
  <c r="S34" i="11"/>
  <c r="R34" i="11"/>
  <c r="O34" i="11"/>
  <c r="Q34" i="11"/>
  <c r="L34" i="11"/>
  <c r="U34" i="11"/>
  <c r="V34" i="11"/>
  <c r="L20" i="9"/>
  <c r="S18" i="9"/>
  <c r="T18" i="9"/>
  <c r="T20" i="9"/>
  <c r="V18" i="9"/>
  <c r="V20" i="9"/>
  <c r="V69" i="11"/>
  <c r="Q69" i="11"/>
  <c r="P69" i="11"/>
  <c r="R69" i="11"/>
  <c r="S69" i="11"/>
  <c r="M69" i="11"/>
  <c r="T69" i="11"/>
  <c r="L69" i="11"/>
  <c r="N69" i="11"/>
  <c r="U69" i="11"/>
  <c r="O69" i="11"/>
  <c r="V12" i="10"/>
  <c r="V18" i="10" s="1"/>
  <c r="V20" i="10" s="1"/>
  <c r="V23" i="10" s="1"/>
  <c r="U12" i="10"/>
  <c r="U18" i="10" s="1"/>
  <c r="U20" i="10" s="1"/>
  <c r="U23" i="10" s="1"/>
  <c r="U28" i="10" s="1"/>
  <c r="S12" i="10"/>
  <c r="S18" i="10" s="1"/>
  <c r="S20" i="10" s="1"/>
  <c r="S23" i="10" s="1"/>
  <c r="S28" i="10" s="1"/>
  <c r="R12" i="10"/>
  <c r="R18" i="10" s="1"/>
  <c r="R20" i="10" s="1"/>
  <c r="R23" i="10" s="1"/>
  <c r="R28" i="10" s="1"/>
  <c r="Q12" i="10"/>
  <c r="Q18" i="10" s="1"/>
  <c r="Q20" i="10" s="1"/>
  <c r="Q23" i="10" s="1"/>
  <c r="O12" i="10"/>
  <c r="O18" i="10" s="1"/>
  <c r="O20" i="10" s="1"/>
  <c r="O23" i="10" s="1"/>
  <c r="O28" i="10" s="1"/>
  <c r="N12" i="10"/>
  <c r="N18" i="10" s="1"/>
  <c r="N20" i="10" s="1"/>
  <c r="N23" i="10" s="1"/>
  <c r="N28" i="10" s="1"/>
  <c r="M12" i="10"/>
  <c r="M18" i="10" s="1"/>
  <c r="M20" i="10" s="1"/>
  <c r="M23" i="10" s="1"/>
  <c r="L12" i="10"/>
  <c r="L18" i="10" s="1"/>
  <c r="L20" i="10" s="1"/>
  <c r="L23" i="10" s="1"/>
  <c r="T12" i="10"/>
  <c r="T18" i="10" s="1"/>
  <c r="T20" i="10" s="1"/>
  <c r="T23" i="10" s="1"/>
  <c r="L28" i="10" l="1"/>
  <c r="L32" i="10" s="1"/>
  <c r="M28" i="10"/>
  <c r="M32" i="10" s="1"/>
  <c r="Q28" i="10"/>
  <c r="Q32" i="10" s="1"/>
  <c r="L74" i="11"/>
  <c r="Q74" i="11"/>
  <c r="N11" i="15"/>
  <c r="N29" i="15" s="1"/>
  <c r="N43" i="15" s="1"/>
  <c r="N32" i="10"/>
  <c r="O11" i="15"/>
  <c r="O29" i="15" s="1"/>
  <c r="O43" i="15" s="1"/>
  <c r="O32" i="10"/>
  <c r="P11" i="15"/>
  <c r="P29" i="15" s="1"/>
  <c r="P43" i="15" s="1"/>
  <c r="P52" i="15" s="1"/>
  <c r="T74" i="11"/>
  <c r="S74" i="11"/>
  <c r="R11" i="15"/>
  <c r="R29" i="15" s="1"/>
  <c r="R43" i="15" s="1"/>
  <c r="R52" i="15" s="1"/>
  <c r="R32" i="10"/>
  <c r="S11" i="15"/>
  <c r="S29" i="15" s="1"/>
  <c r="S43" i="15" s="1"/>
  <c r="S52" i="15" s="1"/>
  <c r="S32" i="10"/>
  <c r="R74" i="11"/>
  <c r="O74" i="11"/>
  <c r="P74" i="11"/>
  <c r="U32" i="10"/>
  <c r="V25" i="10"/>
  <c r="V28" i="10" s="1"/>
  <c r="U74" i="11"/>
  <c r="V74" i="11"/>
  <c r="T25" i="10"/>
  <c r="T28" i="10" s="1"/>
  <c r="Q11" i="15" l="1"/>
  <c r="Q29" i="15" s="1"/>
  <c r="Q43" i="15" s="1"/>
  <c r="Q52" i="15" s="1"/>
  <c r="Q72" i="15" s="1"/>
  <c r="M11" i="15"/>
  <c r="M29" i="15" s="1"/>
  <c r="M43" i="15" s="1"/>
  <c r="M52" i="15" s="1"/>
  <c r="M72" i="15" s="1"/>
  <c r="L11" i="15"/>
  <c r="L29" i="15" s="1"/>
  <c r="L43" i="15" s="1"/>
  <c r="L52" i="15" s="1"/>
  <c r="L72" i="15" s="1"/>
  <c r="L74" i="15" s="1"/>
  <c r="I73" i="15" s="1"/>
  <c r="I74" i="15" s="1"/>
  <c r="I76" i="15" s="1"/>
  <c r="O52" i="15"/>
  <c r="O72" i="15" s="1"/>
  <c r="N52" i="15"/>
  <c r="N72" i="15" s="1"/>
  <c r="P72" i="15"/>
  <c r="S72" i="15"/>
  <c r="R72" i="15"/>
  <c r="V11" i="15"/>
  <c r="V29" i="15" s="1"/>
  <c r="V43" i="15" s="1"/>
  <c r="V52" i="15" s="1"/>
  <c r="V32" i="10"/>
  <c r="U11" i="15"/>
  <c r="U29" i="15" s="1"/>
  <c r="U43" i="15" s="1"/>
  <c r="U52" i="15" s="1"/>
  <c r="K73" i="15" l="1"/>
  <c r="K74" i="15" s="1"/>
  <c r="K76" i="15" s="1"/>
  <c r="J73" i="15"/>
  <c r="J74" i="15" s="1"/>
  <c r="J76" i="15" s="1"/>
  <c r="V72" i="15"/>
  <c r="V74" i="15" s="1"/>
  <c r="U72" i="15"/>
  <c r="T11" i="15"/>
  <c r="T29" i="15" s="1"/>
  <c r="T43" i="15" s="1"/>
  <c r="T52" i="15" s="1"/>
  <c r="T32" i="10"/>
  <c r="U73" i="15" l="1"/>
  <c r="U74" i="15" s="1"/>
  <c r="U76" i="15" s="1"/>
  <c r="V76" i="15"/>
  <c r="T73" i="15"/>
  <c r="T72" i="15"/>
  <c r="T74" i="15" l="1"/>
  <c r="P73" i="15" s="1"/>
  <c r="N11" i="11"/>
  <c r="N34" i="11" l="1"/>
  <c r="N74" i="11" s="1"/>
  <c r="T76" i="15"/>
  <c r="R73" i="15"/>
  <c r="R74" i="15" s="1"/>
  <c r="R76" i="15" s="1"/>
  <c r="S73" i="15"/>
  <c r="S74" i="15" s="1"/>
  <c r="S76" i="15" s="1"/>
  <c r="Q73" i="15" l="1"/>
  <c r="Q74" i="15" s="1"/>
  <c r="Q76" i="15" s="1"/>
  <c r="P74" i="15"/>
  <c r="O73" i="15" s="1"/>
  <c r="P76" i="15" l="1"/>
  <c r="O74" i="15" l="1"/>
  <c r="N74" i="15" l="1"/>
  <c r="O76" i="15"/>
  <c r="M74" i="15" l="1"/>
  <c r="N76" i="15"/>
  <c r="D196" i="2"/>
  <c r="E185" i="2"/>
  <c r="E184" i="2"/>
  <c r="D185" i="2"/>
  <c r="D184" i="2"/>
  <c r="E186" i="2" l="1"/>
  <c r="M76" i="15"/>
  <c r="L76" i="15" l="1"/>
  <c r="M11" i="11" l="1"/>
  <c r="M34" i="11" l="1"/>
  <c r="M74" i="11" s="1"/>
  <c r="E138" i="2"/>
  <c r="U40" i="9" l="1"/>
  <c r="U18" i="9"/>
  <c r="D25" i="14"/>
  <c r="F25" i="9"/>
</calcChain>
</file>

<file path=xl/sharedStrings.xml><?xml version="1.0" encoding="utf-8"?>
<sst xmlns="http://schemas.openxmlformats.org/spreadsheetml/2006/main" count="2119" uniqueCount="380">
  <si>
    <t>Aba</t>
  </si>
  <si>
    <t>Capacidades</t>
  </si>
  <si>
    <t>Tema</t>
  </si>
  <si>
    <t>Unidades</t>
  </si>
  <si>
    <t>18/19</t>
  </si>
  <si>
    <t>19/20</t>
  </si>
  <si>
    <t>Moagem</t>
  </si>
  <si>
    <t>Descrição</t>
  </si>
  <si>
    <t>Capacidade de moagem média por safra</t>
  </si>
  <si>
    <t>(ton cana/ sf)</t>
  </si>
  <si>
    <t>Período de Safra</t>
  </si>
  <si>
    <t>(dias)</t>
  </si>
  <si>
    <t>Data de início de Safra</t>
  </si>
  <si>
    <t>dd/mm/aa</t>
  </si>
  <si>
    <t>Data de final de Safra</t>
  </si>
  <si>
    <t>Cogeração de energia</t>
  </si>
  <si>
    <t>(MWh/ano)</t>
  </si>
  <si>
    <t>Anidro</t>
  </si>
  <si>
    <t>Hidratado</t>
  </si>
  <si>
    <t>Açúcar</t>
  </si>
  <si>
    <t>(ton)</t>
  </si>
  <si>
    <t>Biomassa</t>
  </si>
  <si>
    <t>Agrícola</t>
  </si>
  <si>
    <t>Origem da Cana Moída</t>
  </si>
  <si>
    <t>Cana de fornecedores (terceiros)</t>
  </si>
  <si>
    <t>(ton cana / ha)</t>
  </si>
  <si>
    <t>Área de corte - cana própria</t>
  </si>
  <si>
    <t>Idade Média do Canavial</t>
  </si>
  <si>
    <t>anos</t>
  </si>
  <si>
    <t>Rendimentos Agrícolas</t>
  </si>
  <si>
    <t>(kg /  ton)</t>
  </si>
  <si>
    <t>Total de ATR / ha</t>
  </si>
  <si>
    <t>(mil ton/ ha)</t>
  </si>
  <si>
    <t>(mil ton)</t>
  </si>
  <si>
    <t xml:space="preserve"> (m³) </t>
  </si>
  <si>
    <t>(R$ mil)</t>
  </si>
  <si>
    <t>Investimentos</t>
  </si>
  <si>
    <t>-</t>
  </si>
  <si>
    <t>Capacidade de produção</t>
  </si>
  <si>
    <t>Dias de Safra</t>
  </si>
  <si>
    <t>Potência Instalada</t>
  </si>
  <si>
    <t>Rendimento Agrícola - Média</t>
  </si>
  <si>
    <t>ATR Kg/Ton.</t>
  </si>
  <si>
    <t>Produção total na safra</t>
  </si>
  <si>
    <t>Total de energia exportada</t>
  </si>
  <si>
    <t>Apresentação Inst.</t>
  </si>
  <si>
    <t>Visão Geral das Operações</t>
  </si>
  <si>
    <t>Processamento Total de Cana - Própria</t>
  </si>
  <si>
    <t>Processamento Total de Cana - Terceirizada</t>
  </si>
  <si>
    <t>Processamento Total de Cana - Total</t>
  </si>
  <si>
    <t>(mm tc/safra)</t>
  </si>
  <si>
    <t>Valores</t>
  </si>
  <si>
    <t>Safra</t>
  </si>
  <si>
    <t>Soma de Valores2</t>
  </si>
  <si>
    <t>Açúcar Total</t>
  </si>
  <si>
    <t>Rótulos de Linha</t>
  </si>
  <si>
    <t>Rótulos de Coluna</t>
  </si>
  <si>
    <t>Etanol</t>
  </si>
  <si>
    <t>Produção e Comercialização</t>
  </si>
  <si>
    <t xml:space="preserve"> Cogeração de Energia</t>
  </si>
  <si>
    <t xml:space="preserve"> Período de Safra</t>
  </si>
  <si>
    <t xml:space="preserve"> Moagem</t>
  </si>
  <si>
    <t xml:space="preserve"> Cogeração de energia</t>
  </si>
  <si>
    <t xml:space="preserve"> Origem da Cana Moída</t>
  </si>
  <si>
    <t xml:space="preserve"> Rendimentos Agrícolas</t>
  </si>
  <si>
    <t>Receita Líquida</t>
  </si>
  <si>
    <t>Lucro operacional</t>
  </si>
  <si>
    <t>EBITDA</t>
  </si>
  <si>
    <t>Caixa e equivalentes de caixa</t>
  </si>
  <si>
    <t>Partes Relacionadas</t>
  </si>
  <si>
    <t>Parceria agrícola a pagar</t>
  </si>
  <si>
    <t>Fornecedores</t>
  </si>
  <si>
    <t>Outros passivos</t>
  </si>
  <si>
    <t>Patrimônio Líquido</t>
  </si>
  <si>
    <t>Lucros (Prejuízos) acumulados</t>
  </si>
  <si>
    <t>x</t>
  </si>
  <si>
    <t>Etanol anidro</t>
  </si>
  <si>
    <t>Etanol hidratado</t>
  </si>
  <si>
    <t xml:space="preserve">Atualizado em: </t>
  </si>
  <si>
    <r>
      <t xml:space="preserve"> Etanol Hidratado </t>
    </r>
    <r>
      <rPr>
        <sz val="10"/>
        <color theme="1"/>
        <rFont val="Roboto"/>
      </rPr>
      <t>(m³)</t>
    </r>
  </si>
  <si>
    <r>
      <t xml:space="preserve"> Etanol Anidro </t>
    </r>
    <r>
      <rPr>
        <sz val="10"/>
        <color theme="1"/>
        <rFont val="Roboto"/>
      </rPr>
      <t>(m³)</t>
    </r>
  </si>
  <si>
    <t>mil tons</t>
  </si>
  <si>
    <t>mil m³</t>
  </si>
  <si>
    <t xml:space="preserve"> Capacidade de produção</t>
  </si>
  <si>
    <t>Produção de açúcar</t>
  </si>
  <si>
    <t>Produção de etanol</t>
  </si>
  <si>
    <t>mm ton de cana-de-açúcar</t>
  </si>
  <si>
    <t>dias de Safra</t>
  </si>
  <si>
    <t>Receita Operacional Líquida</t>
  </si>
  <si>
    <t>Resultado antes dos impostos</t>
  </si>
  <si>
    <t>Resultado financeiro, líquido</t>
  </si>
  <si>
    <t>1TRI 21</t>
  </si>
  <si>
    <t>2TRI 21</t>
  </si>
  <si>
    <t>Intangível</t>
  </si>
  <si>
    <t>Direito de uso</t>
  </si>
  <si>
    <t>Estoques</t>
  </si>
  <si>
    <t>Adiantamentos e outras contas a receber</t>
  </si>
  <si>
    <t>Circulante</t>
  </si>
  <si>
    <t>Não circulante</t>
  </si>
  <si>
    <t>Total do ativo</t>
  </si>
  <si>
    <t>Empréstimos e financiamentos com partes relacionadas</t>
  </si>
  <si>
    <t>Total do passivo e patrimônio líquido</t>
  </si>
  <si>
    <t>Outros</t>
  </si>
  <si>
    <t>Endividamento</t>
  </si>
  <si>
    <t>Capex</t>
  </si>
  <si>
    <t>Impostos Federais</t>
  </si>
  <si>
    <t>Pert</t>
  </si>
  <si>
    <t>Refis</t>
  </si>
  <si>
    <t>Transação excepcional</t>
  </si>
  <si>
    <t>Tratos Culturais</t>
  </si>
  <si>
    <t>Manutenção</t>
  </si>
  <si>
    <t>Melhoria Operacional</t>
  </si>
  <si>
    <t>Equipamentos / Reposições</t>
  </si>
  <si>
    <t>Modernização/Expansão</t>
  </si>
  <si>
    <t>Pesa</t>
  </si>
  <si>
    <t>Disponibilidades (Caixa)</t>
  </si>
  <si>
    <t>Dívida líquida</t>
  </si>
  <si>
    <t>Dívida líquida / EBITDA</t>
  </si>
  <si>
    <t>3TRI 21</t>
  </si>
  <si>
    <t>4TRI 21</t>
  </si>
  <si>
    <t>Dívida Bancária</t>
  </si>
  <si>
    <t>Dívida líquida / EBITDA Ajust.</t>
  </si>
  <si>
    <t>Dívida bruta total</t>
  </si>
  <si>
    <t>Endividamento Financeiro</t>
  </si>
  <si>
    <t>Endividamento Fiscal</t>
  </si>
  <si>
    <t>Dívida Reestruturada¹</t>
  </si>
  <si>
    <t>¹ As dívidas reestruturadas têm alguns credores em comum com as dívidas subordinadas.</t>
  </si>
  <si>
    <t>Mercado Doméstico</t>
  </si>
  <si>
    <t>Mercado Externo</t>
  </si>
  <si>
    <t>Etanol Anidro</t>
  </si>
  <si>
    <t>Etanol Hidratado</t>
  </si>
  <si>
    <t>Energia Elétrica</t>
  </si>
  <si>
    <t>Etanol (mil m³)</t>
  </si>
  <si>
    <t>Cana própria</t>
  </si>
  <si>
    <t>Cana fornecedores</t>
  </si>
  <si>
    <t>Etanol total</t>
  </si>
  <si>
    <t>ATR</t>
  </si>
  <si>
    <t>TCH</t>
  </si>
  <si>
    <t>TPH</t>
  </si>
  <si>
    <t>(Tudo)</t>
  </si>
  <si>
    <t>ATR / ha</t>
  </si>
  <si>
    <t>Açúcar (Mercado doméstico)</t>
  </si>
  <si>
    <t>Açúcar (Mercado externo)</t>
  </si>
  <si>
    <t>Mercado doméstico</t>
  </si>
  <si>
    <t>Coluna1</t>
  </si>
  <si>
    <t>total</t>
  </si>
  <si>
    <t>Receita líquida / moagem</t>
  </si>
  <si>
    <t>Dívida Sênior</t>
  </si>
  <si>
    <t>DRE e outros</t>
  </si>
  <si>
    <t>Dívida Líquida</t>
  </si>
  <si>
    <r>
      <t xml:space="preserve">Capex </t>
    </r>
    <r>
      <rPr>
        <sz val="11"/>
        <color theme="0"/>
        <rFont val="Roboto"/>
      </rPr>
      <t>(R$ mm)</t>
    </r>
  </si>
  <si>
    <t>TOTAL</t>
  </si>
  <si>
    <t>Capex total</t>
  </si>
  <si>
    <t xml:space="preserve"> Açúcar TOTAL</t>
  </si>
  <si>
    <t>Cana Própria</t>
  </si>
  <si>
    <t>Ativo biológico</t>
  </si>
  <si>
    <t>CRA</t>
  </si>
  <si>
    <t>Contas a Receber com partes relacionadas</t>
  </si>
  <si>
    <t>Imposto de Renda e Contribuição Social</t>
  </si>
  <si>
    <t>Arrendamento a pagar</t>
  </si>
  <si>
    <t>Volumes</t>
  </si>
  <si>
    <t>Despesas comerciais</t>
  </si>
  <si>
    <t>Despesas administrativas e gerais</t>
  </si>
  <si>
    <t>Resultado de equivalência patrimonial</t>
  </si>
  <si>
    <t>Outras receitas / despesas operacionais</t>
  </si>
  <si>
    <t>Provisão para perda de crédito esperada</t>
  </si>
  <si>
    <t>Custos dos produtos vendidos</t>
  </si>
  <si>
    <t>Lucro bruto</t>
  </si>
  <si>
    <t>Resultado financeiro, líquido¹</t>
  </si>
  <si>
    <t>IR e contribuição social do exercício</t>
  </si>
  <si>
    <t>IR e contribuição social diferido</t>
  </si>
  <si>
    <t>SF 2020/21</t>
  </si>
  <si>
    <t>SF 2021/22</t>
  </si>
  <si>
    <t>SF 2019/20</t>
  </si>
  <si>
    <t>1S 2019/20</t>
  </si>
  <si>
    <t>1TRI 22</t>
  </si>
  <si>
    <t>2TRI 22</t>
  </si>
  <si>
    <t>4TRI 22</t>
  </si>
  <si>
    <t>3TRI 22</t>
  </si>
  <si>
    <t>2S 2019/20</t>
  </si>
  <si>
    <t>SF 2018/19</t>
  </si>
  <si>
    <t>¹ Excluídos despesas das dívidas subordinadas.</t>
  </si>
  <si>
    <t>Encargos com Dívidas Subordinadas</t>
  </si>
  <si>
    <t>Resultado do exercício (proforma)</t>
  </si>
  <si>
    <t>Resultado do exercício (contábil)</t>
  </si>
  <si>
    <t>Ativo</t>
  </si>
  <si>
    <t>Passivo e Patrimônio Líquido</t>
  </si>
  <si>
    <t>Dívida Fiscal</t>
  </si>
  <si>
    <t xml:space="preserve">Bancos e Fundos </t>
  </si>
  <si>
    <t>Dívida Reestruturada</t>
  </si>
  <si>
    <t>Mercado de Capitais - CRA</t>
  </si>
  <si>
    <t>Total Dívida Bruta</t>
  </si>
  <si>
    <t>Disponibilidade – Caixa</t>
  </si>
  <si>
    <t>Dívida Líquida / Ebitda Ajust.</t>
  </si>
  <si>
    <t>Total Endividamento Fiscal</t>
  </si>
  <si>
    <t>Manutenção Entressafra ¹</t>
  </si>
  <si>
    <t>¹ Investimentos industriais e agrícolas</t>
  </si>
  <si>
    <t>Projetos ¹</t>
  </si>
  <si>
    <t>Total Capex</t>
  </si>
  <si>
    <t>Fluxo de caixa das atividades operacionais</t>
  </si>
  <si>
    <t>Lucro líquido do período</t>
  </si>
  <si>
    <t>Ajustes</t>
  </si>
  <si>
    <t>Depreciação e amortização</t>
  </si>
  <si>
    <t xml:space="preserve">Provisões para contingências líquidas </t>
  </si>
  <si>
    <t>Provisão (reversão) para perda líquidas</t>
  </si>
  <si>
    <t>Juros e encargos ativos e passivos</t>
  </si>
  <si>
    <t>Ajuste a valor presente</t>
  </si>
  <si>
    <t>Ajuste do valor justo ativo biológico</t>
  </si>
  <si>
    <t>Variação em ativos biológicos por venda ou consumo</t>
  </si>
  <si>
    <t>Residual de baixa do ativo imobilizado</t>
  </si>
  <si>
    <t>Imposto de renda e contribuição social corrente</t>
  </si>
  <si>
    <t>Imposto de renda e contribuição social diferido</t>
  </si>
  <si>
    <t>Variações nos ativos e passivos</t>
  </si>
  <si>
    <t>Contas a receber de clientes</t>
  </si>
  <si>
    <t>Adiantamento e outras contas a receber</t>
  </si>
  <si>
    <t>Tributos a recuperar</t>
  </si>
  <si>
    <t>Outros ativos</t>
  </si>
  <si>
    <t>Adiantamento recebido de clientes</t>
  </si>
  <si>
    <t>Salário e contribuições sociais</t>
  </si>
  <si>
    <t>Tributos a recolher</t>
  </si>
  <si>
    <t>Tributos parcelados</t>
  </si>
  <si>
    <t>Caixa proveniente das operações</t>
  </si>
  <si>
    <t>Pagamento de juros sobre empréstimos e financiamentos</t>
  </si>
  <si>
    <t>Pagamento de juros sobre tributos parcelados</t>
  </si>
  <si>
    <t>Caixa líquido proveniente das atividades operacionais</t>
  </si>
  <si>
    <t>Fluxo de caixa das atividades de investimento</t>
  </si>
  <si>
    <t xml:space="preserve">Adição ao imobilizado e intangível </t>
  </si>
  <si>
    <t>Recebimento de recursos venda imobilizado</t>
  </si>
  <si>
    <t>Formação do ativo biológico</t>
  </si>
  <si>
    <t>Caixa líquido proveniente (aplicado nas) atividades de investimento</t>
  </si>
  <si>
    <t>Fluxo de caixa das atividades de financiamento</t>
  </si>
  <si>
    <t>Captação de financiamentos - terceiros</t>
  </si>
  <si>
    <t>Amortização de financiamentos - terceiros</t>
  </si>
  <si>
    <t>Caixa líquido proveniente das(utilizado nas)atividades de financiamento</t>
  </si>
  <si>
    <t>Aumento de caixa e equivalentes de caixa, líquido</t>
  </si>
  <si>
    <t>Caixa e equivalentes de caixa no início do período</t>
  </si>
  <si>
    <t>Caixa e equivalentes de caixa no final do período</t>
  </si>
  <si>
    <t>Desempenho de Vendas</t>
  </si>
  <si>
    <t>Cbios</t>
  </si>
  <si>
    <t xml:space="preserve">Álcool gel e saneantes </t>
  </si>
  <si>
    <t>Açúcar (mil sacas)</t>
  </si>
  <si>
    <t>Mercado Interno</t>
  </si>
  <si>
    <t xml:space="preserve">   Anidro</t>
  </si>
  <si>
    <t xml:space="preserve">   Hidratado</t>
  </si>
  <si>
    <t>Energia exportada (mil MWh)</t>
  </si>
  <si>
    <t>CBIOs (mil)</t>
  </si>
  <si>
    <t>Biomassa (tons)</t>
  </si>
  <si>
    <t>ATR Comercializado (mil tons)</t>
  </si>
  <si>
    <t>Colheita e Matéria-Prima</t>
  </si>
  <si>
    <t>Cana Processada (mil tons)</t>
  </si>
  <si>
    <t xml:space="preserve">   Própria</t>
  </si>
  <si>
    <t xml:space="preserve">   Terceiros</t>
  </si>
  <si>
    <t>TAH (tons de ATR/ha)</t>
  </si>
  <si>
    <t>TCH (tons de cana/ha)</t>
  </si>
  <si>
    <t>ATR cana própria (kg / tons de cana)</t>
  </si>
  <si>
    <t>Produtividade</t>
  </si>
  <si>
    <t>ATR Produzido (mil ton)</t>
  </si>
  <si>
    <t>Mix Açúcar – Etanol (%)</t>
  </si>
  <si>
    <t>Efeito do balanço pró-forma</t>
  </si>
  <si>
    <t>¹ Considerar os  valores do laudo de avaliação com valor de mercado das terras.</t>
  </si>
  <si>
    <t>Fornecedores ²</t>
  </si>
  <si>
    <t xml:space="preserve">Empréstimos e financiamentos com partes relacionadas </t>
  </si>
  <si>
    <t>Empréstimos e financiamentos de terceiros ²</t>
  </si>
  <si>
    <t>Capital social ²</t>
  </si>
  <si>
    <t>Reserva de reavaliação ¹</t>
  </si>
  <si>
    <t>Imposto de renda e contribuição social diferidos  ¹</t>
  </si>
  <si>
    <t>Imobilizado ¹</t>
  </si>
  <si>
    <t>BSE</t>
  </si>
  <si>
    <t>CVCIB</t>
  </si>
  <si>
    <t>FIDC Itapema</t>
  </si>
  <si>
    <t>FIDC Itapema Pesa</t>
  </si>
  <si>
    <t>FIDC VERT</t>
  </si>
  <si>
    <t>Total Dívidas Subordinadas</t>
  </si>
  <si>
    <t>Dívidas Subordinadas</t>
  </si>
  <si>
    <t>As dívidas subordinadas não têm efeito caixa, são operações com pagamento bullet de principal e juros, e podem ser prorrogadas a critério do Credor</t>
  </si>
  <si>
    <t>EBITDA Ajustado ²</t>
  </si>
  <si>
    <t>Empréstimos partes relacionadas</t>
  </si>
  <si>
    <t>Quantidades comercializados</t>
  </si>
  <si>
    <t>Check 19/20</t>
  </si>
  <si>
    <t>31% - 69%</t>
  </si>
  <si>
    <t>26% - 74%</t>
  </si>
  <si>
    <t>Check</t>
  </si>
  <si>
    <t>41%-59%</t>
  </si>
  <si>
    <t>EBIT Ajustado ²</t>
  </si>
  <si>
    <t>² Para o EBITDA EBIT dos trimestre e semestres estão sendo considerados o LTM (Last Twelve Months - últimos 12 meses)</t>
  </si>
  <si>
    <t>Dívida líquida / EBIT Ajust.</t>
  </si>
  <si>
    <t>Aplicações Financeiras</t>
  </si>
  <si>
    <t>Imposto de renda e contribuição social</t>
  </si>
  <si>
    <t>Reserva de incentivos fiscais</t>
  </si>
  <si>
    <t>Pagamento de juros sobre arrendamentos</t>
  </si>
  <si>
    <t>6M 21</t>
  </si>
  <si>
    <t>9M 21</t>
  </si>
  <si>
    <t>Empréstimos e financiamentos</t>
  </si>
  <si>
    <t>Residual de baixa do Direito de uso</t>
  </si>
  <si>
    <t>Pagamento de imposto de renda e contribuição social</t>
  </si>
  <si>
    <t>Check  20/21</t>
  </si>
  <si>
    <t>31%-69%</t>
  </si>
  <si>
    <t>Aplicações financeiras</t>
  </si>
  <si>
    <t>39%-61%</t>
  </si>
  <si>
    <t>6M 22</t>
  </si>
  <si>
    <t>9M 22</t>
  </si>
  <si>
    <t>54%-46%</t>
  </si>
  <si>
    <t>20/21</t>
  </si>
  <si>
    <t>21/22</t>
  </si>
  <si>
    <t>ok</t>
  </si>
  <si>
    <t>Bagaço</t>
  </si>
  <si>
    <t>CBIOs</t>
  </si>
  <si>
    <t>(tons)</t>
  </si>
  <si>
    <t>Álcool em gel e saneantes</t>
  </si>
  <si>
    <t>Outras contas a receber</t>
  </si>
  <si>
    <t>Aplicações em caixa restrito</t>
  </si>
  <si>
    <t>1TRI 23</t>
  </si>
  <si>
    <t>SF 2022/23</t>
  </si>
  <si>
    <t>9M 23</t>
  </si>
  <si>
    <t>6M 23</t>
  </si>
  <si>
    <t>4TRI 23</t>
  </si>
  <si>
    <t>3TRI 23</t>
  </si>
  <si>
    <t>2TRI 23</t>
  </si>
  <si>
    <t>Soja</t>
  </si>
  <si>
    <t>Soja (mil sacas)</t>
  </si>
  <si>
    <t>60%-40%</t>
  </si>
  <si>
    <t>(mil saca)</t>
  </si>
  <si>
    <t>22/23</t>
  </si>
  <si>
    <t>Receita diferida de garantia</t>
  </si>
  <si>
    <t>Ganho na aquisição de participação societária</t>
  </si>
  <si>
    <t>Pagamento de juros sobre empréstimos com partes relacionadas</t>
  </si>
  <si>
    <t>67%-33%</t>
  </si>
  <si>
    <t>Provisão para perda de crédito esperada¹</t>
  </si>
  <si>
    <t>Perdão de dívida</t>
  </si>
  <si>
    <t>47% - 53%</t>
  </si>
  <si>
    <t xml:space="preserve">soja </t>
  </si>
  <si>
    <t>FIP Uisa</t>
  </si>
  <si>
    <t>c</t>
  </si>
  <si>
    <t xml:space="preserve">      Em milhares </t>
  </si>
  <si>
    <t xml:space="preserve">Demonstração do Resultado </t>
  </si>
  <si>
    <t xml:space="preserve">Balanço Patrimonial (Pró-forma) </t>
  </si>
  <si>
    <t xml:space="preserve">Capex </t>
  </si>
  <si>
    <t xml:space="preserve">Dados Operacionais </t>
  </si>
  <si>
    <t xml:space="preserve">Demonstração do fluxo de caixa indireto </t>
  </si>
  <si>
    <t>Performance</t>
  </si>
  <si>
    <t>Obs: dados acumulados</t>
  </si>
  <si>
    <t>Juros pagos fornecedores convênio</t>
  </si>
  <si>
    <t>Outros investimentos</t>
  </si>
  <si>
    <t xml:space="preserve">Aumento de capital em investida </t>
  </si>
  <si>
    <t>Pagamento de arrendamento e parceria agrícola</t>
  </si>
  <si>
    <t>Provisão para demandas judiciais</t>
  </si>
  <si>
    <t>Dados operacionais (produção)</t>
  </si>
  <si>
    <t>1TRI 24</t>
  </si>
  <si>
    <t>23/24</t>
  </si>
  <si>
    <t>Saneantes (mil caixas)</t>
  </si>
  <si>
    <t>43% - 57%</t>
  </si>
  <si>
    <t xml:space="preserve">Saneantes </t>
  </si>
  <si>
    <t>² Excluídos dívidas subordinadas do passivo e somados em capital social. Versão pró-forma
 </t>
  </si>
  <si>
    <t>Quita PGFN / Litigio Zero / Parcelamentos ordinários</t>
  </si>
  <si>
    <t>Stakeholders</t>
  </si>
  <si>
    <t>Energia exportada (GWh)</t>
  </si>
  <si>
    <t>(GWh)</t>
  </si>
  <si>
    <t>(mil sacas)</t>
  </si>
  <si>
    <t>48% - 52%</t>
  </si>
  <si>
    <t>Terras / ESG - NRs / Outros</t>
  </si>
  <si>
    <t>Formação de Lavoura - Plantio Reforma</t>
  </si>
  <si>
    <t>Formação da Lavoura – Plantio Expansão</t>
  </si>
  <si>
    <t>Valores2</t>
  </si>
  <si>
    <t>Produção total de Soja na safra</t>
  </si>
  <si>
    <t>2TRI 24</t>
  </si>
  <si>
    <t>6M 24</t>
  </si>
  <si>
    <t>SF 2023/24</t>
  </si>
  <si>
    <t>3TRI 24</t>
  </si>
  <si>
    <t>9M 24</t>
  </si>
  <si>
    <t>Recebimento de Seguro</t>
  </si>
  <si>
    <t>Dívida Financeira no Curto Prazo</t>
  </si>
  <si>
    <t>Dívida Financeira no Longo Prazo</t>
  </si>
  <si>
    <t>Dívida Financeira em moeda nacional (R$)</t>
  </si>
  <si>
    <t>Dívida Financeira em moeda estrangeira (USD)</t>
  </si>
  <si>
    <t>Adiantamentos recebidos de clientes</t>
  </si>
  <si>
    <t>4TRI 24</t>
  </si>
  <si>
    <t>Instrumentos financeiros derivativos</t>
  </si>
  <si>
    <t>1TRI 25</t>
  </si>
  <si>
    <t>41% - 59%</t>
  </si>
  <si>
    <t>24/25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</si>
</sst>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4">
    <numFmt numFmtId="44" formatCode="_-&quot;R$&quot;* #,##0.00_-;\-&quot;R$&quot;* #,##0.00_-;_-&quot;R$&quot;* &quot;-&quot;??_-;_-@_-"/>
    <numFmt numFmtId="43" formatCode="_-* #,##0.00_-;\-* #,##0.00_-;_-* &quot;-&quot;??_-;_-@_-"/>
    <numFmt numFmtId="164" formatCode="_(* #,##0.00_);_(* \(#,##0.00\);_(* &quot;-&quot;??_);_(@_)"/>
    <numFmt numFmtId="165" formatCode="#,##0_ ;\(#,##0\);\-"/>
    <numFmt numFmtId="166" formatCode="#,##0.0_ ;\(#,##0.0\);\-"/>
    <numFmt numFmtId="167" formatCode="_-* #,##0_-;\-* #,##0_-;_-* &quot;-&quot;??_-;_-@_-"/>
    <numFmt numFmtId="168" formatCode="_-* #,##0.0_-;\-* #,##0.0_-;_-* &quot;-&quot;??_-;_-@_-"/>
    <numFmt numFmtId="169" formatCode="#,##0.0\x;\-#,##0.0\ \x;\-"/>
    <numFmt numFmtId="170" formatCode="0.0%"/>
    <numFmt numFmtId="171" formatCode="_(* #,##0_);_(* \(#,##0\);_(* &quot;-&quot;??_);_(@_)"/>
    <numFmt numFmtId="172" formatCode="0.0\x_&amp;;\(0.0\x\)_&quot;;0.0\x_&amp;;@_%_)"/>
    <numFmt numFmtId="173" formatCode="_-&quot;R$&quot;* #,##0.0_-;\-&quot;R$&quot;* #,##0.0_-;_-&quot;R$&quot;* &quot;-&quot;??_-;_-@_-"/>
    <numFmt numFmtId="174" formatCode="_-[$R$-416]\ * #,##0.0_-;\-[$R$-416]\ * #,##0.0_-;_-[$R$-416]\ * &quot;-&quot;??_-;_-@_-"/>
    <numFmt numFmtId="175" formatCode="#,##0.00_ ;\(#,##0.00\);\-"/>
  </numFmts>
  <fonts count="51">
    <font>
      <sz val="11"/>
      <color theme="1"/>
      <name val="Calibri"/>
      <family val="2"/>
      <scheme val="minor"/>
    </font>
    <font>
      <sz val="11"/>
      <color theme="1"/>
      <name val="Roboto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Roboto"/>
    </font>
    <font>
      <sz val="10"/>
      <color theme="1"/>
      <name val="Roboto"/>
    </font>
    <font>
      <b/>
      <sz val="10"/>
      <color theme="1"/>
      <name val="Roboto"/>
    </font>
    <font>
      <b/>
      <sz val="10"/>
      <color rgb="FF00B050"/>
      <name val="Roboto"/>
    </font>
    <font>
      <sz val="10"/>
      <color rgb="FF4B4F55"/>
      <name val="Roboto"/>
    </font>
    <font>
      <b/>
      <sz val="10"/>
      <color theme="0"/>
      <name val="Roboto"/>
    </font>
    <font>
      <sz val="10"/>
      <color theme="0"/>
      <name val="Roboto"/>
    </font>
    <font>
      <sz val="11"/>
      <color theme="1"/>
      <name val="Calibri"/>
      <family val="2"/>
      <scheme val="minor"/>
    </font>
    <font>
      <sz val="10"/>
      <color theme="0"/>
      <name val="Calibri"/>
      <family val="2"/>
    </font>
    <font>
      <sz val="11"/>
      <color theme="0"/>
      <name val="Roboto"/>
    </font>
    <font>
      <sz val="10"/>
      <color theme="1"/>
      <name val="Arial"/>
      <family val="2"/>
    </font>
    <font>
      <sz val="12"/>
      <name val="Times New Roman"/>
      <family val="1"/>
    </font>
    <font>
      <sz val="12"/>
      <name val="Arial"/>
      <family val="2"/>
    </font>
    <font>
      <sz val="11"/>
      <color indexed="8"/>
      <name val="Calibri"/>
      <family val="2"/>
    </font>
    <font>
      <sz val="10"/>
      <name val="Arial Unicode MS"/>
      <family val="2"/>
    </font>
    <font>
      <sz val="10"/>
      <color indexed="8"/>
      <name val="Arial"/>
      <family val="2"/>
    </font>
    <font>
      <sz val="11"/>
      <name val="Roboto"/>
    </font>
    <font>
      <b/>
      <sz val="11"/>
      <name val="Roboto"/>
    </font>
    <font>
      <sz val="10"/>
      <color rgb="FF000000"/>
      <name val="Calibri"/>
      <family val="2"/>
    </font>
    <font>
      <sz val="10"/>
      <color rgb="FFFF0000"/>
      <name val="Calibri"/>
      <family val="2"/>
      <scheme val="minor"/>
    </font>
    <font>
      <sz val="11"/>
      <color rgb="FF4B4F55"/>
      <name val="Kobenhavn Sans Light"/>
      <family val="3"/>
    </font>
    <font>
      <i/>
      <sz val="10"/>
      <color rgb="FF44484E"/>
      <name val="Roboto"/>
    </font>
    <font>
      <b/>
      <sz val="10"/>
      <color rgb="FFF58220"/>
      <name val="Roboto"/>
    </font>
    <font>
      <sz val="10"/>
      <color rgb="FF44484E"/>
      <name val="Roboto"/>
    </font>
    <font>
      <b/>
      <sz val="10"/>
      <color rgb="FF4B4F55"/>
      <name val="Roboto"/>
    </font>
    <font>
      <sz val="10"/>
      <color rgb="FFF58220"/>
      <name val="Roboto"/>
    </font>
    <font>
      <sz val="10"/>
      <color rgb="FFFF0000"/>
      <name val="Roboto"/>
    </font>
    <font>
      <i/>
      <sz val="10"/>
      <color rgb="FFFF0000"/>
      <name val="Roboto"/>
    </font>
    <font>
      <b/>
      <sz val="12"/>
      <color theme="0"/>
      <name val="Roboto"/>
    </font>
    <font>
      <i/>
      <sz val="8"/>
      <color rgb="FF44484E"/>
      <name val="Roboto"/>
    </font>
    <font>
      <b/>
      <sz val="10"/>
      <color rgb="FF44484E"/>
      <name val="Roboto"/>
    </font>
    <font>
      <b/>
      <i/>
      <sz val="8"/>
      <color rgb="FF44484E"/>
      <name val="Roboto"/>
    </font>
    <font>
      <b/>
      <sz val="8"/>
      <color theme="0"/>
      <name val="Roboto"/>
    </font>
    <font>
      <i/>
      <sz val="10"/>
      <color rgb="FFF58220"/>
      <name val="Roboto"/>
    </font>
    <font>
      <b/>
      <sz val="10"/>
      <color theme="1" tint="0.249977111117893"/>
      <name val="Roboto"/>
    </font>
    <font>
      <sz val="10"/>
      <color theme="1" tint="0.249977111117893"/>
      <name val="Roboto"/>
    </font>
    <font>
      <b/>
      <sz val="10"/>
      <color rgb="FFFF0000"/>
      <name val="Roboto"/>
    </font>
    <font>
      <b/>
      <sz val="10"/>
      <color rgb="FF404040"/>
      <name val="Roboto"/>
    </font>
    <font>
      <sz val="10"/>
      <color rgb="FF404040"/>
      <name val="Roboto"/>
    </font>
    <font>
      <b/>
      <sz val="12"/>
      <color rgb="FF404040"/>
      <name val="Roboto"/>
    </font>
    <font>
      <b/>
      <sz val="8"/>
      <color rgb="FF404040"/>
      <name val="Roboto"/>
    </font>
    <font>
      <i/>
      <sz val="8"/>
      <color rgb="FFF58220"/>
      <name val="Roboto"/>
    </font>
    <font>
      <i/>
      <sz val="10"/>
      <color rgb="FF4B4F55"/>
      <name val="Roboto"/>
    </font>
    <font>
      <sz val="8"/>
      <color rgb="FF44484E"/>
      <name val="Roboto"/>
    </font>
    <font>
      <i/>
      <sz val="10"/>
      <color theme="0"/>
      <name val="Roboto"/>
    </font>
  </fonts>
  <fills count="14">
    <fill>
      <patternFill patternType="none"/>
    </fill>
    <fill>
      <patternFill patternType="gray125"/>
    </fill>
    <fill>
      <patternFill patternType="solid">
        <fgColor theme="1" tint="0.249977111117893"/>
        <bgColor indexed="64"/>
      </patternFill>
    </fill>
    <fill>
      <patternFill patternType="solid">
        <fgColor rgb="FFF5822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4B4F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249977111117893"/>
        <bgColor indexed="64"/>
      </patternFill>
    </fill>
  </fills>
  <borders count="13">
    <border>
      <left/>
      <right/>
      <top/>
      <bottom/>
      <diagonal/>
    </border>
    <border>
      <left/>
      <right style="thin">
        <color theme="6" tint="0.39997558519241921"/>
      </right>
      <top style="thin">
        <color theme="6" tint="0.39997558519241921"/>
      </top>
      <bottom style="thin">
        <color theme="6" tint="0.39997558519241921"/>
      </bottom>
      <diagonal/>
    </border>
    <border>
      <left/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/>
      <right/>
      <top/>
      <bottom style="medium">
        <color rgb="FFA5A7AA"/>
      </bottom>
      <diagonal/>
    </border>
    <border>
      <left/>
      <right/>
      <top style="medium">
        <color rgb="FFA5A7AA"/>
      </top>
      <bottom/>
      <diagonal/>
    </border>
    <border>
      <left/>
      <right/>
      <top/>
      <bottom style="medium">
        <color rgb="FFF58220"/>
      </bottom>
      <diagonal/>
    </border>
    <border>
      <left/>
      <right/>
      <top/>
      <bottom style="medium">
        <color rgb="FF808080"/>
      </bottom>
      <diagonal/>
    </border>
    <border>
      <left/>
      <right/>
      <top style="medium">
        <color rgb="FFA5A7AA"/>
      </top>
      <bottom style="medium">
        <color rgb="FFF58220"/>
      </bottom>
      <diagonal/>
    </border>
    <border>
      <left/>
      <right/>
      <top style="medium">
        <color rgb="FFA5A7AA"/>
      </top>
      <bottom style="medium">
        <color rgb="FFA5A7AA"/>
      </bottom>
      <diagonal/>
    </border>
    <border>
      <left/>
      <right/>
      <top style="medium">
        <color rgb="FF808080"/>
      </top>
      <bottom style="medium">
        <color rgb="FF808080"/>
      </bottom>
      <diagonal/>
    </border>
    <border>
      <left/>
      <right/>
      <top style="medium">
        <color rgb="FFF58220"/>
      </top>
      <bottom style="medium">
        <color rgb="FFF58220"/>
      </bottom>
      <diagonal/>
    </border>
  </borders>
  <cellStyleXfs count="92">
    <xf numFmtId="0" fontId="0" fillId="0" borderId="0"/>
    <xf numFmtId="164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6" fillId="0" borderId="0"/>
    <xf numFmtId="37" fontId="17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3" fillId="0" borderId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8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13" fillId="0" borderId="0"/>
    <xf numFmtId="0" fontId="13" fillId="0" borderId="0"/>
    <xf numFmtId="0" fontId="19" fillId="0" borderId="0"/>
    <xf numFmtId="0" fontId="2" fillId="0" borderId="0"/>
    <xf numFmtId="0" fontId="16" fillId="0" borderId="0" applyNumberFormat="0" applyFill="0" applyBorder="0"/>
    <xf numFmtId="0" fontId="2" fillId="0" borderId="0"/>
    <xf numFmtId="0" fontId="20" fillId="0" borderId="0"/>
    <xf numFmtId="0" fontId="2" fillId="0" borderId="0" applyNumberFormat="0" applyFill="0" applyBorder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3" fillId="0" borderId="0" applyNumberFormat="0" applyFill="0" applyBorder="0"/>
    <xf numFmtId="0" fontId="13" fillId="10" borderId="3" applyNumberFormat="0" applyFont="0" applyAlignment="0" applyProtection="0"/>
    <xf numFmtId="9" fontId="1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3" fillId="0" borderId="0" applyFill="0" applyBorder="0" applyAlignment="0" applyProtection="0"/>
    <xf numFmtId="9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4" fontId="13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4" fontId="21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2" fillId="0" borderId="0"/>
  </cellStyleXfs>
  <cellXfs count="231">
    <xf numFmtId="0" fontId="0" fillId="0" borderId="0" xfId="0"/>
    <xf numFmtId="0" fontId="4" fillId="2" borderId="0" xfId="0" applyFont="1" applyFill="1"/>
    <xf numFmtId="0" fontId="4" fillId="2" borderId="0" xfId="0" applyFont="1" applyFill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7" fillId="0" borderId="0" xfId="0" applyFont="1"/>
    <xf numFmtId="17" fontId="7" fillId="0" borderId="0" xfId="0" applyNumberFormat="1" applyFont="1"/>
    <xf numFmtId="0" fontId="8" fillId="3" borderId="0" xfId="0" applyFont="1" applyFill="1" applyAlignment="1">
      <alignment vertical="center"/>
    </xf>
    <xf numFmtId="0" fontId="8" fillId="4" borderId="0" xfId="0" applyFont="1" applyFill="1" applyAlignment="1">
      <alignment vertical="center"/>
    </xf>
    <xf numFmtId="0" fontId="8" fillId="0" borderId="0" xfId="0" applyFont="1" applyAlignment="1">
      <alignment vertical="center"/>
    </xf>
    <xf numFmtId="0" fontId="7" fillId="0" borderId="0" xfId="0" pivotButton="1" applyFont="1"/>
    <xf numFmtId="0" fontId="7" fillId="0" borderId="0" xfId="0" applyFont="1" applyAlignment="1">
      <alignment horizontal="left"/>
    </xf>
    <xf numFmtId="167" fontId="7" fillId="0" borderId="0" xfId="0" applyNumberFormat="1" applyFont="1"/>
    <xf numFmtId="0" fontId="9" fillId="0" borderId="0" xfId="0" applyFont="1"/>
    <xf numFmtId="168" fontId="7" fillId="0" borderId="0" xfId="0" applyNumberFormat="1" applyFont="1"/>
    <xf numFmtId="0" fontId="10" fillId="5" borderId="0" xfId="0" applyFont="1" applyFill="1"/>
    <xf numFmtId="0" fontId="11" fillId="5" borderId="0" xfId="0" applyFont="1" applyFill="1" applyAlignment="1">
      <alignment vertical="center"/>
    </xf>
    <xf numFmtId="0" fontId="12" fillId="5" borderId="0" xfId="0" applyFont="1" applyFill="1"/>
    <xf numFmtId="0" fontId="7" fillId="5" borderId="0" xfId="0" applyFont="1" applyFill="1"/>
    <xf numFmtId="0" fontId="0" fillId="4" borderId="0" xfId="0" applyFill="1"/>
    <xf numFmtId="0" fontId="0" fillId="6" borderId="0" xfId="0" applyFill="1"/>
    <xf numFmtId="0" fontId="14" fillId="6" borderId="0" xfId="0" applyFont="1" applyFill="1"/>
    <xf numFmtId="0" fontId="0" fillId="7" borderId="0" xfId="0" applyFill="1"/>
    <xf numFmtId="0" fontId="10" fillId="0" borderId="0" xfId="0" applyFont="1"/>
    <xf numFmtId="0" fontId="6" fillId="3" borderId="0" xfId="0" applyFont="1" applyFill="1" applyAlignment="1">
      <alignment horizontal="left" vertical="center"/>
    </xf>
    <xf numFmtId="168" fontId="0" fillId="0" borderId="0" xfId="0" applyNumberFormat="1"/>
    <xf numFmtId="0" fontId="7" fillId="0" borderId="0" xfId="0" applyFont="1" applyAlignment="1">
      <alignment horizontal="center"/>
    </xf>
    <xf numFmtId="0" fontId="7" fillId="4" borderId="0" xfId="0" applyFont="1" applyFill="1"/>
    <xf numFmtId="167" fontId="7" fillId="0" borderId="1" xfId="0" applyNumberFormat="1" applyFont="1" applyBorder="1"/>
    <xf numFmtId="165" fontId="22" fillId="4" borderId="0" xfId="2" applyNumberFormat="1" applyFont="1" applyFill="1" applyAlignment="1">
      <alignment vertical="center"/>
    </xf>
    <xf numFmtId="165" fontId="4" fillId="2" borderId="0" xfId="0" applyNumberFormat="1" applyFont="1" applyFill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  <xf numFmtId="0" fontId="7" fillId="0" borderId="4" xfId="0" applyFont="1" applyBorder="1"/>
    <xf numFmtId="44" fontId="7" fillId="0" borderId="1" xfId="90" applyFont="1" applyBorder="1"/>
    <xf numFmtId="0" fontId="22" fillId="4" borderId="0" xfId="0" applyFont="1" applyFill="1" applyAlignment="1">
      <alignment horizontal="left" vertical="center"/>
    </xf>
    <xf numFmtId="0" fontId="23" fillId="9" borderId="0" xfId="0" applyFont="1" applyFill="1" applyAlignment="1">
      <alignment horizontal="left" vertical="center"/>
    </xf>
    <xf numFmtId="168" fontId="7" fillId="11" borderId="0" xfId="0" applyNumberFormat="1" applyFont="1" applyFill="1"/>
    <xf numFmtId="0" fontId="7" fillId="11" borderId="0" xfId="0" applyFont="1" applyFill="1"/>
    <xf numFmtId="167" fontId="7" fillId="11" borderId="0" xfId="0" applyNumberFormat="1" applyFont="1" applyFill="1"/>
    <xf numFmtId="167" fontId="7" fillId="11" borderId="0" xfId="2" applyNumberFormat="1" applyFont="1" applyFill="1"/>
    <xf numFmtId="1" fontId="7" fillId="11" borderId="0" xfId="0" applyNumberFormat="1" applyFont="1" applyFill="1"/>
    <xf numFmtId="168" fontId="0" fillId="11" borderId="0" xfId="0" applyNumberFormat="1" applyFill="1"/>
    <xf numFmtId="169" fontId="7" fillId="11" borderId="0" xfId="0" applyNumberFormat="1" applyFont="1" applyFill="1"/>
    <xf numFmtId="165" fontId="24" fillId="0" borderId="0" xfId="0" applyNumberFormat="1" applyFont="1" applyAlignment="1">
      <alignment horizontal="center"/>
    </xf>
    <xf numFmtId="166" fontId="24" fillId="0" borderId="0" xfId="0" applyNumberFormat="1" applyFont="1" applyAlignment="1">
      <alignment horizontal="center"/>
    </xf>
    <xf numFmtId="0" fontId="25" fillId="0" borderId="0" xfId="0" applyFont="1" applyAlignment="1">
      <alignment horizontal="right"/>
    </xf>
    <xf numFmtId="0" fontId="11" fillId="5" borderId="0" xfId="0" applyFont="1" applyFill="1" applyAlignment="1">
      <alignment horizontal="left"/>
    </xf>
    <xf numFmtId="0" fontId="7" fillId="8" borderId="0" xfId="0" applyFont="1" applyFill="1" applyAlignment="1">
      <alignment horizontal="center"/>
    </xf>
    <xf numFmtId="0" fontId="7" fillId="5" borderId="0" xfId="0" applyFont="1" applyFill="1" applyAlignment="1">
      <alignment horizontal="center"/>
    </xf>
    <xf numFmtId="0" fontId="28" fillId="12" borderId="5" xfId="0" applyFont="1" applyFill="1" applyBorder="1" applyAlignment="1">
      <alignment horizontal="left" wrapText="1"/>
    </xf>
    <xf numFmtId="171" fontId="11" fillId="3" borderId="5" xfId="0" applyNumberFormat="1" applyFont="1" applyFill="1" applyBorder="1" applyAlignment="1">
      <alignment horizontal="right" wrapText="1"/>
    </xf>
    <xf numFmtId="171" fontId="28" fillId="12" borderId="5" xfId="0" applyNumberFormat="1" applyFont="1" applyFill="1" applyBorder="1" applyAlignment="1">
      <alignment horizontal="right" wrapText="1"/>
    </xf>
    <xf numFmtId="0" fontId="28" fillId="12" borderId="5" xfId="0" applyFont="1" applyFill="1" applyBorder="1" applyAlignment="1">
      <alignment horizontal="right" wrapText="1"/>
    </xf>
    <xf numFmtId="0" fontId="28" fillId="0" borderId="5" xfId="0" applyFont="1" applyBorder="1" applyAlignment="1">
      <alignment horizontal="left" wrapText="1"/>
    </xf>
    <xf numFmtId="171" fontId="28" fillId="0" borderId="5" xfId="0" applyNumberFormat="1" applyFont="1" applyBorder="1" applyAlignment="1">
      <alignment horizontal="left" wrapText="1"/>
    </xf>
    <xf numFmtId="0" fontId="29" fillId="0" borderId="0" xfId="0" applyFont="1" applyAlignment="1">
      <alignment horizontal="center"/>
    </xf>
    <xf numFmtId="0" fontId="10" fillId="0" borderId="5" xfId="0" applyFont="1" applyBorder="1" applyAlignment="1">
      <alignment horizontal="left"/>
    </xf>
    <xf numFmtId="165" fontId="10" fillId="0" borderId="5" xfId="2" applyNumberFormat="1" applyFont="1" applyBorder="1" applyAlignment="1" applyProtection="1">
      <alignment horizontal="right"/>
      <protection locked="0"/>
    </xf>
    <xf numFmtId="0" fontId="29" fillId="0" borderId="0" xfId="0" applyFont="1"/>
    <xf numFmtId="0" fontId="29" fillId="6" borderId="0" xfId="0" applyFont="1" applyFill="1" applyAlignment="1">
      <alignment horizontal="center"/>
    </xf>
    <xf numFmtId="0" fontId="30" fillId="6" borderId="5" xfId="0" applyFont="1" applyFill="1" applyBorder="1" applyAlignment="1">
      <alignment horizontal="left"/>
    </xf>
    <xf numFmtId="165" fontId="30" fillId="0" borderId="5" xfId="0" applyNumberFormat="1" applyFont="1" applyBorder="1" applyAlignment="1">
      <alignment horizontal="right"/>
    </xf>
    <xf numFmtId="0" fontId="31" fillId="6" borderId="0" xfId="0" applyFont="1" applyFill="1" applyAlignment="1">
      <alignment horizontal="center"/>
    </xf>
    <xf numFmtId="0" fontId="28" fillId="0" borderId="7" xfId="0" applyFont="1" applyBorder="1" applyAlignment="1">
      <alignment horizontal="left"/>
    </xf>
    <xf numFmtId="165" fontId="28" fillId="0" borderId="7" xfId="0" applyNumberFormat="1" applyFont="1" applyBorder="1" applyAlignment="1">
      <alignment horizontal="right"/>
    </xf>
    <xf numFmtId="0" fontId="31" fillId="0" borderId="0" xfId="0" applyFont="1"/>
    <xf numFmtId="43" fontId="32" fillId="0" borderId="0" xfId="6" applyFont="1" applyFill="1" applyBorder="1" applyAlignment="1">
      <alignment horizontal="center"/>
    </xf>
    <xf numFmtId="43" fontId="32" fillId="0" borderId="0" xfId="2" applyFont="1" applyFill="1" applyBorder="1" applyAlignment="1">
      <alignment horizontal="center"/>
    </xf>
    <xf numFmtId="0" fontId="35" fillId="0" borderId="0" xfId="0" applyFont="1"/>
    <xf numFmtId="0" fontId="28" fillId="0" borderId="0" xfId="0" applyFont="1" applyAlignment="1">
      <alignment horizontal="center" wrapText="1"/>
    </xf>
    <xf numFmtId="171" fontId="28" fillId="0" borderId="0" xfId="0" applyNumberFormat="1" applyFont="1" applyAlignment="1">
      <alignment horizontal="right" wrapText="1"/>
    </xf>
    <xf numFmtId="0" fontId="28" fillId="0" borderId="0" xfId="0" applyFont="1" applyAlignment="1">
      <alignment horizontal="left" wrapText="1"/>
    </xf>
    <xf numFmtId="0" fontId="28" fillId="12" borderId="5" xfId="0" applyFont="1" applyFill="1" applyBorder="1" applyAlignment="1">
      <alignment horizontal="center" wrapText="1"/>
    </xf>
    <xf numFmtId="0" fontId="7" fillId="0" borderId="0" xfId="0" applyFont="1" applyAlignment="1">
      <alignment vertical="center"/>
    </xf>
    <xf numFmtId="0" fontId="30" fillId="0" borderId="0" xfId="0" applyFont="1" applyAlignment="1">
      <alignment horizontal="left" vertical="center"/>
    </xf>
    <xf numFmtId="0" fontId="10" fillId="6" borderId="5" xfId="0" applyFont="1" applyFill="1" applyBorder="1" applyAlignment="1">
      <alignment horizontal="left"/>
    </xf>
    <xf numFmtId="165" fontId="10" fillId="0" borderId="5" xfId="0" applyNumberFormat="1" applyFont="1" applyBorder="1" applyAlignment="1">
      <alignment horizontal="right"/>
    </xf>
    <xf numFmtId="0" fontId="29" fillId="0" borderId="0" xfId="0" applyFont="1" applyAlignment="1">
      <alignment vertical="center"/>
    </xf>
    <xf numFmtId="0" fontId="32" fillId="0" borderId="0" xfId="0" applyFont="1"/>
    <xf numFmtId="0" fontId="30" fillId="0" borderId="0" xfId="0" applyFont="1" applyAlignment="1">
      <alignment horizontal="left"/>
    </xf>
    <xf numFmtId="0" fontId="29" fillId="6" borderId="0" xfId="0" applyFont="1" applyFill="1"/>
    <xf numFmtId="0" fontId="37" fillId="0" borderId="0" xfId="0" applyFont="1"/>
    <xf numFmtId="0" fontId="7" fillId="0" borderId="0" xfId="0" applyFont="1" applyAlignment="1">
      <alignment horizontal="right"/>
    </xf>
    <xf numFmtId="0" fontId="32" fillId="0" borderId="0" xfId="0" applyFont="1" applyAlignment="1">
      <alignment horizontal="right"/>
    </xf>
    <xf numFmtId="171" fontId="11" fillId="3" borderId="5" xfId="0" applyNumberFormat="1" applyFont="1" applyFill="1" applyBorder="1" applyAlignment="1">
      <alignment horizontal="right"/>
    </xf>
    <xf numFmtId="0" fontId="30" fillId="0" borderId="0" xfId="0" applyFont="1" applyAlignment="1">
      <alignment horizontal="right"/>
    </xf>
    <xf numFmtId="0" fontId="8" fillId="0" borderId="0" xfId="0" applyFont="1" applyAlignment="1">
      <alignment horizontal="right"/>
    </xf>
    <xf numFmtId="0" fontId="29" fillId="0" borderId="0" xfId="0" applyFont="1" applyAlignment="1">
      <alignment horizontal="right"/>
    </xf>
    <xf numFmtId="165" fontId="29" fillId="0" borderId="0" xfId="0" applyNumberFormat="1" applyFont="1" applyAlignment="1">
      <alignment horizontal="right"/>
    </xf>
    <xf numFmtId="165" fontId="33" fillId="0" borderId="0" xfId="0" applyNumberFormat="1" applyFont="1" applyAlignment="1">
      <alignment horizontal="right"/>
    </xf>
    <xf numFmtId="165" fontId="28" fillId="12" borderId="5" xfId="0" applyNumberFormat="1" applyFont="1" applyFill="1" applyBorder="1" applyAlignment="1">
      <alignment horizontal="right" wrapText="1"/>
    </xf>
    <xf numFmtId="0" fontId="29" fillId="0" borderId="0" xfId="0" applyFont="1" applyAlignment="1">
      <alignment horizontal="left"/>
    </xf>
    <xf numFmtId="170" fontId="10" fillId="0" borderId="5" xfId="0" applyNumberFormat="1" applyFont="1" applyBorder="1" applyAlignment="1">
      <alignment horizontal="right"/>
    </xf>
    <xf numFmtId="9" fontId="29" fillId="0" borderId="0" xfId="43" applyFont="1" applyAlignment="1">
      <alignment horizontal="right"/>
    </xf>
    <xf numFmtId="9" fontId="29" fillId="0" borderId="6" xfId="3" applyFont="1" applyBorder="1" applyAlignment="1">
      <alignment horizontal="right"/>
    </xf>
    <xf numFmtId="165" fontId="31" fillId="0" borderId="7" xfId="0" applyNumberFormat="1" applyFont="1" applyBorder="1" applyAlignment="1">
      <alignment horizontal="right"/>
    </xf>
    <xf numFmtId="0" fontId="39" fillId="0" borderId="7" xfId="0" applyFont="1" applyBorder="1" applyAlignment="1">
      <alignment horizontal="left"/>
    </xf>
    <xf numFmtId="172" fontId="39" fillId="0" borderId="7" xfId="0" applyNumberFormat="1" applyFont="1" applyBorder="1" applyAlignment="1">
      <alignment horizontal="right"/>
    </xf>
    <xf numFmtId="0" fontId="10" fillId="0" borderId="10" xfId="0" applyFont="1" applyBorder="1" applyAlignment="1">
      <alignment horizontal="left"/>
    </xf>
    <xf numFmtId="170" fontId="10" fillId="0" borderId="10" xfId="0" applyNumberFormat="1" applyFont="1" applyBorder="1" applyAlignment="1">
      <alignment horizontal="right"/>
    </xf>
    <xf numFmtId="0" fontId="35" fillId="0" borderId="0" xfId="0" applyFont="1" applyAlignment="1">
      <alignment horizontal="left"/>
    </xf>
    <xf numFmtId="171" fontId="28" fillId="0" borderId="5" xfId="0" applyNumberFormat="1" applyFont="1" applyBorder="1" applyAlignment="1">
      <alignment horizontal="right" wrapText="1"/>
    </xf>
    <xf numFmtId="0" fontId="28" fillId="0" borderId="5" xfId="0" applyFont="1" applyBorder="1" applyAlignment="1">
      <alignment horizontal="center" wrapText="1"/>
    </xf>
    <xf numFmtId="0" fontId="29" fillId="0" borderId="10" xfId="0" applyFont="1" applyBorder="1" applyAlignment="1">
      <alignment horizontal="left"/>
    </xf>
    <xf numFmtId="165" fontId="29" fillId="0" borderId="10" xfId="0" applyNumberFormat="1" applyFont="1" applyBorder="1" applyAlignment="1">
      <alignment horizontal="right"/>
    </xf>
    <xf numFmtId="0" fontId="8" fillId="0" borderId="0" xfId="0" applyFont="1" applyAlignment="1">
      <alignment horizontal="right" vertical="center"/>
    </xf>
    <xf numFmtId="0" fontId="7" fillId="0" borderId="0" xfId="0" applyFont="1" applyAlignment="1">
      <alignment horizontal="right" vertical="center"/>
    </xf>
    <xf numFmtId="165" fontId="10" fillId="0" borderId="5" xfId="2" applyNumberFormat="1" applyFont="1" applyBorder="1" applyAlignment="1" applyProtection="1">
      <protection locked="0"/>
    </xf>
    <xf numFmtId="171" fontId="11" fillId="3" borderId="5" xfId="0" applyNumberFormat="1" applyFont="1" applyFill="1" applyBorder="1" applyAlignment="1">
      <alignment wrapText="1"/>
    </xf>
    <xf numFmtId="0" fontId="36" fillId="0" borderId="0" xfId="4" applyFont="1" applyAlignment="1">
      <alignment horizontal="left"/>
    </xf>
    <xf numFmtId="165" fontId="10" fillId="0" borderId="0" xfId="2" applyNumberFormat="1" applyFont="1" applyFill="1" applyBorder="1" applyAlignment="1" applyProtection="1">
      <alignment horizontal="right"/>
      <protection locked="0"/>
    </xf>
    <xf numFmtId="0" fontId="29" fillId="0" borderId="0" xfId="4" applyFont="1" applyAlignment="1">
      <alignment horizontal="left"/>
    </xf>
    <xf numFmtId="0" fontId="32" fillId="0" borderId="0" xfId="0" applyFont="1" applyAlignment="1">
      <alignment horizontal="left"/>
    </xf>
    <xf numFmtId="0" fontId="28" fillId="0" borderId="10" xfId="0" applyFont="1" applyBorder="1" applyAlignment="1">
      <alignment horizontal="left" wrapText="1"/>
    </xf>
    <xf numFmtId="0" fontId="41" fillId="6" borderId="0" xfId="0" applyFont="1" applyFill="1" applyAlignment="1">
      <alignment horizontal="center"/>
    </xf>
    <xf numFmtId="0" fontId="40" fillId="0" borderId="7" xfId="0" applyFont="1" applyBorder="1" applyAlignment="1">
      <alignment horizontal="left"/>
    </xf>
    <xf numFmtId="165" fontId="40" fillId="0" borderId="7" xfId="0" applyNumberFormat="1" applyFont="1" applyBorder="1" applyAlignment="1">
      <alignment horizontal="right"/>
    </xf>
    <xf numFmtId="165" fontId="41" fillId="0" borderId="0" xfId="0" applyNumberFormat="1" applyFont="1" applyAlignment="1">
      <alignment horizontal="right"/>
    </xf>
    <xf numFmtId="0" fontId="41" fillId="0" borderId="0" xfId="0" applyFont="1"/>
    <xf numFmtId="0" fontId="40" fillId="0" borderId="0" xfId="0" applyFont="1" applyAlignment="1">
      <alignment horizontal="center"/>
    </xf>
    <xf numFmtId="0" fontId="40" fillId="0" borderId="5" xfId="0" applyFont="1" applyBorder="1" applyAlignment="1">
      <alignment horizontal="left"/>
    </xf>
    <xf numFmtId="165" fontId="40" fillId="0" borderId="5" xfId="2" applyNumberFormat="1" applyFont="1" applyBorder="1" applyAlignment="1" applyProtection="1">
      <alignment horizontal="right"/>
      <protection locked="0"/>
    </xf>
    <xf numFmtId="165" fontId="40" fillId="0" borderId="0" xfId="2" applyNumberFormat="1" applyFont="1" applyFill="1" applyBorder="1" applyAlignment="1" applyProtection="1">
      <alignment horizontal="right"/>
      <protection locked="0"/>
    </xf>
    <xf numFmtId="0" fontId="40" fillId="0" borderId="0" xfId="0" applyFont="1"/>
    <xf numFmtId="165" fontId="41" fillId="0" borderId="5" xfId="0" applyNumberFormat="1" applyFont="1" applyBorder="1" applyAlignment="1">
      <alignment horizontal="right"/>
    </xf>
    <xf numFmtId="0" fontId="40" fillId="0" borderId="0" xfId="0" applyFont="1" applyAlignment="1">
      <alignment horizontal="left"/>
    </xf>
    <xf numFmtId="165" fontId="40" fillId="0" borderId="0" xfId="0" applyNumberFormat="1" applyFont="1" applyAlignment="1">
      <alignment horizontal="right"/>
    </xf>
    <xf numFmtId="165" fontId="10" fillId="0" borderId="10" xfId="2" applyNumberFormat="1" applyFont="1" applyBorder="1" applyAlignment="1" applyProtection="1">
      <alignment horizontal="right"/>
      <protection locked="0"/>
    </xf>
    <xf numFmtId="0" fontId="29" fillId="0" borderId="8" xfId="4" applyFont="1" applyBorder="1" applyAlignment="1">
      <alignment horizontal="left"/>
    </xf>
    <xf numFmtId="0" fontId="40" fillId="6" borderId="0" xfId="0" applyFont="1" applyFill="1" applyAlignment="1">
      <alignment horizontal="center"/>
    </xf>
    <xf numFmtId="165" fontId="10" fillId="0" borderId="11" xfId="2" applyNumberFormat="1" applyFont="1" applyBorder="1" applyAlignment="1" applyProtection="1">
      <alignment horizontal="right"/>
      <protection locked="0"/>
    </xf>
    <xf numFmtId="37" fontId="29" fillId="0" borderId="11" xfId="5" applyFont="1" applyBorder="1" applyAlignment="1">
      <alignment horizontal="left"/>
    </xf>
    <xf numFmtId="165" fontId="10" fillId="0" borderId="8" xfId="2" applyNumberFormat="1" applyFont="1" applyBorder="1" applyAlignment="1" applyProtection="1">
      <alignment horizontal="right"/>
      <protection locked="0"/>
    </xf>
    <xf numFmtId="0" fontId="40" fillId="0" borderId="9" xfId="0" applyFont="1" applyBorder="1" applyAlignment="1">
      <alignment horizontal="left"/>
    </xf>
    <xf numFmtId="165" fontId="40" fillId="0" borderId="9" xfId="0" applyNumberFormat="1" applyFont="1" applyBorder="1" applyAlignment="1">
      <alignment horizontal="right"/>
    </xf>
    <xf numFmtId="165" fontId="7" fillId="0" borderId="0" xfId="0" applyNumberFormat="1" applyFont="1" applyAlignment="1">
      <alignment horizontal="right"/>
    </xf>
    <xf numFmtId="171" fontId="28" fillId="12" borderId="0" xfId="0" applyNumberFormat="1" applyFont="1" applyFill="1" applyAlignment="1">
      <alignment horizontal="right" wrapText="1"/>
    </xf>
    <xf numFmtId="0" fontId="10" fillId="0" borderId="0" xfId="0" applyFont="1" applyAlignment="1">
      <alignment horizontal="right" vertical="center"/>
    </xf>
    <xf numFmtId="165" fontId="10" fillId="0" borderId="5" xfId="2" applyNumberFormat="1" applyFont="1" applyBorder="1" applyAlignment="1" applyProtection="1">
      <alignment horizontal="right" vertical="center" wrapText="1"/>
      <protection locked="0"/>
    </xf>
    <xf numFmtId="165" fontId="42" fillId="0" borderId="0" xfId="0" applyNumberFormat="1" applyFont="1" applyAlignment="1">
      <alignment horizontal="right"/>
    </xf>
    <xf numFmtId="0" fontId="36" fillId="0" borderId="0" xfId="0" applyFont="1" applyAlignment="1">
      <alignment horizontal="right"/>
    </xf>
    <xf numFmtId="165" fontId="32" fillId="0" borderId="0" xfId="0" applyNumberFormat="1" applyFont="1" applyAlignment="1">
      <alignment horizontal="right"/>
    </xf>
    <xf numFmtId="0" fontId="40" fillId="0" borderId="5" xfId="0" applyFont="1" applyBorder="1" applyAlignment="1">
      <alignment horizontal="left" wrapText="1"/>
    </xf>
    <xf numFmtId="165" fontId="40" fillId="0" borderId="5" xfId="0" applyNumberFormat="1" applyFont="1" applyBorder="1" applyAlignment="1">
      <alignment horizontal="right" wrapText="1"/>
    </xf>
    <xf numFmtId="165" fontId="40" fillId="0" borderId="5" xfId="0" applyNumberFormat="1" applyFont="1" applyBorder="1" applyAlignment="1">
      <alignment wrapText="1"/>
    </xf>
    <xf numFmtId="165" fontId="10" fillId="0" borderId="5" xfId="2" applyNumberFormat="1" applyFont="1" applyFill="1" applyBorder="1" applyAlignment="1" applyProtection="1">
      <alignment horizontal="right"/>
      <protection locked="0"/>
    </xf>
    <xf numFmtId="165" fontId="10" fillId="0" borderId="5" xfId="2" applyNumberFormat="1" applyFont="1" applyFill="1" applyBorder="1" applyAlignment="1" applyProtection="1">
      <protection locked="0"/>
    </xf>
    <xf numFmtId="0" fontId="28" fillId="6" borderId="0" xfId="0" applyFont="1" applyFill="1" applyAlignment="1">
      <alignment horizontal="center"/>
    </xf>
    <xf numFmtId="165" fontId="28" fillId="0" borderId="7" xfId="0" applyNumberFormat="1" applyFont="1" applyBorder="1"/>
    <xf numFmtId="0" fontId="28" fillId="0" borderId="0" xfId="0" applyFont="1"/>
    <xf numFmtId="0" fontId="28" fillId="0" borderId="5" xfId="0" applyFont="1" applyBorder="1" applyAlignment="1">
      <alignment horizontal="right" wrapText="1"/>
    </xf>
    <xf numFmtId="0" fontId="10" fillId="0" borderId="0" xfId="0" applyFont="1" applyAlignment="1">
      <alignment horizontal="right"/>
    </xf>
    <xf numFmtId="165" fontId="10" fillId="0" borderId="5" xfId="2" applyNumberFormat="1" applyFont="1" applyBorder="1" applyAlignment="1" applyProtection="1">
      <alignment horizontal="right" wrapText="1"/>
      <protection locked="0"/>
    </xf>
    <xf numFmtId="165" fontId="29" fillId="0" borderId="0" xfId="0" applyNumberFormat="1" applyFont="1"/>
    <xf numFmtId="165" fontId="10" fillId="0" borderId="0" xfId="2" applyNumberFormat="1" applyFont="1" applyBorder="1" applyAlignment="1" applyProtection="1">
      <alignment horizontal="right" wrapText="1"/>
      <protection locked="0"/>
    </xf>
    <xf numFmtId="165" fontId="10" fillId="0" borderId="12" xfId="2" applyNumberFormat="1" applyFont="1" applyBorder="1" applyAlignment="1" applyProtection="1">
      <alignment horizontal="right" wrapText="1"/>
      <protection locked="0"/>
    </xf>
    <xf numFmtId="0" fontId="10" fillId="0" borderId="5" xfId="0" applyFont="1" applyBorder="1" applyAlignment="1">
      <alignment horizontal="left" vertical="center" wrapText="1"/>
    </xf>
    <xf numFmtId="0" fontId="27" fillId="0" borderId="0" xfId="0" applyFont="1" applyAlignment="1">
      <alignment horizontal="right" vertical="center"/>
    </xf>
    <xf numFmtId="0" fontId="39" fillId="0" borderId="9" xfId="0" applyFont="1" applyBorder="1" applyAlignment="1">
      <alignment horizontal="left" vertical="center"/>
    </xf>
    <xf numFmtId="0" fontId="39" fillId="0" borderId="9" xfId="0" applyFont="1" applyBorder="1" applyAlignment="1" applyProtection="1">
      <alignment horizontal="right" vertical="center"/>
      <protection locked="0"/>
    </xf>
    <xf numFmtId="0" fontId="43" fillId="0" borderId="5" xfId="0" applyFont="1" applyBorder="1" applyAlignment="1">
      <alignment horizontal="left" wrapText="1"/>
    </xf>
    <xf numFmtId="0" fontId="44" fillId="0" borderId="0" xfId="0" applyFont="1" applyAlignment="1">
      <alignment vertical="center"/>
    </xf>
    <xf numFmtId="0" fontId="43" fillId="0" borderId="5" xfId="0" applyFont="1" applyBorder="1" applyAlignment="1">
      <alignment horizontal="left" vertical="center"/>
    </xf>
    <xf numFmtId="165" fontId="43" fillId="0" borderId="5" xfId="0" applyNumberFormat="1" applyFont="1" applyBorder="1" applyAlignment="1" applyProtection="1">
      <alignment horizontal="right" vertical="center"/>
      <protection locked="0"/>
    </xf>
    <xf numFmtId="165" fontId="28" fillId="0" borderId="5" xfId="0" applyNumberFormat="1" applyFont="1" applyBorder="1" applyAlignment="1">
      <alignment horizontal="right" wrapText="1"/>
    </xf>
    <xf numFmtId="0" fontId="44" fillId="0" borderId="0" xfId="0" applyFont="1" applyAlignment="1">
      <alignment horizontal="center"/>
    </xf>
    <xf numFmtId="0" fontId="44" fillId="0" borderId="0" xfId="0" applyFont="1"/>
    <xf numFmtId="0" fontId="43" fillId="0" borderId="0" xfId="0" applyFont="1"/>
    <xf numFmtId="0" fontId="43" fillId="0" borderId="0" xfId="0" applyFont="1" applyAlignment="1">
      <alignment horizontal="left"/>
    </xf>
    <xf numFmtId="0" fontId="46" fillId="0" borderId="0" xfId="0" applyFont="1" applyAlignment="1">
      <alignment horizontal="left"/>
    </xf>
    <xf numFmtId="0" fontId="45" fillId="0" borderId="0" xfId="0" applyFont="1"/>
    <xf numFmtId="0" fontId="45" fillId="0" borderId="0" xfId="0" applyFont="1" applyAlignment="1">
      <alignment wrapText="1"/>
    </xf>
    <xf numFmtId="0" fontId="26" fillId="0" borderId="0" xfId="0" applyFont="1" applyAlignment="1">
      <alignment horizontal="justify" vertical="center"/>
    </xf>
    <xf numFmtId="165" fontId="10" fillId="0" borderId="5" xfId="2" applyNumberFormat="1" applyFont="1" applyFill="1" applyBorder="1" applyAlignment="1" applyProtection="1">
      <alignment horizontal="right" wrapText="1"/>
      <protection locked="0"/>
    </xf>
    <xf numFmtId="0" fontId="12" fillId="0" borderId="0" xfId="0" applyFont="1"/>
    <xf numFmtId="171" fontId="11" fillId="0" borderId="0" xfId="0" applyNumberFormat="1" applyFont="1" applyAlignment="1">
      <alignment horizontal="right" wrapText="1"/>
    </xf>
    <xf numFmtId="165" fontId="12" fillId="0" borderId="0" xfId="0" applyNumberFormat="1" applyFont="1"/>
    <xf numFmtId="0" fontId="11" fillId="0" borderId="0" xfId="0" applyFont="1"/>
    <xf numFmtId="0" fontId="38" fillId="0" borderId="0" xfId="0" applyFont="1" applyAlignment="1">
      <alignment horizontal="left"/>
    </xf>
    <xf numFmtId="0" fontId="11" fillId="0" borderId="0" xfId="0" applyFont="1" applyAlignment="1">
      <alignment horizontal="right" wrapText="1"/>
    </xf>
    <xf numFmtId="0" fontId="11" fillId="0" borderId="0" xfId="0" applyFont="1" applyAlignment="1">
      <alignment horizontal="right"/>
    </xf>
    <xf numFmtId="0" fontId="11" fillId="0" borderId="0" xfId="0" applyFont="1" applyAlignment="1">
      <alignment wrapText="1"/>
    </xf>
    <xf numFmtId="0" fontId="34" fillId="0" borderId="0" xfId="0" applyFont="1" applyAlignment="1">
      <alignment wrapText="1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right" vertical="center" indent="2"/>
    </xf>
    <xf numFmtId="0" fontId="38" fillId="0" borderId="0" xfId="0" applyFont="1" applyAlignment="1">
      <alignment horizontal="left" vertical="center"/>
    </xf>
    <xf numFmtId="165" fontId="10" fillId="0" borderId="0" xfId="2" applyNumberFormat="1" applyFont="1" applyBorder="1" applyAlignment="1" applyProtection="1">
      <alignment horizontal="right"/>
      <protection locked="0"/>
    </xf>
    <xf numFmtId="173" fontId="7" fillId="11" borderId="0" xfId="90" applyNumberFormat="1" applyFont="1" applyFill="1" applyAlignment="1">
      <alignment horizontal="right"/>
    </xf>
    <xf numFmtId="166" fontId="23" fillId="9" borderId="0" xfId="2" applyNumberFormat="1" applyFont="1" applyFill="1" applyAlignment="1">
      <alignment vertical="center"/>
    </xf>
    <xf numFmtId="174" fontId="7" fillId="11" borderId="0" xfId="0" applyNumberFormat="1" applyFont="1" applyFill="1"/>
    <xf numFmtId="168" fontId="7" fillId="11" borderId="1" xfId="0" applyNumberFormat="1" applyFont="1" applyFill="1" applyBorder="1"/>
    <xf numFmtId="0" fontId="47" fillId="0" borderId="0" xfId="0" applyFont="1"/>
    <xf numFmtId="165" fontId="36" fillId="0" borderId="2" xfId="0" applyNumberFormat="1" applyFont="1" applyBorder="1" applyAlignment="1">
      <alignment horizontal="right"/>
    </xf>
    <xf numFmtId="0" fontId="10" fillId="0" borderId="0" xfId="0" applyFont="1" applyAlignment="1">
      <alignment horizontal="left"/>
    </xf>
    <xf numFmtId="165" fontId="10" fillId="0" borderId="0" xfId="2" applyNumberFormat="1" applyFont="1" applyFill="1" applyBorder="1" applyAlignment="1" applyProtection="1">
      <alignment horizontal="right" wrapText="1"/>
      <protection locked="0"/>
    </xf>
    <xf numFmtId="0" fontId="10" fillId="0" borderId="12" xfId="0" applyFont="1" applyBorder="1" applyAlignment="1">
      <alignment horizontal="left"/>
    </xf>
    <xf numFmtId="165" fontId="10" fillId="0" borderId="12" xfId="2" applyNumberFormat="1" applyFont="1" applyFill="1" applyBorder="1" applyAlignment="1" applyProtection="1">
      <alignment horizontal="right" wrapText="1"/>
      <protection locked="0"/>
    </xf>
    <xf numFmtId="0" fontId="10" fillId="0" borderId="10" xfId="0" applyFont="1" applyBorder="1" applyAlignment="1">
      <alignment horizontal="left" indent="1"/>
    </xf>
    <xf numFmtId="0" fontId="10" fillId="0" borderId="5" xfId="0" applyFont="1" applyBorder="1" applyAlignment="1">
      <alignment horizontal="left" indent="1"/>
    </xf>
    <xf numFmtId="14" fontId="7" fillId="0" borderId="0" xfId="0" applyNumberFormat="1" applyFont="1" applyAlignment="1">
      <alignment horizontal="left"/>
    </xf>
    <xf numFmtId="14" fontId="7" fillId="0" borderId="0" xfId="0" applyNumberFormat="1" applyFont="1"/>
    <xf numFmtId="0" fontId="35" fillId="0" borderId="0" xfId="0" applyFont="1" applyAlignment="1">
      <alignment wrapText="1"/>
    </xf>
    <xf numFmtId="0" fontId="48" fillId="0" borderId="5" xfId="0" applyFont="1" applyBorder="1" applyAlignment="1">
      <alignment horizontal="left"/>
    </xf>
    <xf numFmtId="0" fontId="49" fillId="0" borderId="0" xfId="0" applyFont="1" applyAlignment="1">
      <alignment horizontal="left"/>
    </xf>
    <xf numFmtId="0" fontId="42" fillId="0" borderId="5" xfId="0" applyFont="1" applyBorder="1" applyAlignment="1">
      <alignment horizontal="right" wrapText="1"/>
    </xf>
    <xf numFmtId="0" fontId="42" fillId="0" borderId="5" xfId="0" applyFont="1" applyBorder="1" applyAlignment="1">
      <alignment horizontal="left"/>
    </xf>
    <xf numFmtId="165" fontId="42" fillId="0" borderId="5" xfId="0" applyNumberFormat="1" applyFont="1" applyBorder="1" applyAlignment="1">
      <alignment horizontal="right" wrapText="1"/>
    </xf>
    <xf numFmtId="165" fontId="25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65" fontId="12" fillId="0" borderId="0" xfId="0" applyNumberFormat="1" applyFont="1" applyAlignment="1">
      <alignment horizontal="right"/>
    </xf>
    <xf numFmtId="0" fontId="50" fillId="0" borderId="0" xfId="0" applyFont="1"/>
    <xf numFmtId="0" fontId="12" fillId="0" borderId="0" xfId="0" applyFont="1" applyAlignment="1">
      <alignment horizontal="left"/>
    </xf>
    <xf numFmtId="165" fontId="50" fillId="0" borderId="0" xfId="0" applyNumberFormat="1" applyFont="1"/>
    <xf numFmtId="0" fontId="32" fillId="0" borderId="0" xfId="0" applyFont="1" applyAlignment="1">
      <alignment horizontal="center"/>
    </xf>
    <xf numFmtId="0" fontId="42" fillId="0" borderId="0" xfId="0" applyFont="1" applyAlignment="1">
      <alignment horizontal="right"/>
    </xf>
    <xf numFmtId="165" fontId="50" fillId="0" borderId="0" xfId="0" applyNumberFormat="1" applyFont="1" applyAlignment="1">
      <alignment horizontal="right"/>
    </xf>
    <xf numFmtId="167" fontId="50" fillId="0" borderId="0" xfId="2" applyNumberFormat="1" applyFont="1" applyAlignment="1">
      <alignment horizontal="right"/>
    </xf>
    <xf numFmtId="0" fontId="50" fillId="0" borderId="0" xfId="0" applyFont="1" applyAlignment="1">
      <alignment horizontal="left"/>
    </xf>
    <xf numFmtId="0" fontId="12" fillId="13" borderId="0" xfId="0" applyFont="1" applyFill="1"/>
    <xf numFmtId="43" fontId="32" fillId="0" borderId="0" xfId="2" applyFont="1" applyAlignment="1">
      <alignment horizontal="right"/>
    </xf>
    <xf numFmtId="43" fontId="32" fillId="0" borderId="0" xfId="0" applyNumberFormat="1" applyFont="1" applyAlignment="1">
      <alignment horizontal="right"/>
    </xf>
    <xf numFmtId="175" fontId="33" fillId="0" borderId="0" xfId="0" applyNumberFormat="1" applyFont="1" applyAlignment="1">
      <alignment horizontal="right"/>
    </xf>
    <xf numFmtId="167" fontId="32" fillId="0" borderId="0" xfId="6" applyNumberFormat="1" applyFont="1" applyFill="1" applyBorder="1" applyAlignment="1">
      <alignment horizontal="center"/>
    </xf>
    <xf numFmtId="167" fontId="29" fillId="0" borderId="0" xfId="0" applyNumberFormat="1" applyFont="1" applyAlignment="1">
      <alignment horizontal="center"/>
    </xf>
    <xf numFmtId="0" fontId="34" fillId="0" borderId="0" xfId="0" applyFont="1" applyAlignment="1">
      <alignment horizontal="left" wrapText="1"/>
    </xf>
    <xf numFmtId="0" fontId="11" fillId="0" borderId="0" xfId="0" applyFont="1" applyAlignment="1">
      <alignment horizontal="right" wrapText="1"/>
    </xf>
    <xf numFmtId="0" fontId="11" fillId="0" borderId="0" xfId="0" applyFont="1" applyAlignment="1">
      <alignment horizontal="left" wrapText="1"/>
    </xf>
    <xf numFmtId="0" fontId="34" fillId="0" borderId="0" xfId="0" applyFont="1" applyAlignment="1">
      <alignment horizontal="left"/>
    </xf>
  </cellXfs>
  <cellStyles count="92">
    <cellStyle name="Comma" xfId="6" xr:uid="{CE578BA3-BAE1-42AF-8665-973898925F2A}"/>
    <cellStyle name="Comma 2" xfId="7" xr:uid="{E8EA3753-84CB-4DA4-A077-F7C4302D04D3}"/>
    <cellStyle name="Comma 2 2" xfId="8" xr:uid="{708A8A6C-A6E3-4EC4-833C-9BB13BCE667E}"/>
    <cellStyle name="Comma 2 2 2" xfId="9" xr:uid="{55271139-8594-468F-AE24-C2F2EA998CB2}"/>
    <cellStyle name="Comma 2 3" xfId="10" xr:uid="{73FEFAEA-B6FF-4084-9FC8-A3B654D11604}"/>
    <cellStyle name="Comma 2 4" xfId="11" xr:uid="{FDA99ABF-9F56-4626-9DBC-33465676398C}"/>
    <cellStyle name="Comma 3" xfId="12" xr:uid="{0E2A0FEE-A581-4A88-8FD2-F52AE89C04F7}"/>
    <cellStyle name="Comma 3 2" xfId="13" xr:uid="{623EC323-8D3B-42D6-B8BF-06B98C39D63B}"/>
    <cellStyle name="Comma 4" xfId="14" xr:uid="{21CAA938-8A85-4918-8FB7-FE7F48E6E767}"/>
    <cellStyle name="Comma 4 2" xfId="15" xr:uid="{96D07DAC-B426-4F5D-85D3-DCC49E5942FF}"/>
    <cellStyle name="Comma 5" xfId="16" xr:uid="{4DC859F3-F943-43AD-8031-0310285D1323}"/>
    <cellStyle name="Comma 6" xfId="17" xr:uid="{9AE994E9-4378-47B3-887A-1C5D5F19EA13}"/>
    <cellStyle name="Comma 7" xfId="18" xr:uid="{CDDD3A81-64ED-4791-88BB-5136B51ED9A0}"/>
    <cellStyle name="Moeda" xfId="90" builtinId="4"/>
    <cellStyle name="Normal" xfId="0" builtinId="0"/>
    <cellStyle name="Normal - Estilo8" xfId="19" xr:uid="{A2F1260E-AE7D-4863-BEBA-108661EEAE12}"/>
    <cellStyle name="Normal 10" xfId="20" xr:uid="{0F854FAB-86A9-4882-B866-E80690C7A429}"/>
    <cellStyle name="Normal 2" xfId="21" xr:uid="{2FC3859C-4530-4B2F-BA15-1360480B7648}"/>
    <cellStyle name="Normal 2 13" xfId="91" xr:uid="{C53630F0-B155-41CF-AA12-0EC34EE2A86A}"/>
    <cellStyle name="Normal 2 2" xfId="22" xr:uid="{6CCF4328-AF7A-448F-931A-8A95253B70D1}"/>
    <cellStyle name="Normal 2 2 2" xfId="23" xr:uid="{24035041-A61D-40B5-9CA2-40EF62733D8B}"/>
    <cellStyle name="Normal 2 2 2 2" xfId="24" xr:uid="{705EE797-A170-4D28-A8CD-9D515FE12F4A}"/>
    <cellStyle name="Normal 2 2 3" xfId="25" xr:uid="{4AC5024D-9FE8-42AA-9351-CA5E9F206B5D}"/>
    <cellStyle name="Normal 2 2 4" xfId="26" xr:uid="{521C3523-6DDB-4F43-9231-61B10E539C94}"/>
    <cellStyle name="Normal 2 3" xfId="27" xr:uid="{FEEE34C7-2B3F-4FC9-AC94-9B174DF3C496}"/>
    <cellStyle name="Normal 2 4" xfId="4" xr:uid="{1B995FF2-CF6D-4042-AE40-D5741FE374A1}"/>
    <cellStyle name="Normal 2 4 2" xfId="28" xr:uid="{4CE4A421-355E-487D-B6C4-9A55A97D036E}"/>
    <cellStyle name="Normal 2 5" xfId="29" xr:uid="{20AD4D13-D875-4895-B583-795726D04932}"/>
    <cellStyle name="Normal 2 5 2" xfId="30" xr:uid="{EDBD0F2C-1B3D-40C8-BCFE-774CAAD75BF7}"/>
    <cellStyle name="Normal 2 6" xfId="31" xr:uid="{AD4C89ED-9C59-419F-8091-079B16B2B938}"/>
    <cellStyle name="Normal 3" xfId="32" xr:uid="{2C57F437-9C13-4769-9229-A0AA3C9971CC}"/>
    <cellStyle name="Normal 3 2" xfId="33" xr:uid="{F6235FE1-42AF-4018-8E69-66AF7D372F5E}"/>
    <cellStyle name="Normal 3 3" xfId="34" xr:uid="{AD5061FA-16DB-4AD2-A834-1FFA96615328}"/>
    <cellStyle name="Normal 4" xfId="35" xr:uid="{08E3F15C-CD7B-43EF-A378-F89060F2D8AF}"/>
    <cellStyle name="Normal 4 2" xfId="36" xr:uid="{95F45289-FA2F-46EE-9502-E4D292F0C791}"/>
    <cellStyle name="Normal 5" xfId="37" xr:uid="{59B6DE5A-86D2-4155-8744-082498EEDC0D}"/>
    <cellStyle name="Normal 6" xfId="38" xr:uid="{9FD4B149-9964-497E-8728-F448FC2D9658}"/>
    <cellStyle name="Normal 7" xfId="39" xr:uid="{733E73ED-A753-4B36-8D3C-86CE4B4ED25F}"/>
    <cellStyle name="Normal 8" xfId="40" xr:uid="{55D8A275-B259-4EF1-9106-127EAE18CAE9}"/>
    <cellStyle name="Normal 9" xfId="41" xr:uid="{3CF5D034-9EE7-4728-830C-FBEC5451BFEE}"/>
    <cellStyle name="Normal_Morlan311208" xfId="5" xr:uid="{1B9D2E0A-82AC-4590-98A2-C395682C8AB3}"/>
    <cellStyle name="Nota 2" xfId="42" xr:uid="{7FB313BB-49A0-4807-B397-D9F29AE4ACCA}"/>
    <cellStyle name="Percent" xfId="43" xr:uid="{0FC639F5-2927-422F-8D00-9D18C1C103C4}"/>
    <cellStyle name="Percent 2" xfId="44" xr:uid="{6C88AE56-4396-4F11-954E-5A21143C5ED1}"/>
    <cellStyle name="Percent 4" xfId="45" xr:uid="{D7BCC595-6C7C-412B-97EA-3E219050C406}"/>
    <cellStyle name="Porcentagem" xfId="3" builtinId="5"/>
    <cellStyle name="Porcentagem 2" xfId="46" xr:uid="{8F5217F7-2012-4130-B41D-1D3CF83BA3A8}"/>
    <cellStyle name="Porcentagem 3" xfId="47" xr:uid="{4DD4BAF6-69B5-42D0-9DFF-AF472EC160C7}"/>
    <cellStyle name="Vírgula" xfId="2" builtinId="3"/>
    <cellStyle name="Vírgula 10" xfId="48" xr:uid="{32DEECA0-B87F-440F-838C-3B7D407DAA86}"/>
    <cellStyle name="Vírgula 11" xfId="49" xr:uid="{A445C465-9CC3-454B-8809-185BA0506F67}"/>
    <cellStyle name="Vírgula 12" xfId="50" xr:uid="{624893F0-67FC-431C-A1FA-5F1B49C772ED}"/>
    <cellStyle name="Vírgula 13" xfId="51" xr:uid="{1783094F-2639-426C-8E0D-1F36FBED102D}"/>
    <cellStyle name="Vírgula 2" xfId="52" xr:uid="{03B8B479-08A3-4AAB-822D-8BD6E88D1EF3}"/>
    <cellStyle name="Vírgula 2 2" xfId="53" xr:uid="{D1B5A912-78AB-4976-A3CF-EFD2F1E6C3C4}"/>
    <cellStyle name="Vírgula 2 2 2" xfId="54" xr:uid="{0A23F50B-952A-4911-977E-AC3D52A2D7D8}"/>
    <cellStyle name="Vírgula 2 2 3" xfId="55" xr:uid="{0FD58120-3A4D-4015-B3AB-0B1E936C5EE6}"/>
    <cellStyle name="Vírgula 2 2 4" xfId="56" xr:uid="{2A9B101E-86E3-42AE-B33F-E17E124D6449}"/>
    <cellStyle name="Vírgula 2 3" xfId="57" xr:uid="{2725D7DE-FA82-477D-BE8E-329E8F47336A}"/>
    <cellStyle name="Vírgula 2 3 2" xfId="58" xr:uid="{E6CF99D5-F726-4DC2-804A-45A8F593F78C}"/>
    <cellStyle name="Vírgula 2 3 3" xfId="59" xr:uid="{1EB443D2-A059-4F27-8D6A-319E3BAFECE1}"/>
    <cellStyle name="Vírgula 2 4" xfId="60" xr:uid="{DDCE1C78-0F51-48FF-926A-2F834CC0E1C7}"/>
    <cellStyle name="Vírgula 2 4 2" xfId="61" xr:uid="{822C4E1F-ADFB-489C-8521-A2FE3BED953B}"/>
    <cellStyle name="Vírgula 2 5" xfId="62" xr:uid="{D8F5B70D-8550-4A6C-BF2D-F3D5E33C40BD}"/>
    <cellStyle name="Vírgula 2 6" xfId="63" xr:uid="{5BD99412-0119-4C39-B127-D9590AC49FA7}"/>
    <cellStyle name="Vírgula 2 7" xfId="64" xr:uid="{C7B88817-FF25-4829-B895-A34C9326F59C}"/>
    <cellStyle name="Vírgula 3" xfId="65" xr:uid="{0126EC17-29C6-48AC-B8DB-3B4D6F3BC9B7}"/>
    <cellStyle name="Vírgula 3 2" xfId="66" xr:uid="{0A6AC8DF-11FF-44A9-9938-96B2274F38B1}"/>
    <cellStyle name="Vírgula 3 2 2" xfId="67" xr:uid="{6F5ED3B8-4F77-497D-8C32-14A8E289C2AF}"/>
    <cellStyle name="Vírgula 3 2 3" xfId="68" xr:uid="{C8D32ED8-1352-477A-96A5-BAFF40961969}"/>
    <cellStyle name="Vírgula 3 2 4" xfId="69" xr:uid="{719584B5-CA78-40B1-AFF9-7A2500835113}"/>
    <cellStyle name="Vírgula 3 3" xfId="70" xr:uid="{121CED35-994D-4483-994F-1B836E979E4C}"/>
    <cellStyle name="Vírgula 3 3 2" xfId="71" xr:uid="{9B0D6067-5A19-46B9-8C42-6FA136A326D0}"/>
    <cellStyle name="Vírgula 3 3 3" xfId="72" xr:uid="{B5CC240A-FEBE-4973-BE58-945E455541FE}"/>
    <cellStyle name="Vírgula 3 3 4" xfId="73" xr:uid="{2F61F8D4-40F1-4D34-93CE-9469556DF320}"/>
    <cellStyle name="Vírgula 3 4" xfId="74" xr:uid="{4F35B946-B120-4DBD-BD70-9356E3E91235}"/>
    <cellStyle name="Vírgula 3 5" xfId="75" xr:uid="{8CAC6431-15C7-4D3E-835D-E98DDEF74C0D}"/>
    <cellStyle name="Vírgula 3 6" xfId="76" xr:uid="{9A84CE6B-33C7-4880-B36C-21B74437873B}"/>
    <cellStyle name="Vírgula 3 7" xfId="77" xr:uid="{72B29F65-EA1B-4D89-98E1-FD8F80881FE1}"/>
    <cellStyle name="Vírgula 3 8" xfId="89" xr:uid="{73B63841-8DCD-444E-9F38-DD98DBB8CCBA}"/>
    <cellStyle name="Vírgula 4" xfId="78" xr:uid="{19A91018-DFCE-4030-8687-D8A975FA69B5}"/>
    <cellStyle name="Vírgula 4 2" xfId="79" xr:uid="{C41289D5-9D25-4773-B623-A62B1F2D3B8C}"/>
    <cellStyle name="Vírgula 4 3" xfId="80" xr:uid="{3A1A7E1A-CA5D-454E-A8A9-198A36F76216}"/>
    <cellStyle name="Vírgula 4 4" xfId="81" xr:uid="{705EB38B-7DF3-4806-90A5-3DF5413209EC}"/>
    <cellStyle name="Vírgula 5" xfId="1" xr:uid="{7E14F59A-B512-4CD1-B53F-48E6812676C2}"/>
    <cellStyle name="Vírgula 5 2" xfId="83" xr:uid="{B5B96B5D-3060-4E53-AA69-9195813B6F10}"/>
    <cellStyle name="Vírgula 5 3" xfId="84" xr:uid="{579833FA-2EBB-4536-91F3-96AB3740FBE8}"/>
    <cellStyle name="Vírgula 5_1. DRE" xfId="82" xr:uid="{A4B0B249-13C2-447A-AD8A-66E0F42CBAA8}"/>
    <cellStyle name="Vírgula 6" xfId="85" xr:uid="{2CA7FD47-5041-49A6-99D6-3ED4B898636E}"/>
    <cellStyle name="Vírgula 7" xfId="86" xr:uid="{46E07CA4-51AA-4ECD-866C-FC2E22D9AFCC}"/>
    <cellStyle name="Vírgula 8" xfId="87" xr:uid="{17BF37F6-2081-430C-B33B-ADD440F4E440}"/>
    <cellStyle name="Vírgula 9" xfId="88" xr:uid="{68CC8A13-1F26-45CB-8E8B-6FC56A40995D}"/>
  </cellStyles>
  <dxfs count="572">
    <dxf>
      <numFmt numFmtId="167" formatCode="_-* #,##0_-;\-* #,##0_-;_-* &quot;-&quot;??_-;_-@_-"/>
    </dxf>
    <dxf>
      <font>
        <sz val="9"/>
      </font>
    </dxf>
    <dxf>
      <font>
        <sz val="9"/>
      </font>
    </dxf>
    <dxf>
      <font>
        <sz val="9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167" formatCode="_-* #,##0_-;\-* #,##0_-;_-* &quot;-&quot;??_-;_-@_-"/>
    </dxf>
    <dxf>
      <font>
        <sz val="9"/>
      </font>
    </dxf>
    <dxf>
      <font>
        <sz val="9"/>
      </font>
    </dxf>
    <dxf>
      <font>
        <sz val="9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167" formatCode="_-* #,##0_-;\-* #,##0_-;_-* &quot;-&quot;??_-;_-@_-"/>
    </dxf>
    <dxf>
      <font>
        <sz val="9"/>
      </font>
    </dxf>
    <dxf>
      <font>
        <sz val="9"/>
      </font>
    </dxf>
    <dxf>
      <font>
        <sz val="9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167" formatCode="_-* #,##0_-;\-* #,##0_-;_-* &quot;-&quot;??_-;_-@_-"/>
    </dxf>
    <dxf>
      <font>
        <sz val="9"/>
      </font>
    </dxf>
    <dxf>
      <font>
        <sz val="9"/>
      </font>
    </dxf>
    <dxf>
      <font>
        <sz val="9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167" formatCode="_-* #,##0_-;\-* #,##0_-;_-* &quot;-&quot;??_-;_-@_-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167" formatCode="_-* #,##0_-;\-* #,##0_-;_-* &quot;-&quot;??_-;_-@_-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167" formatCode="_-* #,##0_-;\-* #,##0_-;_-* &quot;-&quot;??_-;_-@_-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167" formatCode="_-* #,##0_-;\-* #,##0_-;_-* &quot;-&quot;??_-;_-@_-"/>
    </dxf>
    <dxf>
      <font>
        <sz val="9"/>
      </font>
    </dxf>
    <dxf>
      <font>
        <sz val="9"/>
      </font>
    </dxf>
    <dxf>
      <font>
        <sz val="9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167" formatCode="_-* #,##0_-;\-* #,##0_-;_-* &quot;-&quot;??_-;_-@_-"/>
    </dxf>
    <dxf>
      <font>
        <sz val="9"/>
      </font>
    </dxf>
    <dxf>
      <font>
        <sz val="9"/>
      </font>
    </dxf>
    <dxf>
      <font>
        <sz val="9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numFmt numFmtId="167" formatCode="_-* #,##0_-;\-* #,##0_-;_-* &quot;-&quot;??_-;_-@_-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167" formatCode="_-* #,##0_-;\-* #,##0_-;_-* &quot;-&quot;??_-;_-@_-"/>
    </dxf>
    <dxf>
      <font>
        <sz val="9"/>
      </font>
    </dxf>
    <dxf>
      <font>
        <sz val="9"/>
      </font>
    </dxf>
    <dxf>
      <font>
        <sz val="9"/>
      </font>
    </dxf>
    <dxf>
      <font>
        <sz val="10"/>
      </font>
    </dxf>
    <dxf>
      <font>
        <sz val="10"/>
      </font>
    </dxf>
    <dxf>
      <numFmt numFmtId="168" formatCode="_-* #,##0.0_-;\-* #,##0.0_-;_-* &quot;-&quot;??_-;_-@_-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167" formatCode="_-* #,##0_-;\-* #,##0_-;_-* &quot;-&quot;??_-;_-@_-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167" formatCode="_-* #,##0_-;\-* #,##0_-;_-* &quot;-&quot;??_-;_-@_-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167" formatCode="_-* #,##0_-;\-* #,##0_-;_-* &quot;-&quot;??_-;_-@_-"/>
    </dxf>
    <dxf>
      <font>
        <sz val="9"/>
      </font>
    </dxf>
    <dxf>
      <font>
        <sz val="9"/>
      </font>
    </dxf>
    <dxf>
      <font>
        <sz val="9"/>
      </font>
    </dxf>
    <dxf>
      <numFmt numFmtId="19" formatCode="dd/mm/yyyy"/>
    </dxf>
    <dxf>
      <numFmt numFmtId="19" formatCode="dd/mm/yyyy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167" formatCode="_-* #,##0_-;\-* #,##0_-;_-* &quot;-&quot;??_-;_-@_-"/>
    </dxf>
    <dxf>
      <font>
        <sz val="9"/>
      </font>
    </dxf>
    <dxf>
      <font>
        <sz val="9"/>
      </font>
    </dxf>
    <dxf>
      <font>
        <sz val="9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167" formatCode="_-* #,##0_-;\-* #,##0_-;_-* &quot;-&quot;??_-;_-@_-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5" formatCode="#,##0_ ;\(#,##0\);\-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theme="1" tint="0.249977111117893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Roboto"/>
        <scheme val="none"/>
      </font>
      <numFmt numFmtId="167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Roboto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Roboto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Roboto"/>
        <scheme val="none"/>
      </font>
      <alignment horizontal="center" vertical="bottom" textRotation="0" wrapText="0" indent="0" justifyLastLine="0" shrinkToFit="0" readingOrder="0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67" formatCode="_-* #,##0_-;\-* #,##0_-;_-* &quot;-&quot;??_-;_-@_-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numFmt numFmtId="167" formatCode="_-* #,##0_-;\-* #,##0_-;_-* &quot;-&quot;??_-;_-@_-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9" formatCode="dd/mm/yyyy"/>
    </dxf>
    <dxf>
      <numFmt numFmtId="19" formatCode="dd/mm/yyyy"/>
    </dxf>
    <dxf>
      <font>
        <sz val="9"/>
      </font>
    </dxf>
    <dxf>
      <font>
        <sz val="9"/>
      </font>
    </dxf>
    <dxf>
      <font>
        <sz val="9"/>
      </font>
    </dxf>
    <dxf>
      <numFmt numFmtId="167" formatCode="_-* #,##0_-;\-* #,##0_-;_-* &quot;-&quot;??_-;_-@_-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67" formatCode="_-* #,##0_-;\-* #,##0_-;_-* &quot;-&quot;??_-;_-@_-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67" formatCode="_-* #,##0_-;\-* #,##0_-;_-* &quot;-&quot;??_-;_-@_-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68" formatCode="_-* #,##0.0_-;\-* #,##0.0_-;_-* &quot;-&quot;??_-;_-@_-"/>
    </dxf>
    <dxf>
      <font>
        <sz val="10"/>
      </font>
    </dxf>
    <dxf>
      <font>
        <sz val="10"/>
      </font>
    </dxf>
    <dxf>
      <font>
        <sz val="9"/>
      </font>
    </dxf>
    <dxf>
      <font>
        <sz val="9"/>
      </font>
    </dxf>
    <dxf>
      <font>
        <sz val="9"/>
      </font>
    </dxf>
    <dxf>
      <numFmt numFmtId="167" formatCode="_-* #,##0_-;\-* #,##0_-;_-* &quot;-&quot;??_-;_-@_-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67" formatCode="_-* #,##0_-;\-* #,##0_-;_-* &quot;-&quot;??_-;_-@_-"/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9"/>
      </font>
    </dxf>
    <dxf>
      <font>
        <sz val="9"/>
      </font>
    </dxf>
    <dxf>
      <font>
        <sz val="9"/>
      </font>
    </dxf>
    <dxf>
      <numFmt numFmtId="167" formatCode="_-* #,##0_-;\-* #,##0_-;_-* &quot;-&quot;??_-;_-@_-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numFmt numFmtId="167" formatCode="_-* #,##0_-;\-* #,##0_-;_-* &quot;-&quot;??_-;_-@_-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67" formatCode="_-* #,##0_-;\-* #,##0_-;_-* &quot;-&quot;??_-;_-@_-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67" formatCode="_-* #,##0_-;\-* #,##0_-;_-* &quot;-&quot;??_-;_-@_-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67" formatCode="_-* #,##0_-;\-* #,##0_-;_-* &quot;-&quot;??_-;_-@_-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9"/>
      </font>
    </dxf>
    <dxf>
      <font>
        <sz val="9"/>
      </font>
    </dxf>
    <dxf>
      <font>
        <sz val="9"/>
      </font>
    </dxf>
    <dxf>
      <numFmt numFmtId="167" formatCode="_-* #,##0_-;\-* #,##0_-;_-* &quot;-&quot;??_-;_-@_-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9"/>
      </font>
    </dxf>
    <dxf>
      <font>
        <sz val="9"/>
      </font>
    </dxf>
    <dxf>
      <font>
        <sz val="9"/>
      </font>
    </dxf>
    <dxf>
      <numFmt numFmtId="167" formatCode="_-* #,##0_-;\-* #,##0_-;_-* &quot;-&quot;??_-;_-@_-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numFmt numFmtId="167" formatCode="_-* #,##0_-;\-* #,##0_-;_-* &quot;-&quot;??_-;_-@_-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numFmt numFmtId="167" formatCode="_-* #,##0_-;\-* #,##0_-;_-* &quot;-&quot;??_-;_-@_-"/>
    </dxf>
    <dxf>
      <font>
        <b/>
        <i val="0"/>
        <sz val="11"/>
        <color rgb="FF5F5F5F"/>
      </font>
      <border>
        <bottom style="thin">
          <color theme="0" tint="-0.34998626667073579"/>
        </bottom>
        <vertical/>
        <horizontal/>
      </border>
    </dxf>
    <dxf>
      <font>
        <strike val="0"/>
        <sz val="11"/>
        <color rgb="FF5F5F5F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</dxfs>
  <tableStyles count="1" defaultTableStyle="TableStyleMedium2" defaultPivotStyle="PivotStyleLight16">
    <tableStyle name="SlicerStyleOther1 2" pivot="0" table="0" count="10" xr9:uid="{37D1C48B-FB54-497F-9243-ABF7D0A3FE5C}">
      <tableStyleElement type="wholeTable" dxfId="571"/>
      <tableStyleElement type="headerRow" dxfId="570"/>
    </tableStyle>
  </tableStyles>
  <colors>
    <mruColors>
      <color rgb="FFF2F2F2"/>
      <color rgb="FFF58220"/>
      <color rgb="FF4B4F55"/>
      <color rgb="FF7F7F7F"/>
      <color rgb="FF404040"/>
      <color rgb="FFA5A7AA"/>
      <color rgb="FF808080"/>
      <color rgb="FFD9D9D9"/>
      <color rgb="FF44484E"/>
      <color rgb="FF007058"/>
    </mruColors>
  </colors>
  <extLst>
    <ext xmlns:x14="http://schemas.microsoft.com/office/spreadsheetml/2009/9/main" uri="{46F421CA-312F-682f-3DD2-61675219B42D}">
      <x14:dxfs count="8">
        <dxf>
          <font>
            <b/>
            <i val="0"/>
            <sz val="10"/>
            <color theme="0"/>
            <name val="roboto"/>
            <scheme val="none"/>
          </font>
          <fill>
            <patternFill patternType="solid">
              <fgColor auto="1"/>
              <bgColor rgb="FFF5822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11"/>
            <color theme="0"/>
            <name val="roboto"/>
          </font>
          <fill>
            <patternFill patternType="solid">
              <fgColor auto="1"/>
              <bgColor rgb="FFF79D53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 val="0"/>
            <i val="0"/>
            <sz val="10"/>
            <color theme="0"/>
            <name val="roboto"/>
            <scheme val="none"/>
          </font>
          <fill>
            <patternFill patternType="solid">
              <fgColor auto="1"/>
              <bgColor rgb="FFF5822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11"/>
            <color theme="0"/>
            <name val="roboto"/>
          </font>
          <fill>
            <patternFill patternType="solid">
              <fgColor auto="1"/>
              <bgColor rgb="FFF8A662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11"/>
            <color rgb="FF5F5F5F"/>
            <name val="r"/>
            <scheme val="none"/>
          </font>
          <fill>
            <patternFill patternType="solid">
              <fgColor theme="0" tint="-0.14999847407452621"/>
              <bgColor theme="0" tint="-0.14999847407452621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 val="0"/>
            <i val="0"/>
            <sz val="10"/>
            <color theme="0"/>
            <name val="roboto"/>
            <scheme val="none"/>
          </font>
          <fill>
            <patternFill patternType="solid">
              <fgColor theme="0" tint="-0.249977111117893"/>
              <bgColor rgb="FFF5822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5F5F5F"/>
          </font>
          <fill>
            <patternFill patternType="solid">
              <fgColor theme="0"/>
              <bgColor theme="0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5F5F5F"/>
          </font>
          <fill>
            <patternFill patternType="solid">
              <fgColor theme="0"/>
              <bgColor theme="0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SlicerStyleOther1 2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Relationship Id="rId22" Type="http://schemas.openxmlformats.org/officeDocument/2006/relationships/customXml" Target="../customXml/item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image" Target="../media/image18.png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99585682441204"/>
          <c:y val="8.0738104298373164E-2"/>
          <c:w val="0.33985937277031736"/>
          <c:h val="0.88465985100232403"/>
        </c:manualLayout>
      </c:layout>
      <c:pieChart>
        <c:varyColors val="1"/>
        <c:ser>
          <c:idx val="0"/>
          <c:order val="0"/>
          <c:tx>
            <c:strRef>
              <c:f>Pivots!$E$163</c:f>
              <c:strCache>
                <c:ptCount val="1"/>
                <c:pt idx="0">
                  <c:v>Mercado doméstico</c:v>
                </c:pt>
              </c:strCache>
            </c:strRef>
          </c:tx>
          <c:spPr>
            <a:ln w="6350">
              <a:noFill/>
            </a:ln>
          </c:spPr>
          <c:dPt>
            <c:idx val="0"/>
            <c:bubble3D val="0"/>
            <c:spPr>
              <a:solidFill>
                <a:schemeClr val="bg1">
                  <a:lumMod val="50000"/>
                </a:schemeClr>
              </a:solidFill>
              <a:ln w="63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15-4A7F-8A2A-8D2BBB8DB0A2}"/>
              </c:ext>
            </c:extLst>
          </c:dPt>
          <c:dPt>
            <c:idx val="1"/>
            <c:bubble3D val="0"/>
            <c:spPr>
              <a:solidFill>
                <a:srgbClr val="F58220"/>
              </a:solidFill>
              <a:ln w="63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315-4A7F-8A2A-8D2BBB8DB0A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63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5C9-4D11-BA78-9131FF8C52AC}"/>
              </c:ext>
            </c:extLst>
          </c:dPt>
          <c:dLbls>
            <c:dLbl>
              <c:idx val="0"/>
              <c:layout>
                <c:manualLayout>
                  <c:x val="-1.9236966481857989E-2"/>
                  <c:y val="-0.12961096299924948"/>
                </c:manualLayout>
              </c:layout>
              <c:dLblPos val="bestFit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15-4A7F-8A2A-8D2BBB8DB0A2}"/>
                </c:ext>
              </c:extLst>
            </c:dLbl>
            <c:dLbl>
              <c:idx val="1"/>
              <c:layout>
                <c:manualLayout>
                  <c:x val="-2.5392795756052543E-2"/>
                  <c:y val="0.2592223185211004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Roboto" panose="02000000000000000000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bestFit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312886813846242"/>
                      <c:h val="0.1855419926553527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9315-4A7F-8A2A-8D2BBB8DB0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anose="02000000000000000000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Pivots!$D$164:$D$170</c15:sqref>
                  </c15:fullRef>
                </c:ext>
              </c:extLst>
              <c:f>(Pivots!$D$164:$D$165,Pivots!$D$170)</c:f>
              <c:strCache>
                <c:ptCount val="3"/>
                <c:pt idx="0">
                  <c:v>Açúcar</c:v>
                </c:pt>
                <c:pt idx="1">
                  <c:v>Etanol</c:v>
                </c:pt>
                <c:pt idx="2">
                  <c:v>Outros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Pivots!$E$164:$E$170</c15:sqref>
                  </c15:fullRef>
                </c:ext>
              </c:extLst>
              <c:f>(Pivots!$E$164:$E$165,Pivots!$E$170)</c:f>
              <c:numCache>
                <c:formatCode>_-* #,##0_-;\-* #,##0_-;_-* "-"??_-;_-@_-</c:formatCode>
                <c:ptCount val="3"/>
                <c:pt idx="0">
                  <c:v>218.881</c:v>
                </c:pt>
                <c:pt idx="1">
                  <c:v>137.73400000000001</c:v>
                </c:pt>
                <c:pt idx="2">
                  <c:v>14.846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Pivots!$E$166</c15:sqref>
                  <c15:spPr xmlns:c15="http://schemas.microsoft.com/office/drawing/2012/chart">
                    <a:solidFill>
                      <a:srgbClr val="007960"/>
                    </a:solidFill>
                    <a:ln w="6350">
                      <a:noFill/>
                    </a:ln>
                    <a:effectLst/>
                  </c15:spPr>
                  <c15:bubble3D val="0"/>
                </c15:categoryFilterException>
                <c15:categoryFilterException>
                  <c15:sqref>Pivots!$E$167</c15:sqref>
                  <c15:spPr xmlns:c15="http://schemas.microsoft.com/office/drawing/2012/chart">
                    <a:solidFill>
                      <a:schemeClr val="accent4"/>
                    </a:solidFill>
                    <a:ln w="6350">
                      <a:noFill/>
                    </a:ln>
                    <a:effectLst/>
                  </c15:spPr>
                  <c15:bubble3D val="0"/>
                </c15:categoryFilterException>
                <c15:categoryFilterException>
                  <c15:sqref>Pivots!$E$168</c15:sqref>
                  <c15:spPr xmlns:c15="http://schemas.microsoft.com/office/drawing/2012/chart">
                    <a:solidFill>
                      <a:schemeClr val="accent5"/>
                    </a:solidFill>
                    <a:ln w="6350">
                      <a:noFill/>
                    </a:ln>
                    <a:effectLst/>
                  </c15:spPr>
                  <c15:bubble3D val="0"/>
                </c15:categoryFilterException>
                <c15:categoryFilterException>
                  <c15:sqref>Pivots!$E$169</c15:sqref>
                  <c15:spPr xmlns:c15="http://schemas.microsoft.com/office/drawing/2012/chart">
                    <a:solidFill>
                      <a:schemeClr val="accent6"/>
                    </a:solidFill>
                    <a:ln w="6350">
                      <a:noFill/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8-9315-4A7F-8A2A-8D2BBB8DB0A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6313370110654845"/>
          <c:y val="0.55940280041324775"/>
          <c:w val="0.46057851072121253"/>
          <c:h val="0.44059719958675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Roboto" panose="0200000000000000000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00">
          <a:latin typeface="Roboto" panose="0200000000000000000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>
              <a:noFill/>
            </a:ln>
            <a:effectLst/>
          </c:spPr>
          <c:invertIfNegative val="0"/>
          <c:pictureOptions>
            <c:pictureFormat val="stackScale"/>
          </c:pictureOptions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pictureOptions>
              <c:pictureFormat val="stack"/>
            </c:pictureOptions>
            <c:extLst>
              <c:ext xmlns:c16="http://schemas.microsoft.com/office/drawing/2014/chart" uri="{C3380CC4-5D6E-409C-BE32-E72D297353CC}">
                <c16:uniqueId val="{00000002-F48D-4250-BC7A-7CF185C8F829}"/>
              </c:ext>
            </c:extLst>
          </c:dPt>
          <c:dPt>
            <c:idx val="1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pictureOptions>
              <c:pictureFormat val="stack"/>
            </c:pictureOptions>
            <c:extLst>
              <c:ext xmlns:c16="http://schemas.microsoft.com/office/drawing/2014/chart" uri="{C3380CC4-5D6E-409C-BE32-E72D297353CC}">
                <c16:uniqueId val="{00000003-F48D-4250-BC7A-7CF185C8F82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anose="0200000000000000000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Pivots!$D$136:$D$137</c:f>
              <c:strCache>
                <c:ptCount val="2"/>
                <c:pt idx="0">
                  <c:v>Cana própria</c:v>
                </c:pt>
                <c:pt idx="1">
                  <c:v>Cana fornecedores</c:v>
                </c:pt>
              </c:strCache>
            </c:strRef>
          </c:cat>
          <c:val>
            <c:numRef>
              <c:f>Pivots!$E$136:$E$137</c:f>
              <c:numCache>
                <c:formatCode>_-* #,##0.0_-;\-* #,##0.0_-;_-* "-"??_-;_-@_-</c:formatCode>
                <c:ptCount val="2"/>
                <c:pt idx="0">
                  <c:v>1.2509999999999999</c:v>
                </c:pt>
                <c:pt idx="1">
                  <c:v>0.64700000000000002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8D-4250-BC7A-7CF185C8F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31"/>
        <c:overlap val="20"/>
        <c:axId val="1505209727"/>
        <c:axId val="1505208895"/>
      </c:barChart>
      <c:catAx>
        <c:axId val="15052097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anose="02000000000000000000"/>
                <a:ea typeface="+mn-ea"/>
                <a:cs typeface="+mn-cs"/>
              </a:defRPr>
            </a:pPr>
            <a:endParaRPr lang="pt-BR"/>
          </a:p>
        </c:txPr>
        <c:crossAx val="1505208895"/>
        <c:crosses val="autoZero"/>
        <c:auto val="1"/>
        <c:lblAlgn val="ctr"/>
        <c:lblOffset val="100"/>
        <c:noMultiLvlLbl val="0"/>
      </c:catAx>
      <c:valAx>
        <c:axId val="1505208895"/>
        <c:scaling>
          <c:orientation val="minMax"/>
        </c:scaling>
        <c:delete val="1"/>
        <c:axPos val="l"/>
        <c:numFmt formatCode="_-* #,##0.0_-;\-* #,##0.0_-;_-* &quot;-&quot;??_-;_-@_-" sourceLinked="1"/>
        <c:majorTickMark val="none"/>
        <c:minorTickMark val="none"/>
        <c:tickLblPos val="nextTo"/>
        <c:crossAx val="15052097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00">
          <a:latin typeface="Roboto" panose="0200000000000000000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825348204472157E-2"/>
          <c:y val="5.5673557229801877E-2"/>
          <c:w val="0.49627453826336226"/>
          <c:h val="0.781849781730651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Pivots!$F$194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rgbClr val="007058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8.3904446441870897E-17"/>
                  <c:y val="3.185549322128592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01-49E2-BF26-B0FFB9E9F4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Roboto" panose="0200000000000000000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Pivots!$G$193</c:f>
              <c:strCache>
                <c:ptCount val="1"/>
                <c:pt idx="0">
                  <c:v>Safra 24/25</c:v>
                </c:pt>
              </c:strCache>
            </c:strRef>
          </c:cat>
          <c:val>
            <c:numRef>
              <c:f>Pivots!$G$194</c:f>
              <c:numCache>
                <c:formatCode>#,##0_ ;\(#,##0\);\-</c:formatCode>
                <c:ptCount val="1"/>
                <c:pt idx="0">
                  <c:v>78.593999999999994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93-4704-B1FA-A8FAE9FE9D35}"/>
            </c:ext>
          </c:extLst>
        </c:ser>
        <c:ser>
          <c:idx val="1"/>
          <c:order val="1"/>
          <c:tx>
            <c:strRef>
              <c:f>Pivots!$F$195</c:f>
              <c:strCache>
                <c:ptCount val="1"/>
                <c:pt idx="0">
                  <c:v>Melhoria Operacional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01-49E2-BF26-B0FFB9E9F451}"/>
                </c:ext>
              </c:extLst>
            </c:dLbl>
            <c:spPr>
              <a:solidFill>
                <a:srgbClr val="F5822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Roboto" panose="0200000000000000000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Pivots!$G$193</c:f>
              <c:strCache>
                <c:ptCount val="1"/>
                <c:pt idx="0">
                  <c:v>Safra 24/25</c:v>
                </c:pt>
              </c:strCache>
            </c:strRef>
          </c:cat>
          <c:val>
            <c:numRef>
              <c:f>Pivots!$G$195</c:f>
              <c:numCache>
                <c:formatCode>#,##0_ ;\(#,##0\);\-</c:formatCode>
                <c:ptCount val="1"/>
                <c:pt idx="0">
                  <c:v>58.564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93-4704-B1FA-A8FAE9FE9D35}"/>
            </c:ext>
          </c:extLst>
        </c:ser>
        <c:ser>
          <c:idx val="2"/>
          <c:order val="2"/>
          <c:tx>
            <c:strRef>
              <c:f>Pivots!$F$196</c:f>
              <c:strCache>
                <c:ptCount val="1"/>
                <c:pt idx="0">
                  <c:v>Modernização/Expansão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01-49E2-BF26-B0FFB9E9F451}"/>
                </c:ext>
              </c:extLst>
            </c:dLbl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Roboto" panose="0200000000000000000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Pivots!$G$193</c:f>
              <c:strCache>
                <c:ptCount val="1"/>
                <c:pt idx="0">
                  <c:v>Safra 24/25</c:v>
                </c:pt>
              </c:strCache>
            </c:strRef>
          </c:cat>
          <c:val>
            <c:numRef>
              <c:f>Pivots!$G$196</c:f>
              <c:numCache>
                <c:formatCode>#,##0_ ;\(#,##0\);\-</c:formatCode>
                <c:ptCount val="1"/>
                <c:pt idx="0">
                  <c:v>35.723999999999997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93-4704-B1FA-A8FAE9FE9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2044889119"/>
        <c:axId val="2044888287"/>
      </c:barChart>
      <c:catAx>
        <c:axId val="204488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anose="02000000000000000000"/>
                <a:ea typeface="+mn-ea"/>
                <a:cs typeface="+mn-cs"/>
              </a:defRPr>
            </a:pPr>
            <a:endParaRPr lang="pt-BR"/>
          </a:p>
        </c:txPr>
        <c:crossAx val="2044888287"/>
        <c:crosses val="autoZero"/>
        <c:auto val="1"/>
        <c:lblAlgn val="ctr"/>
        <c:lblOffset val="100"/>
        <c:noMultiLvlLbl val="0"/>
      </c:catAx>
      <c:valAx>
        <c:axId val="2044888287"/>
        <c:scaling>
          <c:orientation val="minMax"/>
        </c:scaling>
        <c:delete val="1"/>
        <c:axPos val="l"/>
        <c:numFmt formatCode="#,##0_ ;\(#,##0\);\-" sourceLinked="1"/>
        <c:majorTickMark val="out"/>
        <c:minorTickMark val="none"/>
        <c:tickLblPos val="nextTo"/>
        <c:crossAx val="20448891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48471025743006024"/>
          <c:y val="5.5869845530203403E-2"/>
          <c:w val="0.50981084916992891"/>
          <c:h val="0.838299538982497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Roboto" panose="0200000000000000000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00">
          <a:latin typeface="Roboto" panose="0200000000000000000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7. Dados Operacionais'!A1"/><Relationship Id="rId3" Type="http://schemas.openxmlformats.org/officeDocument/2006/relationships/hyperlink" Target="#'1. DRE'!A1"/><Relationship Id="rId7" Type="http://schemas.openxmlformats.org/officeDocument/2006/relationships/hyperlink" Target="#'3. Fluxo de Caixa'!A1"/><Relationship Id="rId12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hyperlink" Target="#'5. Capex'!A1"/><Relationship Id="rId11" Type="http://schemas.openxmlformats.org/officeDocument/2006/relationships/hyperlink" Target="https://ri.uisa.com.br/resultados" TargetMode="External"/><Relationship Id="rId5" Type="http://schemas.openxmlformats.org/officeDocument/2006/relationships/hyperlink" Target="#'4. Endividamento'!A1"/><Relationship Id="rId10" Type="http://schemas.openxmlformats.org/officeDocument/2006/relationships/hyperlink" Target="#'8. Dashboard'!A1"/><Relationship Id="rId4" Type="http://schemas.openxmlformats.org/officeDocument/2006/relationships/hyperlink" Target="#'2. BP'!A1"/><Relationship Id="rId9" Type="http://schemas.openxmlformats.org/officeDocument/2006/relationships/hyperlink" Target="#'6. Performance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https://ri.uisa.com.br/resultados" TargetMode="External"/><Relationship Id="rId3" Type="http://schemas.openxmlformats.org/officeDocument/2006/relationships/image" Target="../media/image5.png"/><Relationship Id="rId7" Type="http://schemas.openxmlformats.org/officeDocument/2006/relationships/image" Target="../media/image8.svg"/><Relationship Id="rId2" Type="http://schemas.openxmlformats.org/officeDocument/2006/relationships/hyperlink" Target="#Menu!A1"/><Relationship Id="rId1" Type="http://schemas.openxmlformats.org/officeDocument/2006/relationships/image" Target="../media/image4.png"/><Relationship Id="rId6" Type="http://schemas.openxmlformats.org/officeDocument/2006/relationships/image" Target="../media/image7.png"/><Relationship Id="rId5" Type="http://schemas.openxmlformats.org/officeDocument/2006/relationships/hyperlink" Target="#'2. BP'!A1"/><Relationship Id="rId4" Type="http://schemas.openxmlformats.org/officeDocument/2006/relationships/image" Target="../media/image6.svg"/><Relationship Id="rId9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9.png"/><Relationship Id="rId7" Type="http://schemas.openxmlformats.org/officeDocument/2006/relationships/hyperlink" Target="#'3. Fluxo de Caixa'!A1"/><Relationship Id="rId2" Type="http://schemas.openxmlformats.org/officeDocument/2006/relationships/hyperlink" Target="https://ri.uisa.com.br/resultados" TargetMode="External"/><Relationship Id="rId1" Type="http://schemas.openxmlformats.org/officeDocument/2006/relationships/image" Target="../media/image4.png"/><Relationship Id="rId6" Type="http://schemas.openxmlformats.org/officeDocument/2006/relationships/image" Target="../media/image6.svg"/><Relationship Id="rId5" Type="http://schemas.openxmlformats.org/officeDocument/2006/relationships/image" Target="../media/image5.png"/><Relationship Id="rId10" Type="http://schemas.openxmlformats.org/officeDocument/2006/relationships/hyperlink" Target="#'1. DRE'!A1"/><Relationship Id="rId4" Type="http://schemas.openxmlformats.org/officeDocument/2006/relationships/hyperlink" Target="#Menu!A1"/><Relationship Id="rId9" Type="http://schemas.openxmlformats.org/officeDocument/2006/relationships/image" Target="../media/image8.sv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9.png"/><Relationship Id="rId7" Type="http://schemas.openxmlformats.org/officeDocument/2006/relationships/hyperlink" Target="#'4. Endividamento'!A1"/><Relationship Id="rId2" Type="http://schemas.openxmlformats.org/officeDocument/2006/relationships/hyperlink" Target="https://ri.uisa.com.br/resultados" TargetMode="External"/><Relationship Id="rId1" Type="http://schemas.openxmlformats.org/officeDocument/2006/relationships/image" Target="../media/image4.png"/><Relationship Id="rId6" Type="http://schemas.openxmlformats.org/officeDocument/2006/relationships/image" Target="../media/image6.svg"/><Relationship Id="rId5" Type="http://schemas.openxmlformats.org/officeDocument/2006/relationships/image" Target="../media/image5.png"/><Relationship Id="rId10" Type="http://schemas.openxmlformats.org/officeDocument/2006/relationships/hyperlink" Target="#'2. BP'!A1"/><Relationship Id="rId4" Type="http://schemas.openxmlformats.org/officeDocument/2006/relationships/hyperlink" Target="#Menu!A1"/><Relationship Id="rId9" Type="http://schemas.openxmlformats.org/officeDocument/2006/relationships/image" Target="../media/image8.sv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3. Fluxo de Caixa'!A1"/><Relationship Id="rId3" Type="http://schemas.openxmlformats.org/officeDocument/2006/relationships/image" Target="../media/image5.png"/><Relationship Id="rId7" Type="http://schemas.openxmlformats.org/officeDocument/2006/relationships/image" Target="../media/image8.svg"/><Relationship Id="rId2" Type="http://schemas.openxmlformats.org/officeDocument/2006/relationships/hyperlink" Target="#Menu!A1"/><Relationship Id="rId1" Type="http://schemas.openxmlformats.org/officeDocument/2006/relationships/image" Target="../media/image4.png"/><Relationship Id="rId6" Type="http://schemas.openxmlformats.org/officeDocument/2006/relationships/image" Target="../media/image7.png"/><Relationship Id="rId5" Type="http://schemas.openxmlformats.org/officeDocument/2006/relationships/hyperlink" Target="#'5. Capex'!A1"/><Relationship Id="rId10" Type="http://schemas.openxmlformats.org/officeDocument/2006/relationships/image" Target="../media/image10.png"/><Relationship Id="rId4" Type="http://schemas.openxmlformats.org/officeDocument/2006/relationships/image" Target="../media/image6.svg"/><Relationship Id="rId9" Type="http://schemas.openxmlformats.org/officeDocument/2006/relationships/hyperlink" Target="https://ri.uisa.com.br/resultados" TargetMode="Externa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9.png"/><Relationship Id="rId7" Type="http://schemas.openxmlformats.org/officeDocument/2006/relationships/hyperlink" Target="#'6. Performance'!A1"/><Relationship Id="rId2" Type="http://schemas.openxmlformats.org/officeDocument/2006/relationships/hyperlink" Target="https://ri.uisa.com.br/resultados" TargetMode="External"/><Relationship Id="rId1" Type="http://schemas.openxmlformats.org/officeDocument/2006/relationships/image" Target="../media/image4.png"/><Relationship Id="rId6" Type="http://schemas.openxmlformats.org/officeDocument/2006/relationships/image" Target="../media/image6.svg"/><Relationship Id="rId5" Type="http://schemas.openxmlformats.org/officeDocument/2006/relationships/image" Target="../media/image5.png"/><Relationship Id="rId10" Type="http://schemas.openxmlformats.org/officeDocument/2006/relationships/hyperlink" Target="#'4. Endividamento'!A1"/><Relationship Id="rId4" Type="http://schemas.openxmlformats.org/officeDocument/2006/relationships/hyperlink" Target="#Menu!A1"/><Relationship Id="rId9" Type="http://schemas.openxmlformats.org/officeDocument/2006/relationships/image" Target="../media/image8.sv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5. Capex'!A1"/><Relationship Id="rId3" Type="http://schemas.openxmlformats.org/officeDocument/2006/relationships/image" Target="../media/image5.png"/><Relationship Id="rId7" Type="http://schemas.openxmlformats.org/officeDocument/2006/relationships/image" Target="../media/image8.svg"/><Relationship Id="rId2" Type="http://schemas.openxmlformats.org/officeDocument/2006/relationships/hyperlink" Target="#Menu!A1"/><Relationship Id="rId1" Type="http://schemas.openxmlformats.org/officeDocument/2006/relationships/image" Target="../media/image4.png"/><Relationship Id="rId6" Type="http://schemas.openxmlformats.org/officeDocument/2006/relationships/image" Target="../media/image7.png"/><Relationship Id="rId5" Type="http://schemas.openxmlformats.org/officeDocument/2006/relationships/hyperlink" Target="#'7. Dados Operacionais'!A1"/><Relationship Id="rId10" Type="http://schemas.openxmlformats.org/officeDocument/2006/relationships/image" Target="../media/image9.png"/><Relationship Id="rId4" Type="http://schemas.openxmlformats.org/officeDocument/2006/relationships/image" Target="../media/image6.svg"/><Relationship Id="rId9" Type="http://schemas.openxmlformats.org/officeDocument/2006/relationships/hyperlink" Target="https://ri.uisa.com.br/resultados" TargetMode="Externa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9.png"/><Relationship Id="rId7" Type="http://schemas.openxmlformats.org/officeDocument/2006/relationships/hyperlink" Target="#'8. Dashboard'!A1"/><Relationship Id="rId2" Type="http://schemas.openxmlformats.org/officeDocument/2006/relationships/hyperlink" Target="https://ri.uisa.com.br/resultados" TargetMode="External"/><Relationship Id="rId1" Type="http://schemas.openxmlformats.org/officeDocument/2006/relationships/image" Target="../media/image4.png"/><Relationship Id="rId6" Type="http://schemas.openxmlformats.org/officeDocument/2006/relationships/image" Target="../media/image6.svg"/><Relationship Id="rId5" Type="http://schemas.openxmlformats.org/officeDocument/2006/relationships/image" Target="../media/image5.png"/><Relationship Id="rId10" Type="http://schemas.openxmlformats.org/officeDocument/2006/relationships/hyperlink" Target="#'6. Performance'!A1"/><Relationship Id="rId4" Type="http://schemas.openxmlformats.org/officeDocument/2006/relationships/hyperlink" Target="#Menu!A1"/><Relationship Id="rId9" Type="http://schemas.openxmlformats.org/officeDocument/2006/relationships/image" Target="../media/image8.sv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svg"/><Relationship Id="rId13" Type="http://schemas.openxmlformats.org/officeDocument/2006/relationships/image" Target="../media/image22.svg"/><Relationship Id="rId18" Type="http://schemas.openxmlformats.org/officeDocument/2006/relationships/image" Target="../media/image27.png"/><Relationship Id="rId3" Type="http://schemas.openxmlformats.org/officeDocument/2006/relationships/image" Target="../media/image12.svg"/><Relationship Id="rId21" Type="http://schemas.openxmlformats.org/officeDocument/2006/relationships/image" Target="../media/image29.png"/><Relationship Id="rId7" Type="http://schemas.openxmlformats.org/officeDocument/2006/relationships/image" Target="../media/image15.png"/><Relationship Id="rId12" Type="http://schemas.openxmlformats.org/officeDocument/2006/relationships/image" Target="../media/image21.png"/><Relationship Id="rId17" Type="http://schemas.openxmlformats.org/officeDocument/2006/relationships/image" Target="../media/image26.svg"/><Relationship Id="rId25" Type="http://schemas.openxmlformats.org/officeDocument/2006/relationships/image" Target="../media/image33.png"/><Relationship Id="rId2" Type="http://schemas.openxmlformats.org/officeDocument/2006/relationships/image" Target="../media/image11.png"/><Relationship Id="rId16" Type="http://schemas.openxmlformats.org/officeDocument/2006/relationships/image" Target="../media/image25.png"/><Relationship Id="rId20" Type="http://schemas.openxmlformats.org/officeDocument/2006/relationships/chart" Target="../charts/chart3.xml"/><Relationship Id="rId1" Type="http://schemas.openxmlformats.org/officeDocument/2006/relationships/chart" Target="../charts/chart1.xml"/><Relationship Id="rId6" Type="http://schemas.openxmlformats.org/officeDocument/2006/relationships/hyperlink" Target="#Menu!A1"/><Relationship Id="rId11" Type="http://schemas.openxmlformats.org/officeDocument/2006/relationships/image" Target="../media/image20.svg"/><Relationship Id="rId24" Type="http://schemas.openxmlformats.org/officeDocument/2006/relationships/image" Target="../media/image32.png"/><Relationship Id="rId5" Type="http://schemas.openxmlformats.org/officeDocument/2006/relationships/image" Target="../media/image14.svg"/><Relationship Id="rId15" Type="http://schemas.openxmlformats.org/officeDocument/2006/relationships/image" Target="../media/image24.svg"/><Relationship Id="rId23" Type="http://schemas.openxmlformats.org/officeDocument/2006/relationships/image" Target="../media/image31.png"/><Relationship Id="rId10" Type="http://schemas.openxmlformats.org/officeDocument/2006/relationships/image" Target="../media/image19.png"/><Relationship Id="rId19" Type="http://schemas.openxmlformats.org/officeDocument/2006/relationships/image" Target="../media/image28.svg"/><Relationship Id="rId4" Type="http://schemas.openxmlformats.org/officeDocument/2006/relationships/image" Target="../media/image13.png"/><Relationship Id="rId9" Type="http://schemas.openxmlformats.org/officeDocument/2006/relationships/chart" Target="../charts/chart2.xml"/><Relationship Id="rId14" Type="http://schemas.openxmlformats.org/officeDocument/2006/relationships/image" Target="../media/image23.png"/><Relationship Id="rId22" Type="http://schemas.openxmlformats.org/officeDocument/2006/relationships/image" Target="../media/image30.sv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58</xdr:col>
      <xdr:colOff>56029</xdr:colOff>
      <xdr:row>48</xdr:row>
      <xdr:rowOff>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47404463-99FD-483D-BE4A-60632E1035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95" r="-95"/>
        <a:stretch/>
      </xdr:blipFill>
      <xdr:spPr>
        <a:xfrm>
          <a:off x="0" y="0"/>
          <a:ext cx="6555441" cy="5378824"/>
        </a:xfrm>
        <a:prstGeom prst="rect">
          <a:avLst/>
        </a:prstGeom>
      </xdr:spPr>
    </xdr:pic>
    <xdr:clientData/>
  </xdr:twoCellAnchor>
  <xdr:twoCellAnchor>
    <xdr:from>
      <xdr:col>0</xdr:col>
      <xdr:colOff>15409</xdr:colOff>
      <xdr:row>40</xdr:row>
      <xdr:rowOff>1</xdr:rowOff>
    </xdr:from>
    <xdr:to>
      <xdr:col>36</xdr:col>
      <xdr:colOff>16996</xdr:colOff>
      <xdr:row>48</xdr:row>
      <xdr:rowOff>1</xdr:rowOff>
    </xdr:to>
    <xdr:sp macro="" textlink="">
      <xdr:nvSpPr>
        <xdr:cNvPr id="92" name="Retângulo 91">
          <a:extLst>
            <a:ext uri="{FF2B5EF4-FFF2-40B4-BE49-F238E27FC236}">
              <a16:creationId xmlns:a16="http://schemas.microsoft.com/office/drawing/2014/main" id="{F8636B15-7C9E-4090-9C73-D723B35CB421}"/>
            </a:ext>
          </a:extLst>
        </xdr:cNvPr>
        <xdr:cNvSpPr/>
      </xdr:nvSpPr>
      <xdr:spPr>
        <a:xfrm>
          <a:off x="15409" y="4482354"/>
          <a:ext cx="4035705" cy="896471"/>
        </a:xfrm>
        <a:prstGeom prst="rect">
          <a:avLst/>
        </a:prstGeom>
        <a:solidFill>
          <a:srgbClr val="F58220">
            <a:alpha val="30196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7</xdr:col>
      <xdr:colOff>95902</xdr:colOff>
      <xdr:row>38</xdr:row>
      <xdr:rowOff>55656</xdr:rowOff>
    </xdr:from>
    <xdr:to>
      <xdr:col>20</xdr:col>
      <xdr:colOff>85445</xdr:colOff>
      <xdr:row>45</xdr:row>
      <xdr:rowOff>3922</xdr:rowOff>
    </xdr:to>
    <xdr:sp macro="" textlink="">
      <xdr:nvSpPr>
        <xdr:cNvPr id="10" name="Retângulo 9">
          <a:extLst>
            <a:ext uri="{FF2B5EF4-FFF2-40B4-BE49-F238E27FC236}">
              <a16:creationId xmlns:a16="http://schemas.microsoft.com/office/drawing/2014/main" id="{218EF9A3-2B92-943D-14F2-9E90F827AD99}"/>
            </a:ext>
          </a:extLst>
        </xdr:cNvPr>
        <xdr:cNvSpPr/>
      </xdr:nvSpPr>
      <xdr:spPr>
        <a:xfrm>
          <a:off x="880314" y="4313891"/>
          <a:ext cx="1446307" cy="732678"/>
        </a:xfrm>
        <a:prstGeom prst="rect">
          <a:avLst/>
        </a:prstGeom>
        <a:noFill/>
        <a:ln>
          <a:noFill/>
        </a:ln>
        <a:effectLst/>
        <a:scene3d>
          <a:camera prst="obliqueBottomLeft"/>
          <a:lightRig rig="threePt" dir="t"/>
        </a:scene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3200" b="0">
              <a:solidFill>
                <a:srgbClr val="F5822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somos</a:t>
          </a:r>
        </a:p>
      </xdr:txBody>
    </xdr:sp>
    <xdr:clientData/>
  </xdr:twoCellAnchor>
  <xdr:twoCellAnchor>
    <xdr:from>
      <xdr:col>7</xdr:col>
      <xdr:colOff>99078</xdr:colOff>
      <xdr:row>43</xdr:row>
      <xdr:rowOff>20731</xdr:rowOff>
    </xdr:from>
    <xdr:to>
      <xdr:col>21</xdr:col>
      <xdr:colOff>99077</xdr:colOff>
      <xdr:row>47</xdr:row>
      <xdr:rowOff>27081</xdr:rowOff>
    </xdr:to>
    <xdr:sp macro="" textlink="">
      <xdr:nvSpPr>
        <xdr:cNvPr id="21" name="Retângulo 20">
          <a:extLst>
            <a:ext uri="{FF2B5EF4-FFF2-40B4-BE49-F238E27FC236}">
              <a16:creationId xmlns:a16="http://schemas.microsoft.com/office/drawing/2014/main" id="{A6E4E4A4-7AD1-34FD-E2B4-72DA4E4F6A00}"/>
            </a:ext>
          </a:extLst>
        </xdr:cNvPr>
        <xdr:cNvSpPr/>
      </xdr:nvSpPr>
      <xdr:spPr>
        <a:xfrm>
          <a:off x="883490" y="4839260"/>
          <a:ext cx="1568822" cy="454586"/>
        </a:xfrm>
        <a:prstGeom prst="rect">
          <a:avLst/>
        </a:prstGeom>
        <a:noFill/>
        <a:ln>
          <a:noFill/>
        </a:ln>
        <a:effectLst/>
        <a:scene3d>
          <a:camera prst="obliqueBottomLeft"/>
          <a:lightRig rig="threePt" dir="t"/>
        </a:scene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3200" b="1">
              <a:solidFill>
                <a:srgbClr val="F5822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uisa</a:t>
          </a:r>
        </a:p>
      </xdr:txBody>
    </xdr:sp>
    <xdr:clientData/>
  </xdr:twoCellAnchor>
  <xdr:twoCellAnchor>
    <xdr:from>
      <xdr:col>8</xdr:col>
      <xdr:colOff>10458</xdr:colOff>
      <xdr:row>38</xdr:row>
      <xdr:rowOff>22038</xdr:rowOff>
    </xdr:from>
    <xdr:to>
      <xdr:col>23</xdr:col>
      <xdr:colOff>30726</xdr:colOff>
      <xdr:row>44</xdr:row>
      <xdr:rowOff>82363</xdr:rowOff>
    </xdr:to>
    <xdr:sp macro="" textlink="">
      <xdr:nvSpPr>
        <xdr:cNvPr id="86" name="Retângulo 85">
          <a:extLst>
            <a:ext uri="{FF2B5EF4-FFF2-40B4-BE49-F238E27FC236}">
              <a16:creationId xmlns:a16="http://schemas.microsoft.com/office/drawing/2014/main" id="{6EAD7663-31BC-45B7-B763-32D33229DEC2}"/>
            </a:ext>
          </a:extLst>
        </xdr:cNvPr>
        <xdr:cNvSpPr/>
      </xdr:nvSpPr>
      <xdr:spPr>
        <a:xfrm>
          <a:off x="829813" y="4303167"/>
          <a:ext cx="1556558" cy="736293"/>
        </a:xfrm>
        <a:prstGeom prst="rect">
          <a:avLst/>
        </a:prstGeom>
        <a:noFill/>
        <a:ln>
          <a:noFill/>
        </a:ln>
        <a:effectLst/>
        <a:scene3d>
          <a:camera prst="obliqueBottomLeft"/>
          <a:lightRig rig="threePt" dir="t"/>
        </a:scene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3200" b="0">
              <a:solidFill>
                <a:schemeClr val="bg1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somos</a:t>
          </a:r>
        </a:p>
      </xdr:txBody>
    </xdr:sp>
    <xdr:clientData/>
  </xdr:twoCellAnchor>
  <xdr:twoCellAnchor>
    <xdr:from>
      <xdr:col>1</xdr:col>
      <xdr:colOff>41276</xdr:colOff>
      <xdr:row>38</xdr:row>
      <xdr:rowOff>107950</xdr:rowOff>
    </xdr:from>
    <xdr:to>
      <xdr:col>12</xdr:col>
      <xdr:colOff>41276</xdr:colOff>
      <xdr:row>49</xdr:row>
      <xdr:rowOff>0</xdr:rowOff>
    </xdr:to>
    <xdr:sp macro="" textlink="">
      <xdr:nvSpPr>
        <xdr:cNvPr id="87" name="Retângulo 86">
          <a:extLst>
            <a:ext uri="{FF2B5EF4-FFF2-40B4-BE49-F238E27FC236}">
              <a16:creationId xmlns:a16="http://schemas.microsoft.com/office/drawing/2014/main" id="{755E861E-C3D9-4091-A85A-66C227E246FD}"/>
            </a:ext>
          </a:extLst>
        </xdr:cNvPr>
        <xdr:cNvSpPr/>
      </xdr:nvSpPr>
      <xdr:spPr>
        <a:xfrm>
          <a:off x="168276" y="4451350"/>
          <a:ext cx="1397000" cy="11493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8000" b="1" i="0">
              <a:solidFill>
                <a:srgbClr val="EB700B"/>
              </a:solidFill>
              <a:latin typeface="Bodoni MT Black" panose="02070A03080606020203" pitchFamily="18" charset="0"/>
              <a:ea typeface="Tahoma" panose="020B0604030504040204" pitchFamily="34" charset="0"/>
              <a:cs typeface="Tahoma" panose="020B0604030504040204" pitchFamily="34" charset="0"/>
            </a:rPr>
            <a:t>#</a:t>
          </a:r>
        </a:p>
      </xdr:txBody>
    </xdr:sp>
    <xdr:clientData/>
  </xdr:twoCellAnchor>
  <xdr:twoCellAnchor>
    <xdr:from>
      <xdr:col>8</xdr:col>
      <xdr:colOff>13634</xdr:colOff>
      <xdr:row>42</xdr:row>
      <xdr:rowOff>99171</xdr:rowOff>
    </xdr:from>
    <xdr:to>
      <xdr:col>22</xdr:col>
      <xdr:colOff>13633</xdr:colOff>
      <xdr:row>46</xdr:row>
      <xdr:rowOff>105522</xdr:rowOff>
    </xdr:to>
    <xdr:sp macro="" textlink="">
      <xdr:nvSpPr>
        <xdr:cNvPr id="91" name="Retângulo 90">
          <a:extLst>
            <a:ext uri="{FF2B5EF4-FFF2-40B4-BE49-F238E27FC236}">
              <a16:creationId xmlns:a16="http://schemas.microsoft.com/office/drawing/2014/main" id="{8DEEA23A-FB8F-4DEA-8193-DCA0A91A688A}"/>
            </a:ext>
          </a:extLst>
        </xdr:cNvPr>
        <xdr:cNvSpPr/>
      </xdr:nvSpPr>
      <xdr:spPr>
        <a:xfrm>
          <a:off x="910105" y="4805642"/>
          <a:ext cx="1568822" cy="454586"/>
        </a:xfrm>
        <a:prstGeom prst="rect">
          <a:avLst/>
        </a:prstGeom>
        <a:noFill/>
        <a:ln>
          <a:noFill/>
        </a:ln>
        <a:effectLst/>
        <a:scene3d>
          <a:camera prst="obliqueBottomLeft"/>
          <a:lightRig rig="threePt" dir="t"/>
        </a:scene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3200" b="1">
              <a:solidFill>
                <a:schemeClr val="bg1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uisa</a:t>
          </a:r>
        </a:p>
      </xdr:txBody>
    </xdr:sp>
    <xdr:clientData/>
  </xdr:twoCellAnchor>
  <xdr:twoCellAnchor>
    <xdr:from>
      <xdr:col>24</xdr:col>
      <xdr:colOff>1389</xdr:colOff>
      <xdr:row>13</xdr:row>
      <xdr:rowOff>43788</xdr:rowOff>
    </xdr:from>
    <xdr:to>
      <xdr:col>33</xdr:col>
      <xdr:colOff>107263</xdr:colOff>
      <xdr:row>23</xdr:row>
      <xdr:rowOff>38100</xdr:rowOff>
    </xdr:to>
    <xdr:pic>
      <xdr:nvPicPr>
        <xdr:cNvPr id="80" name="Imagem 79" descr="Resultado de imagem para uisa logo">
          <a:extLst>
            <a:ext uri="{FF2B5EF4-FFF2-40B4-BE49-F238E27FC236}">
              <a16:creationId xmlns:a16="http://schemas.microsoft.com/office/drawing/2014/main" id="{0E0ED940-73DA-40C8-96A5-4BEC95B46C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alphaModFix amt="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r="77424" b="20137"/>
        <a:stretch/>
      </xdr:blipFill>
      <xdr:spPr bwMode="auto">
        <a:xfrm>
          <a:off x="3049389" y="1758288"/>
          <a:ext cx="1248874" cy="1137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20439</xdr:colOff>
      <xdr:row>14</xdr:row>
      <xdr:rowOff>62838</xdr:rowOff>
    </xdr:from>
    <xdr:to>
      <xdr:col>22</xdr:col>
      <xdr:colOff>44450</xdr:colOff>
      <xdr:row>23</xdr:row>
      <xdr:rowOff>96900</xdr:rowOff>
    </xdr:to>
    <xdr:pic>
      <xdr:nvPicPr>
        <xdr:cNvPr id="81" name="Imagem 80" descr="Resultado de imagem para uisa logo">
          <a:extLst>
            <a:ext uri="{FF2B5EF4-FFF2-40B4-BE49-F238E27FC236}">
              <a16:creationId xmlns:a16="http://schemas.microsoft.com/office/drawing/2014/main" id="{9B703BB4-FE34-440B-8139-7E301DC1D2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alphaModFix amt="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r="77424" b="20137"/>
        <a:stretch/>
      </xdr:blipFill>
      <xdr:spPr bwMode="auto">
        <a:xfrm>
          <a:off x="1671439" y="1663038"/>
          <a:ext cx="1167011" cy="1062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63501</xdr:colOff>
      <xdr:row>11</xdr:row>
      <xdr:rowOff>6350</xdr:rowOff>
    </xdr:from>
    <xdr:to>
      <xdr:col>12</xdr:col>
      <xdr:colOff>50993</xdr:colOff>
      <xdr:row>23</xdr:row>
      <xdr:rowOff>12700</xdr:rowOff>
    </xdr:to>
    <xdr:pic>
      <xdr:nvPicPr>
        <xdr:cNvPr id="83" name="Imagem 82" descr="Resultado de imagem para uisa logo">
          <a:extLst>
            <a:ext uri="{FF2B5EF4-FFF2-40B4-BE49-F238E27FC236}">
              <a16:creationId xmlns:a16="http://schemas.microsoft.com/office/drawing/2014/main" id="{70668C20-1C27-4EC3-91F5-CB93938808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alphaModFix amt="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r="77424" b="20137"/>
        <a:stretch/>
      </xdr:blipFill>
      <xdr:spPr bwMode="auto">
        <a:xfrm>
          <a:off x="190501" y="1263650"/>
          <a:ext cx="1384492" cy="1377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118330</xdr:colOff>
      <xdr:row>11</xdr:row>
      <xdr:rowOff>4634</xdr:rowOff>
    </xdr:from>
    <xdr:to>
      <xdr:col>16</xdr:col>
      <xdr:colOff>21382</xdr:colOff>
      <xdr:row>17</xdr:row>
      <xdr:rowOff>104848</xdr:rowOff>
    </xdr:to>
    <xdr:pic>
      <xdr:nvPicPr>
        <xdr:cNvPr id="84" name="Imagem 83" descr="Resultado de imagem para uisa logo">
          <a:extLst>
            <a:ext uri="{FF2B5EF4-FFF2-40B4-BE49-F238E27FC236}">
              <a16:creationId xmlns:a16="http://schemas.microsoft.com/office/drawing/2014/main" id="{53153B0B-65D8-4268-AD26-517FDE629C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alphaModFix amt="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r="77424" b="20137"/>
        <a:stretch/>
      </xdr:blipFill>
      <xdr:spPr bwMode="auto">
        <a:xfrm rot="10800000">
          <a:off x="1261330" y="1261934"/>
          <a:ext cx="792052" cy="7860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37</xdr:col>
      <xdr:colOff>404</xdr:colOff>
      <xdr:row>0</xdr:row>
      <xdr:rowOff>8966</xdr:rowOff>
    </xdr:from>
    <xdr:to>
      <xdr:col>109</xdr:col>
      <xdr:colOff>51027</xdr:colOff>
      <xdr:row>50</xdr:row>
      <xdr:rowOff>8504</xdr:rowOff>
    </xdr:to>
    <xdr:sp macro="" textlink="">
      <xdr:nvSpPr>
        <xdr:cNvPr id="23" name="Retângulo 2">
          <a:extLst>
            <a:ext uri="{FF2B5EF4-FFF2-40B4-BE49-F238E27FC236}">
              <a16:creationId xmlns:a16="http://schemas.microsoft.com/office/drawing/2014/main" id="{26FBDE8C-DBF7-41BD-B244-8FC440524DA8}"/>
            </a:ext>
          </a:extLst>
        </xdr:cNvPr>
        <xdr:cNvSpPr/>
      </xdr:nvSpPr>
      <xdr:spPr>
        <a:xfrm>
          <a:off x="3776386" y="8966"/>
          <a:ext cx="7398480" cy="5527440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21</xdr:col>
      <xdr:colOff>58340</xdr:colOff>
      <xdr:row>0</xdr:row>
      <xdr:rowOff>0</xdr:rowOff>
    </xdr:from>
    <xdr:to>
      <xdr:col>43</xdr:col>
      <xdr:colOff>109810</xdr:colOff>
      <xdr:row>48</xdr:row>
      <xdr:rowOff>4481</xdr:rowOff>
    </xdr:to>
    <xdr:sp macro="" textlink="">
      <xdr:nvSpPr>
        <xdr:cNvPr id="4" name="Paralelogramo 3">
          <a:extLst>
            <a:ext uri="{FF2B5EF4-FFF2-40B4-BE49-F238E27FC236}">
              <a16:creationId xmlns:a16="http://schemas.microsoft.com/office/drawing/2014/main" id="{40E4B6A1-8BB6-4C86-A214-08F16D0CD1D9}"/>
            </a:ext>
          </a:extLst>
        </xdr:cNvPr>
        <xdr:cNvSpPr/>
      </xdr:nvSpPr>
      <xdr:spPr>
        <a:xfrm flipH="1">
          <a:off x="2411575" y="0"/>
          <a:ext cx="2516764" cy="5383305"/>
        </a:xfrm>
        <a:prstGeom prst="parallelogram">
          <a:avLst>
            <a:gd name="adj" fmla="val 62987"/>
          </a:avLst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30</xdr:col>
      <xdr:colOff>24946</xdr:colOff>
      <xdr:row>0</xdr:row>
      <xdr:rowOff>0</xdr:rowOff>
    </xdr:from>
    <xdr:to>
      <xdr:col>51</xdr:col>
      <xdr:colOff>64727</xdr:colOff>
      <xdr:row>47</xdr:row>
      <xdr:rowOff>62753</xdr:rowOff>
    </xdr:to>
    <xdr:sp macro="" textlink="">
      <xdr:nvSpPr>
        <xdr:cNvPr id="5" name="Paralelogramo 4">
          <a:extLst>
            <a:ext uri="{FF2B5EF4-FFF2-40B4-BE49-F238E27FC236}">
              <a16:creationId xmlns:a16="http://schemas.microsoft.com/office/drawing/2014/main" id="{05C263B6-292C-42F3-B24B-DE3FDC4842A5}"/>
            </a:ext>
          </a:extLst>
        </xdr:cNvPr>
        <xdr:cNvSpPr/>
      </xdr:nvSpPr>
      <xdr:spPr>
        <a:xfrm flipH="1">
          <a:off x="3790122" y="0"/>
          <a:ext cx="2675405" cy="5540188"/>
        </a:xfrm>
        <a:prstGeom prst="parallelogram">
          <a:avLst>
            <a:gd name="adj" fmla="val 62987"/>
          </a:avLst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66</xdr:col>
      <xdr:colOff>110611</xdr:colOff>
      <xdr:row>9</xdr:row>
      <xdr:rowOff>78827</xdr:rowOff>
    </xdr:from>
    <xdr:to>
      <xdr:col>93</xdr:col>
      <xdr:colOff>126999</xdr:colOff>
      <xdr:row>12</xdr:row>
      <xdr:rowOff>19707</xdr:rowOff>
    </xdr:to>
    <xdr:sp macro="[0]!DRE" textlink="">
      <xdr:nvSpPr>
        <xdr:cNvPr id="7" name="Paralelogramo 6">
          <a:extLst>
            <a:ext uri="{FF2B5EF4-FFF2-40B4-BE49-F238E27FC236}">
              <a16:creationId xmlns:a16="http://schemas.microsoft.com/office/drawing/2014/main" id="{1C518AF0-0BFC-40B3-A6F9-56FBC06017FE}"/>
            </a:ext>
          </a:extLst>
        </xdr:cNvPr>
        <xdr:cNvSpPr/>
      </xdr:nvSpPr>
      <xdr:spPr>
        <a:xfrm flipH="1">
          <a:off x="8492611" y="1336127"/>
          <a:ext cx="3445388" cy="283780"/>
        </a:xfrm>
        <a:prstGeom prst="parallelogram">
          <a:avLst>
            <a:gd name="adj" fmla="val 34523"/>
          </a:avLst>
        </a:prstGeom>
        <a:solidFill>
          <a:schemeClr val="bg1">
            <a:lumMod val="95000"/>
          </a:schemeClr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68</xdr:col>
      <xdr:colOff>36870</xdr:colOff>
      <xdr:row>14</xdr:row>
      <xdr:rowOff>88508</xdr:rowOff>
    </xdr:from>
    <xdr:to>
      <xdr:col>93</xdr:col>
      <xdr:colOff>126999</xdr:colOff>
      <xdr:row>17</xdr:row>
      <xdr:rowOff>29388</xdr:rowOff>
    </xdr:to>
    <xdr:sp macro="" textlink="">
      <xdr:nvSpPr>
        <xdr:cNvPr id="8" name="Paralelogramo 7">
          <a:extLst>
            <a:ext uri="{FF2B5EF4-FFF2-40B4-BE49-F238E27FC236}">
              <a16:creationId xmlns:a16="http://schemas.microsoft.com/office/drawing/2014/main" id="{F1A5E0D0-3145-4FB8-BB4F-81E620921295}"/>
            </a:ext>
          </a:extLst>
        </xdr:cNvPr>
        <xdr:cNvSpPr/>
      </xdr:nvSpPr>
      <xdr:spPr>
        <a:xfrm flipH="1">
          <a:off x="8672870" y="1917308"/>
          <a:ext cx="3265129" cy="283780"/>
        </a:xfrm>
        <a:prstGeom prst="parallelogram">
          <a:avLst>
            <a:gd name="adj" fmla="val 34523"/>
          </a:avLst>
        </a:prstGeom>
        <a:solidFill>
          <a:schemeClr val="bg1">
            <a:lumMod val="95000"/>
          </a:schemeClr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76</xdr:col>
      <xdr:colOff>73739</xdr:colOff>
      <xdr:row>44</xdr:row>
      <xdr:rowOff>57929</xdr:rowOff>
    </xdr:from>
    <xdr:to>
      <xdr:col>93</xdr:col>
      <xdr:colOff>126999</xdr:colOff>
      <xdr:row>46</xdr:row>
      <xdr:rowOff>113109</xdr:rowOff>
    </xdr:to>
    <xdr:sp macro="[0]!Dashboard" textlink="">
      <xdr:nvSpPr>
        <xdr:cNvPr id="11" name="Paralelogramo 10">
          <a:extLst>
            <a:ext uri="{FF2B5EF4-FFF2-40B4-BE49-F238E27FC236}">
              <a16:creationId xmlns:a16="http://schemas.microsoft.com/office/drawing/2014/main" id="{F614678C-B0E6-4301-BC11-0EFAB990E5FD}"/>
            </a:ext>
          </a:extLst>
        </xdr:cNvPr>
        <xdr:cNvSpPr/>
      </xdr:nvSpPr>
      <xdr:spPr>
        <a:xfrm flipH="1">
          <a:off x="9725739" y="5315729"/>
          <a:ext cx="2212260" cy="283780"/>
        </a:xfrm>
        <a:prstGeom prst="parallelogram">
          <a:avLst>
            <a:gd name="adj" fmla="val 34523"/>
          </a:avLst>
        </a:prstGeom>
        <a:solidFill>
          <a:schemeClr val="bg1">
            <a:lumMod val="95000"/>
          </a:schemeClr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75</xdr:col>
      <xdr:colOff>18434</xdr:colOff>
      <xdr:row>39</xdr:row>
      <xdr:rowOff>59121</xdr:rowOff>
    </xdr:from>
    <xdr:to>
      <xdr:col>93</xdr:col>
      <xdr:colOff>107949</xdr:colOff>
      <xdr:row>41</xdr:row>
      <xdr:rowOff>113685</xdr:rowOff>
    </xdr:to>
    <xdr:sp macro="[0]!DadosSF" textlink="">
      <xdr:nvSpPr>
        <xdr:cNvPr id="12" name="Paralelogramo 11">
          <a:extLst>
            <a:ext uri="{FF2B5EF4-FFF2-40B4-BE49-F238E27FC236}">
              <a16:creationId xmlns:a16="http://schemas.microsoft.com/office/drawing/2014/main" id="{4FA1A0C2-EAD8-4284-AA89-E90C8BC7EBB3}"/>
            </a:ext>
          </a:extLst>
        </xdr:cNvPr>
        <xdr:cNvSpPr/>
      </xdr:nvSpPr>
      <xdr:spPr>
        <a:xfrm flipH="1">
          <a:off x="8211982" y="4586056"/>
          <a:ext cx="2055967" cy="286715"/>
        </a:xfrm>
        <a:prstGeom prst="parallelogram">
          <a:avLst>
            <a:gd name="adj" fmla="val 34523"/>
          </a:avLst>
        </a:prstGeom>
        <a:solidFill>
          <a:schemeClr val="bg1">
            <a:lumMod val="95000"/>
          </a:schemeClr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70</xdr:col>
      <xdr:colOff>126999</xdr:colOff>
      <xdr:row>24</xdr:row>
      <xdr:rowOff>57929</xdr:rowOff>
    </xdr:from>
    <xdr:to>
      <xdr:col>93</xdr:col>
      <xdr:colOff>126999</xdr:colOff>
      <xdr:row>27</xdr:row>
      <xdr:rowOff>0</xdr:rowOff>
    </xdr:to>
    <xdr:sp macro="[0]!Capex" textlink="">
      <xdr:nvSpPr>
        <xdr:cNvPr id="13" name="Paralelogramo 12">
          <a:extLst>
            <a:ext uri="{FF2B5EF4-FFF2-40B4-BE49-F238E27FC236}">
              <a16:creationId xmlns:a16="http://schemas.microsoft.com/office/drawing/2014/main" id="{DCEA38C2-E675-4BA0-A72E-3754FC633A2D}"/>
            </a:ext>
          </a:extLst>
        </xdr:cNvPr>
        <xdr:cNvSpPr/>
      </xdr:nvSpPr>
      <xdr:spPr>
        <a:xfrm flipH="1">
          <a:off x="9016999" y="3029729"/>
          <a:ext cx="2921000" cy="284971"/>
        </a:xfrm>
        <a:prstGeom prst="parallelogram">
          <a:avLst>
            <a:gd name="adj" fmla="val 34523"/>
          </a:avLst>
        </a:prstGeom>
        <a:solidFill>
          <a:schemeClr val="bg1">
            <a:lumMod val="95000"/>
          </a:schemeClr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72</xdr:col>
      <xdr:colOff>46088</xdr:colOff>
      <xdr:row>29</xdr:row>
      <xdr:rowOff>57929</xdr:rowOff>
    </xdr:from>
    <xdr:to>
      <xdr:col>94</xdr:col>
      <xdr:colOff>0</xdr:colOff>
      <xdr:row>31</xdr:row>
      <xdr:rowOff>113685</xdr:rowOff>
    </xdr:to>
    <xdr:sp macro="[0]!DFC" textlink="">
      <xdr:nvSpPr>
        <xdr:cNvPr id="14" name="Paralelogramo 13">
          <a:extLst>
            <a:ext uri="{FF2B5EF4-FFF2-40B4-BE49-F238E27FC236}">
              <a16:creationId xmlns:a16="http://schemas.microsoft.com/office/drawing/2014/main" id="{2FB331A4-FEDD-491A-8B7B-219D444B7CDB}"/>
            </a:ext>
          </a:extLst>
        </xdr:cNvPr>
        <xdr:cNvSpPr/>
      </xdr:nvSpPr>
      <xdr:spPr>
        <a:xfrm flipH="1">
          <a:off x="9190088" y="3601229"/>
          <a:ext cx="2747912" cy="284356"/>
        </a:xfrm>
        <a:prstGeom prst="parallelogram">
          <a:avLst>
            <a:gd name="adj" fmla="val 34523"/>
          </a:avLst>
        </a:prstGeom>
        <a:solidFill>
          <a:schemeClr val="bg1">
            <a:lumMod val="95000"/>
          </a:schemeClr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27</xdr:col>
      <xdr:colOff>95250</xdr:colOff>
      <xdr:row>9</xdr:row>
      <xdr:rowOff>62163</xdr:rowOff>
    </xdr:from>
    <xdr:to>
      <xdr:col>75</xdr:col>
      <xdr:colOff>114300</xdr:colOff>
      <xdr:row>47</xdr:row>
      <xdr:rowOff>9525</xdr:rowOff>
    </xdr:to>
    <xdr:sp macro="" textlink="">
      <xdr:nvSpPr>
        <xdr:cNvPr id="15" name="Paralelogramo 14">
          <a:extLst>
            <a:ext uri="{FF2B5EF4-FFF2-40B4-BE49-F238E27FC236}">
              <a16:creationId xmlns:a16="http://schemas.microsoft.com/office/drawing/2014/main" id="{D697EF94-BA33-458B-A79C-80695575458C}"/>
            </a:ext>
          </a:extLst>
        </xdr:cNvPr>
        <xdr:cNvSpPr/>
      </xdr:nvSpPr>
      <xdr:spPr>
        <a:xfrm flipH="1">
          <a:off x="3524250" y="1090863"/>
          <a:ext cx="6115050" cy="4290762"/>
        </a:xfrm>
        <a:prstGeom prst="parallelogram">
          <a:avLst>
            <a:gd name="adj" fmla="val 31794"/>
          </a:avLst>
        </a:prstGeom>
        <a:solidFill>
          <a:schemeClr val="bg1">
            <a:lumMod val="95000"/>
          </a:schemeClr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35</xdr:col>
      <xdr:colOff>47622</xdr:colOff>
      <xdr:row>14</xdr:row>
      <xdr:rowOff>9525</xdr:rowOff>
    </xdr:from>
    <xdr:to>
      <xdr:col>67</xdr:col>
      <xdr:colOff>11205</xdr:colOff>
      <xdr:row>21</xdr:row>
      <xdr:rowOff>17114</xdr:rowOff>
    </xdr:to>
    <xdr:sp macro="" textlink="">
      <xdr:nvSpPr>
        <xdr:cNvPr id="16" name="Paralelogramo 15">
          <a:extLst>
            <a:ext uri="{FF2B5EF4-FFF2-40B4-BE49-F238E27FC236}">
              <a16:creationId xmlns:a16="http://schemas.microsoft.com/office/drawing/2014/main" id="{4F48A083-5A99-4278-89ED-6894DB67382D}"/>
            </a:ext>
          </a:extLst>
        </xdr:cNvPr>
        <xdr:cNvSpPr/>
      </xdr:nvSpPr>
      <xdr:spPr>
        <a:xfrm flipH="1">
          <a:off x="3969681" y="1578349"/>
          <a:ext cx="3549465" cy="792000"/>
        </a:xfrm>
        <a:prstGeom prst="parallelogram">
          <a:avLst>
            <a:gd name="adj" fmla="val 31794"/>
          </a:avLst>
        </a:prstGeom>
        <a:noFill/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lang="pt-BR" sz="1100"/>
        </a:p>
      </xdr:txBody>
    </xdr:sp>
    <xdr:clientData/>
  </xdr:twoCellAnchor>
  <xdr:twoCellAnchor>
    <xdr:from>
      <xdr:col>30</xdr:col>
      <xdr:colOff>0</xdr:colOff>
      <xdr:row>12</xdr:row>
      <xdr:rowOff>100263</xdr:rowOff>
    </xdr:from>
    <xdr:to>
      <xdr:col>39</xdr:col>
      <xdr:colOff>0</xdr:colOff>
      <xdr:row>19</xdr:row>
      <xdr:rowOff>0</xdr:rowOff>
    </xdr:to>
    <xdr:sp macro="" textlink="">
      <xdr:nvSpPr>
        <xdr:cNvPr id="17" name="Paralelogramo 16">
          <a:extLst>
            <a:ext uri="{FF2B5EF4-FFF2-40B4-BE49-F238E27FC236}">
              <a16:creationId xmlns:a16="http://schemas.microsoft.com/office/drawing/2014/main" id="{C1CABBDA-96EF-4411-98D0-6389909ECAC7}"/>
            </a:ext>
          </a:extLst>
        </xdr:cNvPr>
        <xdr:cNvSpPr/>
      </xdr:nvSpPr>
      <xdr:spPr>
        <a:xfrm flipH="1">
          <a:off x="3937000" y="1814763"/>
          <a:ext cx="1143000" cy="699837"/>
        </a:xfrm>
        <a:prstGeom prst="parallelogram">
          <a:avLst>
            <a:gd name="adj" fmla="val 31794"/>
          </a:avLst>
        </a:prstGeom>
        <a:solidFill>
          <a:schemeClr val="accent2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3D4045"/>
            </a:solidFill>
          </a:endParaRPr>
        </a:p>
      </xdr:txBody>
    </xdr:sp>
    <xdr:clientData/>
  </xdr:twoCellAnchor>
  <xdr:twoCellAnchor editAs="oneCell">
    <xdr:from>
      <xdr:col>30</xdr:col>
      <xdr:colOff>69850</xdr:colOff>
      <xdr:row>14</xdr:row>
      <xdr:rowOff>63955</xdr:rowOff>
    </xdr:from>
    <xdr:to>
      <xdr:col>38</xdr:col>
      <xdr:colOff>63500</xdr:colOff>
      <xdr:row>17</xdr:row>
      <xdr:rowOff>0</xdr:rowOff>
    </xdr:to>
    <xdr:sp macro="" textlink="">
      <xdr:nvSpPr>
        <xdr:cNvPr id="18" name="Retângulo 17">
          <a:extLst>
            <a:ext uri="{FF2B5EF4-FFF2-40B4-BE49-F238E27FC236}">
              <a16:creationId xmlns:a16="http://schemas.microsoft.com/office/drawing/2014/main" id="{3280C6D1-0E6E-4EE4-AD8D-48BFD5112A8F}"/>
            </a:ext>
          </a:extLst>
        </xdr:cNvPr>
        <xdr:cNvSpPr/>
      </xdr:nvSpPr>
      <xdr:spPr>
        <a:xfrm>
          <a:off x="3879850" y="1892755"/>
          <a:ext cx="1016000" cy="27894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400" b="1" i="0">
              <a:solidFill>
                <a:schemeClr val="bg1"/>
              </a:solidFill>
            </a:rPr>
            <a:t>MISSÃO</a:t>
          </a:r>
        </a:p>
      </xdr:txBody>
    </xdr:sp>
    <xdr:clientData/>
  </xdr:twoCellAnchor>
  <xdr:twoCellAnchor>
    <xdr:from>
      <xdr:col>37</xdr:col>
      <xdr:colOff>84418</xdr:colOff>
      <xdr:row>13</xdr:row>
      <xdr:rowOff>88900</xdr:rowOff>
    </xdr:from>
    <xdr:to>
      <xdr:col>66</xdr:col>
      <xdr:colOff>11206</xdr:colOff>
      <xdr:row>21</xdr:row>
      <xdr:rowOff>57150</xdr:rowOff>
    </xdr:to>
    <xdr:sp macro="" textlink="">
      <xdr:nvSpPr>
        <xdr:cNvPr id="19" name="CaixaDeTexto 18">
          <a:extLst>
            <a:ext uri="{FF2B5EF4-FFF2-40B4-BE49-F238E27FC236}">
              <a16:creationId xmlns:a16="http://schemas.microsoft.com/office/drawing/2014/main" id="{93403F29-6246-4E54-9EF0-931499BA3F61}"/>
            </a:ext>
          </a:extLst>
        </xdr:cNvPr>
        <xdr:cNvSpPr txBox="1"/>
      </xdr:nvSpPr>
      <xdr:spPr>
        <a:xfrm>
          <a:off x="4230594" y="1545665"/>
          <a:ext cx="3176494" cy="8647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000" b="0" i="0">
              <a:solidFill>
                <a:srgbClr val="3D4045"/>
              </a:solidFill>
              <a:effectLst/>
              <a:latin typeface="Roboto" panose="02000000000000000000"/>
              <a:ea typeface="+mn-ea"/>
              <a:cs typeface="+mn-cs"/>
            </a:rPr>
            <a:t>Oferecer</a:t>
          </a:r>
          <a:r>
            <a:rPr lang="pt-BR" sz="1000" b="0" i="0" baseline="0">
              <a:solidFill>
                <a:srgbClr val="3D4045"/>
              </a:solidFill>
              <a:effectLst/>
              <a:latin typeface="Roboto" panose="02000000000000000000"/>
              <a:ea typeface="+mn-ea"/>
              <a:cs typeface="+mn-cs"/>
            </a:rPr>
            <a:t> soluções eficazes no processamento</a:t>
          </a:r>
          <a:br>
            <a:rPr lang="pt-BR" sz="1000" b="0" i="0" baseline="0">
              <a:solidFill>
                <a:srgbClr val="3D4045"/>
              </a:solidFill>
              <a:effectLst/>
              <a:latin typeface="Roboto" panose="02000000000000000000"/>
              <a:ea typeface="+mn-ea"/>
              <a:cs typeface="+mn-cs"/>
            </a:rPr>
          </a:br>
          <a:r>
            <a:rPr lang="pt-BR" sz="1000" b="0" i="0" baseline="0">
              <a:solidFill>
                <a:srgbClr val="3D4045"/>
              </a:solidFill>
              <a:effectLst/>
              <a:latin typeface="Roboto" panose="02000000000000000000"/>
              <a:ea typeface="+mn-ea"/>
              <a:cs typeface="+mn-cs"/>
            </a:rPr>
            <a:t> </a:t>
          </a:r>
          <a:r>
            <a:rPr lang="pt-BR" sz="1000" b="1" i="0" baseline="0">
              <a:solidFill>
                <a:srgbClr val="3D4045"/>
              </a:solidFill>
              <a:effectLst/>
              <a:latin typeface="Roboto" panose="02000000000000000000"/>
              <a:ea typeface="+mn-ea"/>
              <a:cs typeface="+mn-cs"/>
            </a:rPr>
            <a:t>sustentável </a:t>
          </a:r>
          <a:r>
            <a:rPr lang="pt-BR" sz="1000" b="0" i="0" baseline="0">
              <a:solidFill>
                <a:srgbClr val="3D4045"/>
              </a:solidFill>
              <a:effectLst/>
              <a:latin typeface="Roboto" panose="02000000000000000000"/>
              <a:ea typeface="+mn-ea"/>
              <a:cs typeface="+mn-cs"/>
            </a:rPr>
            <a:t>de biomassa através de uma diversidade</a:t>
          </a:r>
          <a:br>
            <a:rPr lang="pt-BR" sz="1000" b="0" i="0" baseline="0">
              <a:solidFill>
                <a:srgbClr val="3D4045"/>
              </a:solidFill>
              <a:effectLst/>
              <a:latin typeface="Roboto" panose="02000000000000000000"/>
              <a:ea typeface="+mn-ea"/>
              <a:cs typeface="+mn-cs"/>
            </a:rPr>
          </a:br>
          <a:r>
            <a:rPr lang="pt-BR" sz="1000" b="0" i="0" baseline="0">
              <a:solidFill>
                <a:srgbClr val="3D4045"/>
              </a:solidFill>
              <a:effectLst/>
              <a:latin typeface="Roboto" panose="02000000000000000000"/>
              <a:ea typeface="+mn-ea"/>
              <a:cs typeface="+mn-cs"/>
            </a:rPr>
            <a:t>  de bioprodutos e bioenergia </a:t>
          </a:r>
          <a:r>
            <a:rPr lang="pt-BR" sz="1000" b="1" i="0" baseline="0">
              <a:solidFill>
                <a:srgbClr val="3D4045"/>
              </a:solidFill>
              <a:effectLst/>
              <a:latin typeface="Roboto" panose="02000000000000000000"/>
              <a:ea typeface="+mn-ea"/>
              <a:cs typeface="+mn-cs"/>
            </a:rPr>
            <a:t>renovável</a:t>
          </a:r>
          <a:r>
            <a:rPr lang="pt-BR" sz="1000" b="0" i="0" baseline="0">
              <a:solidFill>
                <a:srgbClr val="3D4045"/>
              </a:solidFill>
              <a:effectLst/>
              <a:latin typeface="Roboto" panose="02000000000000000000"/>
              <a:ea typeface="+mn-ea"/>
              <a:cs typeface="+mn-cs"/>
            </a:rPr>
            <a:t>, em </a:t>
          </a:r>
          <a:r>
            <a:rPr lang="pt-BR" sz="1000" b="1" i="0" baseline="0">
              <a:solidFill>
                <a:srgbClr val="3D4045"/>
              </a:solidFill>
              <a:effectLst/>
              <a:latin typeface="Roboto" panose="02000000000000000000"/>
              <a:ea typeface="+mn-ea"/>
              <a:cs typeface="+mn-cs"/>
            </a:rPr>
            <a:t>harmonia</a:t>
          </a:r>
          <a:br>
            <a:rPr lang="pt-BR" sz="1000" b="1" i="0" baseline="0">
              <a:solidFill>
                <a:srgbClr val="3D4045"/>
              </a:solidFill>
              <a:effectLst/>
              <a:latin typeface="Roboto" panose="02000000000000000000"/>
              <a:ea typeface="+mn-ea"/>
              <a:cs typeface="+mn-cs"/>
            </a:rPr>
          </a:br>
          <a:r>
            <a:rPr lang="pt-BR" sz="1000" b="1" i="0" baseline="0">
              <a:solidFill>
                <a:srgbClr val="3D4045"/>
              </a:solidFill>
              <a:effectLst/>
              <a:latin typeface="Roboto" panose="02000000000000000000"/>
              <a:ea typeface="+mn-ea"/>
              <a:cs typeface="+mn-cs"/>
            </a:rPr>
            <a:t>    </a:t>
          </a:r>
          <a:r>
            <a:rPr lang="pt-BR" sz="1000" b="0" i="0" baseline="0">
              <a:solidFill>
                <a:srgbClr val="3D4045"/>
              </a:solidFill>
              <a:effectLst/>
              <a:latin typeface="Roboto" panose="02000000000000000000"/>
              <a:ea typeface="+mn-ea"/>
              <a:cs typeface="+mn-cs"/>
            </a:rPr>
            <a:t>e respeito por funcionários, clientes, fornecedores,</a:t>
          </a:r>
          <a:br>
            <a:rPr lang="pt-BR" sz="1000" b="0" i="0" baseline="0">
              <a:solidFill>
                <a:srgbClr val="3D4045"/>
              </a:solidFill>
              <a:effectLst/>
              <a:latin typeface="Roboto" panose="02000000000000000000"/>
              <a:ea typeface="+mn-ea"/>
              <a:cs typeface="+mn-cs"/>
            </a:rPr>
          </a:br>
          <a:r>
            <a:rPr lang="pt-BR" sz="1000" b="0" i="0" baseline="0">
              <a:solidFill>
                <a:srgbClr val="3D4045"/>
              </a:solidFill>
              <a:effectLst/>
              <a:latin typeface="Roboto" panose="02000000000000000000"/>
              <a:ea typeface="+mn-ea"/>
              <a:cs typeface="+mn-cs"/>
            </a:rPr>
            <a:t>      comunidade, meio ambiente e acionistas.</a:t>
          </a:r>
          <a:endParaRPr lang="pt-BR" sz="1000" b="0">
            <a:solidFill>
              <a:srgbClr val="3D4045"/>
            </a:solidFill>
            <a:latin typeface="Roboto" panose="02000000000000000000"/>
          </a:endParaRPr>
        </a:p>
      </xdr:txBody>
    </xdr:sp>
    <xdr:clientData/>
  </xdr:twoCellAnchor>
  <xdr:twoCellAnchor>
    <xdr:from>
      <xdr:col>38</xdr:col>
      <xdr:colOff>95248</xdr:colOff>
      <xdr:row>26</xdr:row>
      <xdr:rowOff>9525</xdr:rowOff>
    </xdr:from>
    <xdr:to>
      <xdr:col>70</xdr:col>
      <xdr:colOff>89074</xdr:colOff>
      <xdr:row>33</xdr:row>
      <xdr:rowOff>17113</xdr:rowOff>
    </xdr:to>
    <xdr:sp macro="" textlink="">
      <xdr:nvSpPr>
        <xdr:cNvPr id="20" name="Paralelogramo 19">
          <a:extLst>
            <a:ext uri="{FF2B5EF4-FFF2-40B4-BE49-F238E27FC236}">
              <a16:creationId xmlns:a16="http://schemas.microsoft.com/office/drawing/2014/main" id="{B4FD93A9-714E-4FEE-B3CB-15863919CCED}"/>
            </a:ext>
          </a:extLst>
        </xdr:cNvPr>
        <xdr:cNvSpPr/>
      </xdr:nvSpPr>
      <xdr:spPr>
        <a:xfrm flipH="1">
          <a:off x="4353483" y="2923054"/>
          <a:ext cx="3579709" cy="792000"/>
        </a:xfrm>
        <a:prstGeom prst="parallelogram">
          <a:avLst>
            <a:gd name="adj" fmla="val 31794"/>
          </a:avLst>
        </a:prstGeom>
        <a:noFill/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lang="pt-BR" sz="1100"/>
        </a:p>
      </xdr:txBody>
    </xdr:sp>
    <xdr:clientData/>
  </xdr:twoCellAnchor>
  <xdr:twoCellAnchor>
    <xdr:from>
      <xdr:col>41</xdr:col>
      <xdr:colOff>76199</xdr:colOff>
      <xdr:row>38</xdr:row>
      <xdr:rowOff>47625</xdr:rowOff>
    </xdr:from>
    <xdr:to>
      <xdr:col>74</xdr:col>
      <xdr:colOff>97636</xdr:colOff>
      <xdr:row>45</xdr:row>
      <xdr:rowOff>55213</xdr:rowOff>
    </xdr:to>
    <xdr:sp macro="" textlink="">
      <xdr:nvSpPr>
        <xdr:cNvPr id="22" name="Paralelogramo 21">
          <a:extLst>
            <a:ext uri="{FF2B5EF4-FFF2-40B4-BE49-F238E27FC236}">
              <a16:creationId xmlns:a16="http://schemas.microsoft.com/office/drawing/2014/main" id="{EA14C18B-04C5-41AD-A700-66F4DF1DA24B}"/>
            </a:ext>
          </a:extLst>
        </xdr:cNvPr>
        <xdr:cNvSpPr/>
      </xdr:nvSpPr>
      <xdr:spPr>
        <a:xfrm flipH="1">
          <a:off x="4670611" y="4305860"/>
          <a:ext cx="3719378" cy="792000"/>
        </a:xfrm>
        <a:prstGeom prst="parallelogram">
          <a:avLst>
            <a:gd name="adj" fmla="val 31794"/>
          </a:avLst>
        </a:prstGeom>
        <a:noFill/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pt-BR" sz="1100">
            <a:solidFill>
              <a:schemeClr val="bg1">
                <a:lumMod val="95000"/>
              </a:schemeClr>
            </a:solidFill>
          </a:endParaRPr>
        </a:p>
      </xdr:txBody>
    </xdr:sp>
    <xdr:clientData/>
  </xdr:twoCellAnchor>
  <xdr:twoCellAnchor>
    <xdr:from>
      <xdr:col>33</xdr:col>
      <xdr:colOff>88900</xdr:colOff>
      <xdr:row>25</xdr:row>
      <xdr:rowOff>0</xdr:rowOff>
    </xdr:from>
    <xdr:to>
      <xdr:col>42</xdr:col>
      <xdr:colOff>69852</xdr:colOff>
      <xdr:row>31</xdr:row>
      <xdr:rowOff>14037</xdr:rowOff>
    </xdr:to>
    <xdr:sp macro="" textlink="">
      <xdr:nvSpPr>
        <xdr:cNvPr id="24" name="Paralelogramo 23">
          <a:extLst>
            <a:ext uri="{FF2B5EF4-FFF2-40B4-BE49-F238E27FC236}">
              <a16:creationId xmlns:a16="http://schemas.microsoft.com/office/drawing/2014/main" id="{975B9B00-FCD7-407C-BF8F-94E4F428267C}"/>
            </a:ext>
          </a:extLst>
        </xdr:cNvPr>
        <xdr:cNvSpPr/>
      </xdr:nvSpPr>
      <xdr:spPr>
        <a:xfrm flipH="1">
          <a:off x="4279900" y="3086100"/>
          <a:ext cx="1123952" cy="699837"/>
        </a:xfrm>
        <a:prstGeom prst="parallelogram">
          <a:avLst>
            <a:gd name="adj" fmla="val 31794"/>
          </a:avLst>
        </a:prstGeom>
        <a:solidFill>
          <a:schemeClr val="accent2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3D4045"/>
            </a:solidFill>
          </a:endParaRPr>
        </a:p>
      </xdr:txBody>
    </xdr:sp>
    <xdr:clientData/>
  </xdr:twoCellAnchor>
  <xdr:twoCellAnchor>
    <xdr:from>
      <xdr:col>37</xdr:col>
      <xdr:colOff>0</xdr:colOff>
      <xdr:row>36</xdr:row>
      <xdr:rowOff>100263</xdr:rowOff>
    </xdr:from>
    <xdr:to>
      <xdr:col>45</xdr:col>
      <xdr:colOff>107952</xdr:colOff>
      <xdr:row>43</xdr:row>
      <xdr:rowOff>0</xdr:rowOff>
    </xdr:to>
    <xdr:sp macro="" textlink="">
      <xdr:nvSpPr>
        <xdr:cNvPr id="25" name="Paralelogramo 24">
          <a:extLst>
            <a:ext uri="{FF2B5EF4-FFF2-40B4-BE49-F238E27FC236}">
              <a16:creationId xmlns:a16="http://schemas.microsoft.com/office/drawing/2014/main" id="{F3C18542-7C97-4208-A527-FDC7FB459273}"/>
            </a:ext>
          </a:extLst>
        </xdr:cNvPr>
        <xdr:cNvSpPr/>
      </xdr:nvSpPr>
      <xdr:spPr>
        <a:xfrm flipH="1">
          <a:off x="4699000" y="4443663"/>
          <a:ext cx="1123952" cy="699837"/>
        </a:xfrm>
        <a:prstGeom prst="parallelogram">
          <a:avLst>
            <a:gd name="adj" fmla="val 31794"/>
          </a:avLst>
        </a:prstGeom>
        <a:solidFill>
          <a:schemeClr val="accent2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3D4045"/>
            </a:solidFill>
          </a:endParaRPr>
        </a:p>
      </xdr:txBody>
    </xdr:sp>
    <xdr:clientData/>
  </xdr:twoCellAnchor>
  <xdr:twoCellAnchor editAs="oneCell">
    <xdr:from>
      <xdr:col>34</xdr:col>
      <xdr:colOff>12700</xdr:colOff>
      <xdr:row>26</xdr:row>
      <xdr:rowOff>104775</xdr:rowOff>
    </xdr:from>
    <xdr:to>
      <xdr:col>42</xdr:col>
      <xdr:colOff>6350</xdr:colOff>
      <xdr:row>29</xdr:row>
      <xdr:rowOff>40820</xdr:rowOff>
    </xdr:to>
    <xdr:sp macro="" textlink="">
      <xdr:nvSpPr>
        <xdr:cNvPr id="26" name="Retângulo 25">
          <a:extLst>
            <a:ext uri="{FF2B5EF4-FFF2-40B4-BE49-F238E27FC236}">
              <a16:creationId xmlns:a16="http://schemas.microsoft.com/office/drawing/2014/main" id="{11F64E2D-CA20-4D2A-BBBA-E417DA096719}"/>
            </a:ext>
          </a:extLst>
        </xdr:cNvPr>
        <xdr:cNvSpPr/>
      </xdr:nvSpPr>
      <xdr:spPr>
        <a:xfrm>
          <a:off x="4330700" y="3305175"/>
          <a:ext cx="1016000" cy="27894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400" b="1" i="0">
              <a:solidFill>
                <a:schemeClr val="bg1"/>
              </a:solidFill>
            </a:rPr>
            <a:t>VISÃO</a:t>
          </a:r>
        </a:p>
      </xdr:txBody>
    </xdr:sp>
    <xdr:clientData/>
  </xdr:twoCellAnchor>
  <xdr:twoCellAnchor editAs="oneCell">
    <xdr:from>
      <xdr:col>36</xdr:col>
      <xdr:colOff>119061</xdr:colOff>
      <xdr:row>38</xdr:row>
      <xdr:rowOff>48079</xdr:rowOff>
    </xdr:from>
    <xdr:to>
      <xdr:col>45</xdr:col>
      <xdr:colOff>79373</xdr:colOff>
      <xdr:row>41</xdr:row>
      <xdr:rowOff>39687</xdr:rowOff>
    </xdr:to>
    <xdr:sp macro="" textlink="">
      <xdr:nvSpPr>
        <xdr:cNvPr id="27" name="Retângulo 26">
          <a:extLst>
            <a:ext uri="{FF2B5EF4-FFF2-40B4-BE49-F238E27FC236}">
              <a16:creationId xmlns:a16="http://schemas.microsoft.com/office/drawing/2014/main" id="{01FBF7DA-6039-4826-89E7-833383E38CE7}"/>
            </a:ext>
          </a:extLst>
        </xdr:cNvPr>
        <xdr:cNvSpPr/>
      </xdr:nvSpPr>
      <xdr:spPr>
        <a:xfrm>
          <a:off x="4405311" y="4270829"/>
          <a:ext cx="1031875" cy="32498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400" b="1" i="0">
              <a:solidFill>
                <a:schemeClr val="bg1"/>
              </a:solidFill>
            </a:rPr>
            <a:t>VALORES</a:t>
          </a:r>
        </a:p>
      </xdr:txBody>
    </xdr:sp>
    <xdr:clientData/>
  </xdr:twoCellAnchor>
  <xdr:twoCellAnchor>
    <xdr:from>
      <xdr:col>0</xdr:col>
      <xdr:colOff>0</xdr:colOff>
      <xdr:row>1</xdr:row>
      <xdr:rowOff>6351</xdr:rowOff>
    </xdr:from>
    <xdr:to>
      <xdr:col>10</xdr:col>
      <xdr:colOff>114492</xdr:colOff>
      <xdr:row>11</xdr:row>
      <xdr:rowOff>12701</xdr:rowOff>
    </xdr:to>
    <xdr:pic>
      <xdr:nvPicPr>
        <xdr:cNvPr id="60" name="Imagem 59" descr="Resultado de imagem para uisa logo">
          <a:extLst>
            <a:ext uri="{FF2B5EF4-FFF2-40B4-BE49-F238E27FC236}">
              <a16:creationId xmlns:a16="http://schemas.microsoft.com/office/drawing/2014/main" id="{C8966135-C5E2-4D10-865F-909D428EEC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alphaModFix amt="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r="77424" b="20137"/>
        <a:stretch/>
      </xdr:blipFill>
      <xdr:spPr bwMode="auto">
        <a:xfrm>
          <a:off x="0" y="117476"/>
          <a:ext cx="1305117" cy="111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97693</xdr:colOff>
      <xdr:row>1</xdr:row>
      <xdr:rowOff>15875</xdr:rowOff>
    </xdr:from>
    <xdr:to>
      <xdr:col>15</xdr:col>
      <xdr:colOff>8682</xdr:colOff>
      <xdr:row>7</xdr:row>
      <xdr:rowOff>19123</xdr:rowOff>
    </xdr:to>
    <xdr:pic>
      <xdr:nvPicPr>
        <xdr:cNvPr id="61" name="Imagem 60" descr="Resultado de imagem para uisa logo">
          <a:extLst>
            <a:ext uri="{FF2B5EF4-FFF2-40B4-BE49-F238E27FC236}">
              <a16:creationId xmlns:a16="http://schemas.microsoft.com/office/drawing/2014/main" id="{57B9E5F5-8CAD-46D7-BF89-77DB850FF7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alphaModFix amt="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r="77424" b="20137"/>
        <a:stretch/>
      </xdr:blipFill>
      <xdr:spPr bwMode="auto">
        <a:xfrm rot="10800000">
          <a:off x="1050193" y="127000"/>
          <a:ext cx="744427" cy="6699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22</xdr:col>
      <xdr:colOff>9525</xdr:colOff>
      <xdr:row>0</xdr:row>
      <xdr:rowOff>0</xdr:rowOff>
    </xdr:from>
    <xdr:to>
      <xdr:col>36</xdr:col>
      <xdr:colOff>66675</xdr:colOff>
      <xdr:row>49</xdr:row>
      <xdr:rowOff>28575</xdr:rowOff>
    </xdr:to>
    <xdr:cxnSp macro="">
      <xdr:nvCxnSpPr>
        <xdr:cNvPr id="6" name="Conector reto 5">
          <a:extLst>
            <a:ext uri="{FF2B5EF4-FFF2-40B4-BE49-F238E27FC236}">
              <a16:creationId xmlns:a16="http://schemas.microsoft.com/office/drawing/2014/main" id="{B4055EB5-B58B-485E-A33D-04B21D4AAC70}"/>
            </a:ext>
          </a:extLst>
        </xdr:cNvPr>
        <xdr:cNvCxnSpPr/>
      </xdr:nvCxnSpPr>
      <xdr:spPr>
        <a:xfrm>
          <a:off x="2524125" y="0"/>
          <a:ext cx="1657350" cy="5629275"/>
        </a:xfrm>
        <a:prstGeom prst="line">
          <a:avLst/>
        </a:prstGeom>
        <a:ln w="38100">
          <a:solidFill>
            <a:schemeClr val="bg1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69</xdr:col>
      <xdr:colOff>72906</xdr:colOff>
      <xdr:row>19</xdr:row>
      <xdr:rowOff>59120</xdr:rowOff>
    </xdr:from>
    <xdr:to>
      <xdr:col>94</xdr:col>
      <xdr:colOff>0</xdr:colOff>
      <xdr:row>22</xdr:row>
      <xdr:rowOff>0</xdr:rowOff>
    </xdr:to>
    <xdr:sp macro="" textlink="">
      <xdr:nvSpPr>
        <xdr:cNvPr id="64" name="Paralelogramo 63">
          <a:extLst>
            <a:ext uri="{FF2B5EF4-FFF2-40B4-BE49-F238E27FC236}">
              <a16:creationId xmlns:a16="http://schemas.microsoft.com/office/drawing/2014/main" id="{EC15D379-B639-4F7D-92E0-0D5B1983E10E}"/>
            </a:ext>
          </a:extLst>
        </xdr:cNvPr>
        <xdr:cNvSpPr/>
      </xdr:nvSpPr>
      <xdr:spPr>
        <a:xfrm flipH="1">
          <a:off x="8835906" y="2459420"/>
          <a:ext cx="3102094" cy="283780"/>
        </a:xfrm>
        <a:prstGeom prst="parallelogram">
          <a:avLst>
            <a:gd name="adj" fmla="val 34523"/>
          </a:avLst>
        </a:prstGeom>
        <a:solidFill>
          <a:schemeClr val="bg1">
            <a:lumMod val="95000"/>
          </a:schemeClr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74</xdr:col>
      <xdr:colOff>0</xdr:colOff>
      <xdr:row>34</xdr:row>
      <xdr:rowOff>59120</xdr:rowOff>
    </xdr:from>
    <xdr:to>
      <xdr:col>94</xdr:col>
      <xdr:colOff>0</xdr:colOff>
      <xdr:row>37</xdr:row>
      <xdr:rowOff>0</xdr:rowOff>
    </xdr:to>
    <xdr:sp macro="[0]!Performance" textlink="">
      <xdr:nvSpPr>
        <xdr:cNvPr id="65" name="Paralelogramo 64">
          <a:extLst>
            <a:ext uri="{FF2B5EF4-FFF2-40B4-BE49-F238E27FC236}">
              <a16:creationId xmlns:a16="http://schemas.microsoft.com/office/drawing/2014/main" id="{386A73BB-1BA8-4EB1-B549-5A06A8177143}"/>
            </a:ext>
          </a:extLst>
        </xdr:cNvPr>
        <xdr:cNvSpPr/>
      </xdr:nvSpPr>
      <xdr:spPr>
        <a:xfrm flipH="1">
          <a:off x="9398000" y="4173920"/>
          <a:ext cx="2540000" cy="283780"/>
        </a:xfrm>
        <a:prstGeom prst="parallelogram">
          <a:avLst>
            <a:gd name="adj" fmla="val 34523"/>
          </a:avLst>
        </a:prstGeom>
        <a:solidFill>
          <a:schemeClr val="bg1">
            <a:lumMod val="95000"/>
          </a:schemeClr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66</xdr:col>
      <xdr:colOff>63500</xdr:colOff>
      <xdr:row>9</xdr:row>
      <xdr:rowOff>76200</xdr:rowOff>
    </xdr:from>
    <xdr:to>
      <xdr:col>93</xdr:col>
      <xdr:colOff>0</xdr:colOff>
      <xdr:row>12</xdr:row>
      <xdr:rowOff>25400</xdr:rowOff>
    </xdr:to>
    <xdr:sp macro="[0]!DRE" textlink="">
      <xdr:nvSpPr>
        <xdr:cNvPr id="72" name="Retângulo 7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682C028-081A-4265-AB89-B9A46DE1879F}"/>
            </a:ext>
          </a:extLst>
        </xdr:cNvPr>
        <xdr:cNvSpPr/>
      </xdr:nvSpPr>
      <xdr:spPr>
        <a:xfrm>
          <a:off x="8445500" y="1333500"/>
          <a:ext cx="3365500" cy="2921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200" b="1">
              <a:solidFill>
                <a:srgbClr val="3D4045"/>
              </a:solidFill>
              <a:latin typeface="Roboto" panose="02000000000000000000"/>
            </a:rPr>
            <a:t>   1.</a:t>
          </a:r>
          <a:r>
            <a:rPr lang="pt-BR" sz="1200" baseline="0">
              <a:solidFill>
                <a:srgbClr val="3D4045"/>
              </a:solidFill>
              <a:latin typeface="Roboto" panose="02000000000000000000"/>
            </a:rPr>
            <a:t> Demonstração do Resultado</a:t>
          </a:r>
          <a:endParaRPr lang="pt-BR" sz="1200">
            <a:solidFill>
              <a:srgbClr val="3D4045"/>
            </a:solidFill>
            <a:latin typeface="Roboto" panose="02000000000000000000"/>
          </a:endParaRPr>
        </a:p>
      </xdr:txBody>
    </xdr:sp>
    <xdr:clientData/>
  </xdr:twoCellAnchor>
  <xdr:twoCellAnchor>
    <xdr:from>
      <xdr:col>68</xdr:col>
      <xdr:colOff>25400</xdr:colOff>
      <xdr:row>14</xdr:row>
      <xdr:rowOff>76200</xdr:rowOff>
    </xdr:from>
    <xdr:to>
      <xdr:col>94</xdr:col>
      <xdr:colOff>6350</xdr:colOff>
      <xdr:row>17</xdr:row>
      <xdr:rowOff>25400</xdr:rowOff>
    </xdr:to>
    <xdr:sp macro="[0]!BP" textlink="">
      <xdr:nvSpPr>
        <xdr:cNvPr id="73" name="Retângulo 7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9152C84-06CC-494B-9521-1EA45C0F4814}"/>
            </a:ext>
          </a:extLst>
        </xdr:cNvPr>
        <xdr:cNvSpPr/>
      </xdr:nvSpPr>
      <xdr:spPr>
        <a:xfrm>
          <a:off x="8661400" y="1905000"/>
          <a:ext cx="3282950" cy="2921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200" b="1">
              <a:solidFill>
                <a:srgbClr val="3D4045"/>
              </a:solidFill>
              <a:latin typeface="Roboto" panose="02000000000000000000"/>
            </a:rPr>
            <a:t> </a:t>
          </a:r>
          <a:r>
            <a:rPr lang="pt-BR" sz="1200" b="1" baseline="0">
              <a:solidFill>
                <a:srgbClr val="3D4045"/>
              </a:solidFill>
              <a:latin typeface="Roboto" panose="02000000000000000000"/>
            </a:rPr>
            <a:t> </a:t>
          </a:r>
          <a:r>
            <a:rPr lang="pt-BR" sz="1200" b="1">
              <a:solidFill>
                <a:srgbClr val="3D4045"/>
              </a:solidFill>
              <a:latin typeface="Roboto" panose="02000000000000000000"/>
            </a:rPr>
            <a:t>2.</a:t>
          </a:r>
          <a:r>
            <a:rPr lang="pt-BR" sz="1200" baseline="0">
              <a:solidFill>
                <a:srgbClr val="3D4045"/>
              </a:solidFill>
              <a:latin typeface="Roboto" panose="02000000000000000000"/>
            </a:rPr>
            <a:t> Balanço Patrimonial</a:t>
          </a:r>
          <a:endParaRPr lang="pt-BR" sz="1200">
            <a:solidFill>
              <a:srgbClr val="3D4045"/>
            </a:solidFill>
            <a:latin typeface="Roboto" panose="02000000000000000000"/>
          </a:endParaRPr>
        </a:p>
      </xdr:txBody>
    </xdr:sp>
    <xdr:clientData/>
  </xdr:twoCellAnchor>
  <xdr:twoCellAnchor>
    <xdr:from>
      <xdr:col>71</xdr:col>
      <xdr:colOff>27214</xdr:colOff>
      <xdr:row>24</xdr:row>
      <xdr:rowOff>59871</xdr:rowOff>
    </xdr:from>
    <xdr:to>
      <xdr:col>95</xdr:col>
      <xdr:colOff>78015</xdr:colOff>
      <xdr:row>27</xdr:row>
      <xdr:rowOff>9072</xdr:rowOff>
    </xdr:to>
    <xdr:sp macro="[0]!Endividamento" textlink="">
      <xdr:nvSpPr>
        <xdr:cNvPr id="74" name="Retângulo 7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12F73B9-1949-4F3F-881A-DE3FC526C595}"/>
            </a:ext>
          </a:extLst>
        </xdr:cNvPr>
        <xdr:cNvSpPr/>
      </xdr:nvSpPr>
      <xdr:spPr>
        <a:xfrm>
          <a:off x="8400143" y="2890157"/>
          <a:ext cx="2881086" cy="30298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200" b="1">
              <a:solidFill>
                <a:srgbClr val="3D4045"/>
              </a:solidFill>
              <a:latin typeface="Roboto" panose="02000000000000000000"/>
            </a:rPr>
            <a:t> </a:t>
          </a:r>
          <a:r>
            <a:rPr lang="pt-BR" sz="1200" b="1" baseline="0">
              <a:solidFill>
                <a:srgbClr val="3D4045"/>
              </a:solidFill>
              <a:latin typeface="Roboto" panose="02000000000000000000"/>
            </a:rPr>
            <a:t> 4</a:t>
          </a:r>
          <a:r>
            <a:rPr lang="pt-BR" sz="1200" b="1">
              <a:solidFill>
                <a:srgbClr val="3D4045"/>
              </a:solidFill>
              <a:latin typeface="Roboto" panose="02000000000000000000"/>
            </a:rPr>
            <a:t>.</a:t>
          </a:r>
          <a:r>
            <a:rPr lang="pt-BR" sz="1200" baseline="0">
              <a:solidFill>
                <a:srgbClr val="3D4045"/>
              </a:solidFill>
              <a:latin typeface="Roboto" panose="02000000000000000000"/>
            </a:rPr>
            <a:t> Endividamento</a:t>
          </a:r>
          <a:endParaRPr lang="pt-BR" sz="1200">
            <a:solidFill>
              <a:srgbClr val="3D4045"/>
            </a:solidFill>
            <a:latin typeface="Roboto" panose="02000000000000000000"/>
          </a:endParaRPr>
        </a:p>
      </xdr:txBody>
    </xdr:sp>
    <xdr:clientData/>
  </xdr:twoCellAnchor>
  <xdr:twoCellAnchor>
    <xdr:from>
      <xdr:col>72</xdr:col>
      <xdr:colOff>45358</xdr:colOff>
      <xdr:row>29</xdr:row>
      <xdr:rowOff>50800</xdr:rowOff>
    </xdr:from>
    <xdr:to>
      <xdr:col>95</xdr:col>
      <xdr:colOff>16329</xdr:colOff>
      <xdr:row>32</xdr:row>
      <xdr:rowOff>0</xdr:rowOff>
    </xdr:to>
    <xdr:sp macro="[0]!Capex" textlink="">
      <xdr:nvSpPr>
        <xdr:cNvPr id="75" name="Retângulo 7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58B05F2-5B2F-45DA-8149-42C98752F394}"/>
            </a:ext>
          </a:extLst>
        </xdr:cNvPr>
        <xdr:cNvSpPr/>
      </xdr:nvSpPr>
      <xdr:spPr>
        <a:xfrm>
          <a:off x="8536215" y="3470729"/>
          <a:ext cx="2683328" cy="30298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200" b="1">
              <a:solidFill>
                <a:srgbClr val="3D4045"/>
              </a:solidFill>
              <a:latin typeface="Roboto" panose="02000000000000000000"/>
            </a:rPr>
            <a:t> </a:t>
          </a:r>
          <a:r>
            <a:rPr lang="pt-BR" sz="1200" b="1" baseline="0">
              <a:solidFill>
                <a:srgbClr val="3D4045"/>
              </a:solidFill>
              <a:latin typeface="Roboto" panose="02000000000000000000"/>
            </a:rPr>
            <a:t> 5</a:t>
          </a:r>
          <a:r>
            <a:rPr lang="pt-BR" sz="1200" b="1">
              <a:solidFill>
                <a:srgbClr val="3D4045"/>
              </a:solidFill>
              <a:latin typeface="Roboto" panose="02000000000000000000"/>
            </a:rPr>
            <a:t>.</a:t>
          </a:r>
          <a:r>
            <a:rPr lang="pt-BR" sz="1200" baseline="0">
              <a:solidFill>
                <a:srgbClr val="3D4045"/>
              </a:solidFill>
              <a:latin typeface="Roboto" panose="02000000000000000000"/>
            </a:rPr>
            <a:t> Capex</a:t>
          </a:r>
          <a:endParaRPr lang="pt-BR" sz="1200">
            <a:solidFill>
              <a:srgbClr val="3D4045"/>
            </a:solidFill>
            <a:latin typeface="Roboto" panose="02000000000000000000"/>
          </a:endParaRPr>
        </a:p>
      </xdr:txBody>
    </xdr:sp>
    <xdr:clientData/>
  </xdr:twoCellAnchor>
  <xdr:twoCellAnchor>
    <xdr:from>
      <xdr:col>69</xdr:col>
      <xdr:colOff>116115</xdr:colOff>
      <xdr:row>19</xdr:row>
      <xdr:rowOff>68943</xdr:rowOff>
    </xdr:from>
    <xdr:to>
      <xdr:col>91</xdr:col>
      <xdr:colOff>68036</xdr:colOff>
      <xdr:row>22</xdr:row>
      <xdr:rowOff>18142</xdr:rowOff>
    </xdr:to>
    <xdr:sp macro="[0]!DFC" textlink="">
      <xdr:nvSpPr>
        <xdr:cNvPr id="76" name="Retângulo 7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832681F-E17F-4887-9B39-A401EC276051}"/>
            </a:ext>
          </a:extLst>
        </xdr:cNvPr>
        <xdr:cNvSpPr/>
      </xdr:nvSpPr>
      <xdr:spPr>
        <a:xfrm>
          <a:off x="8253186" y="2309586"/>
          <a:ext cx="2546350" cy="30298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200" b="1">
              <a:solidFill>
                <a:srgbClr val="3D4045"/>
              </a:solidFill>
              <a:latin typeface="Roboto" panose="02000000000000000000"/>
            </a:rPr>
            <a:t> </a:t>
          </a:r>
          <a:r>
            <a:rPr lang="pt-BR" sz="1200" b="1" baseline="0">
              <a:solidFill>
                <a:srgbClr val="3D4045"/>
              </a:solidFill>
              <a:latin typeface="Roboto" panose="02000000000000000000"/>
            </a:rPr>
            <a:t> 3</a:t>
          </a:r>
          <a:r>
            <a:rPr lang="pt-BR" sz="1200" b="1">
              <a:solidFill>
                <a:srgbClr val="3D4045"/>
              </a:solidFill>
              <a:latin typeface="Roboto" panose="02000000000000000000"/>
            </a:rPr>
            <a:t>.</a:t>
          </a:r>
          <a:r>
            <a:rPr lang="pt-BR" sz="1200" baseline="0">
              <a:solidFill>
                <a:srgbClr val="3D4045"/>
              </a:solidFill>
              <a:latin typeface="Roboto" panose="02000000000000000000"/>
            </a:rPr>
            <a:t> Fluxo de Caixa </a:t>
          </a:r>
          <a:endParaRPr lang="pt-BR" sz="1200">
            <a:solidFill>
              <a:srgbClr val="3D4045"/>
            </a:solidFill>
            <a:latin typeface="Roboto" panose="02000000000000000000"/>
          </a:endParaRPr>
        </a:p>
      </xdr:txBody>
    </xdr:sp>
    <xdr:clientData/>
  </xdr:twoCellAnchor>
  <xdr:twoCellAnchor>
    <xdr:from>
      <xdr:col>75</xdr:col>
      <xdr:colOff>6350</xdr:colOff>
      <xdr:row>39</xdr:row>
      <xdr:rowOff>57150</xdr:rowOff>
    </xdr:from>
    <xdr:to>
      <xdr:col>93</xdr:col>
      <xdr:colOff>0</xdr:colOff>
      <xdr:row>42</xdr:row>
      <xdr:rowOff>6350</xdr:rowOff>
    </xdr:to>
    <xdr:sp macro="[0]!DadosSF" textlink="">
      <xdr:nvSpPr>
        <xdr:cNvPr id="77" name="Retângulo 7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D43F7FD-741F-4400-9623-4D8F09FB60F2}"/>
            </a:ext>
          </a:extLst>
        </xdr:cNvPr>
        <xdr:cNvSpPr/>
      </xdr:nvSpPr>
      <xdr:spPr>
        <a:xfrm>
          <a:off x="9531350" y="4514850"/>
          <a:ext cx="2279650" cy="2921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200" b="1">
              <a:solidFill>
                <a:srgbClr val="3D4045"/>
              </a:solidFill>
              <a:latin typeface="Roboto" panose="02000000000000000000"/>
            </a:rPr>
            <a:t> </a:t>
          </a:r>
          <a:r>
            <a:rPr lang="pt-BR" sz="1200" b="1" baseline="0">
              <a:solidFill>
                <a:srgbClr val="3D4045"/>
              </a:solidFill>
              <a:latin typeface="Roboto" panose="02000000000000000000"/>
            </a:rPr>
            <a:t> </a:t>
          </a:r>
          <a:r>
            <a:rPr lang="pt-BR" sz="1200" b="1">
              <a:solidFill>
                <a:srgbClr val="3D4045"/>
              </a:solidFill>
              <a:latin typeface="Roboto" panose="02000000000000000000"/>
            </a:rPr>
            <a:t>7.</a:t>
          </a:r>
          <a:r>
            <a:rPr lang="pt-BR" sz="1200" baseline="0">
              <a:solidFill>
                <a:srgbClr val="3D4045"/>
              </a:solidFill>
              <a:latin typeface="Roboto" panose="02000000000000000000"/>
            </a:rPr>
            <a:t> Dados Operacionais</a:t>
          </a:r>
          <a:endParaRPr lang="pt-BR" sz="1200">
            <a:solidFill>
              <a:srgbClr val="3D4045"/>
            </a:solidFill>
            <a:latin typeface="Roboto" panose="02000000000000000000"/>
          </a:endParaRPr>
        </a:p>
      </xdr:txBody>
    </xdr:sp>
    <xdr:clientData/>
  </xdr:twoCellAnchor>
  <xdr:twoCellAnchor>
    <xdr:from>
      <xdr:col>73</xdr:col>
      <xdr:colOff>120650</xdr:colOff>
      <xdr:row>34</xdr:row>
      <xdr:rowOff>57150</xdr:rowOff>
    </xdr:from>
    <xdr:to>
      <xdr:col>93</xdr:col>
      <xdr:colOff>82550</xdr:colOff>
      <xdr:row>37</xdr:row>
      <xdr:rowOff>6350</xdr:rowOff>
    </xdr:to>
    <xdr:sp macro="[0]!Performance" textlink="">
      <xdr:nvSpPr>
        <xdr:cNvPr id="78" name="Retângulo 7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F8D3C8F9-F666-497A-A02F-5A5ACFD7164B}"/>
            </a:ext>
          </a:extLst>
        </xdr:cNvPr>
        <xdr:cNvSpPr/>
      </xdr:nvSpPr>
      <xdr:spPr>
        <a:xfrm>
          <a:off x="9391650" y="3943350"/>
          <a:ext cx="2501900" cy="2921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200" b="1">
              <a:solidFill>
                <a:srgbClr val="3D4045"/>
              </a:solidFill>
              <a:latin typeface="Roboto" panose="02000000000000000000"/>
            </a:rPr>
            <a:t> </a:t>
          </a:r>
          <a:r>
            <a:rPr lang="pt-BR" sz="1200" b="1" baseline="0">
              <a:solidFill>
                <a:srgbClr val="3D4045"/>
              </a:solidFill>
              <a:latin typeface="Roboto" panose="02000000000000000000"/>
            </a:rPr>
            <a:t> </a:t>
          </a:r>
          <a:r>
            <a:rPr lang="pt-BR" sz="1200" b="1">
              <a:solidFill>
                <a:srgbClr val="3D4045"/>
              </a:solidFill>
              <a:latin typeface="Roboto" panose="02000000000000000000"/>
            </a:rPr>
            <a:t>6.</a:t>
          </a:r>
          <a:r>
            <a:rPr lang="pt-BR" sz="1200" baseline="0">
              <a:solidFill>
                <a:srgbClr val="3D4045"/>
              </a:solidFill>
              <a:latin typeface="Roboto" panose="02000000000000000000"/>
            </a:rPr>
            <a:t> Performance</a:t>
          </a:r>
          <a:endParaRPr lang="pt-BR" sz="1200">
            <a:solidFill>
              <a:srgbClr val="3D4045"/>
            </a:solidFill>
            <a:latin typeface="Roboto" panose="02000000000000000000"/>
          </a:endParaRPr>
        </a:p>
      </xdr:txBody>
    </xdr:sp>
    <xdr:clientData/>
  </xdr:twoCellAnchor>
  <xdr:twoCellAnchor>
    <xdr:from>
      <xdr:col>76</xdr:col>
      <xdr:colOff>50800</xdr:colOff>
      <xdr:row>44</xdr:row>
      <xdr:rowOff>63500</xdr:rowOff>
    </xdr:from>
    <xdr:to>
      <xdr:col>93</xdr:col>
      <xdr:colOff>19050</xdr:colOff>
      <xdr:row>47</xdr:row>
      <xdr:rowOff>12700</xdr:rowOff>
    </xdr:to>
    <xdr:sp macro="[0]!Dashboard" textlink="">
      <xdr:nvSpPr>
        <xdr:cNvPr id="79" name="Retângulo 7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50D705F-1B97-42A0-94ED-8FB4AA980157}"/>
            </a:ext>
          </a:extLst>
        </xdr:cNvPr>
        <xdr:cNvSpPr/>
      </xdr:nvSpPr>
      <xdr:spPr>
        <a:xfrm>
          <a:off x="9702800" y="5092700"/>
          <a:ext cx="2127250" cy="2921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200" b="1">
              <a:solidFill>
                <a:srgbClr val="3D4045"/>
              </a:solidFill>
              <a:latin typeface="Roboto" panose="02000000000000000000"/>
            </a:rPr>
            <a:t> </a:t>
          </a:r>
          <a:r>
            <a:rPr lang="pt-BR" sz="1200" b="1" baseline="0">
              <a:solidFill>
                <a:srgbClr val="3D4045"/>
              </a:solidFill>
              <a:latin typeface="Roboto" panose="02000000000000000000"/>
            </a:rPr>
            <a:t> </a:t>
          </a:r>
          <a:r>
            <a:rPr lang="pt-BR" sz="1200" b="1">
              <a:solidFill>
                <a:srgbClr val="3D4045"/>
              </a:solidFill>
              <a:latin typeface="Roboto" panose="02000000000000000000"/>
            </a:rPr>
            <a:t>8.</a:t>
          </a:r>
          <a:r>
            <a:rPr lang="pt-BR" sz="1200" baseline="0">
              <a:solidFill>
                <a:srgbClr val="3D4045"/>
              </a:solidFill>
              <a:latin typeface="Roboto" panose="02000000000000000000"/>
            </a:rPr>
            <a:t> </a:t>
          </a:r>
          <a:r>
            <a:rPr lang="pt-BR" sz="1200" i="1" baseline="0">
              <a:solidFill>
                <a:srgbClr val="3D4045"/>
              </a:solidFill>
              <a:latin typeface="Roboto" panose="02000000000000000000"/>
            </a:rPr>
            <a:t>Dashboard</a:t>
          </a:r>
          <a:endParaRPr lang="pt-BR" sz="1200" i="1">
            <a:solidFill>
              <a:srgbClr val="3D4045"/>
            </a:solidFill>
            <a:latin typeface="Roboto" panose="02000000000000000000"/>
          </a:endParaRPr>
        </a:p>
      </xdr:txBody>
    </xdr:sp>
    <xdr:clientData/>
  </xdr:twoCellAnchor>
  <xdr:twoCellAnchor>
    <xdr:from>
      <xdr:col>1</xdr:col>
      <xdr:colOff>76200</xdr:colOff>
      <xdr:row>38</xdr:row>
      <xdr:rowOff>85725</xdr:rowOff>
    </xdr:from>
    <xdr:to>
      <xdr:col>12</xdr:col>
      <xdr:colOff>76200</xdr:colOff>
      <xdr:row>48</xdr:row>
      <xdr:rowOff>95250</xdr:rowOff>
    </xdr:to>
    <xdr:sp macro="" textlink="">
      <xdr:nvSpPr>
        <xdr:cNvPr id="88" name="Retângulo 87">
          <a:extLst>
            <a:ext uri="{FF2B5EF4-FFF2-40B4-BE49-F238E27FC236}">
              <a16:creationId xmlns:a16="http://schemas.microsoft.com/office/drawing/2014/main" id="{52F2CE44-6559-49D5-9D84-3E1CCA21ACB6}"/>
            </a:ext>
          </a:extLst>
        </xdr:cNvPr>
        <xdr:cNvSpPr/>
      </xdr:nvSpPr>
      <xdr:spPr>
        <a:xfrm>
          <a:off x="188259" y="4343960"/>
          <a:ext cx="1232647" cy="113011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8000" b="1" i="0">
              <a:solidFill>
                <a:schemeClr val="bg1"/>
              </a:solidFill>
              <a:latin typeface="Bodoni MT Black" panose="02070A03080606020203" pitchFamily="18" charset="0"/>
              <a:ea typeface="Tahoma" panose="020B0604030504040204" pitchFamily="34" charset="0"/>
              <a:cs typeface="Tahoma" panose="020B0604030504040204" pitchFamily="34" charset="0"/>
            </a:rPr>
            <a:t>#</a:t>
          </a:r>
        </a:p>
      </xdr:txBody>
    </xdr:sp>
    <xdr:clientData/>
  </xdr:twoCellAnchor>
  <xdr:twoCellAnchor>
    <xdr:from>
      <xdr:col>41</xdr:col>
      <xdr:colOff>90769</xdr:colOff>
      <xdr:row>25</xdr:row>
      <xdr:rowOff>54162</xdr:rowOff>
    </xdr:from>
    <xdr:to>
      <xdr:col>69</xdr:col>
      <xdr:colOff>67236</xdr:colOff>
      <xdr:row>33</xdr:row>
      <xdr:rowOff>111312</xdr:rowOff>
    </xdr:to>
    <xdr:sp macro="" textlink="">
      <xdr:nvSpPr>
        <xdr:cNvPr id="94" name="CaixaDeTexto 93">
          <a:extLst>
            <a:ext uri="{FF2B5EF4-FFF2-40B4-BE49-F238E27FC236}">
              <a16:creationId xmlns:a16="http://schemas.microsoft.com/office/drawing/2014/main" id="{DCD972F8-B5F3-442C-A611-BDB7B21B3857}"/>
            </a:ext>
          </a:extLst>
        </xdr:cNvPr>
        <xdr:cNvSpPr txBox="1"/>
      </xdr:nvSpPr>
      <xdr:spPr>
        <a:xfrm>
          <a:off x="4685181" y="2855633"/>
          <a:ext cx="3114114" cy="9536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000" b="0" i="0">
              <a:solidFill>
                <a:srgbClr val="3D4045"/>
              </a:solidFill>
              <a:effectLst/>
              <a:latin typeface="Roboto" panose="02000000000000000000"/>
              <a:ea typeface="+mn-ea"/>
              <a:cs typeface="+mn-cs"/>
            </a:rPr>
            <a:t>Ser a referência de </a:t>
          </a:r>
          <a:r>
            <a:rPr lang="pt-BR" sz="1000" b="1" i="0">
              <a:solidFill>
                <a:srgbClr val="3D4045"/>
              </a:solidFill>
              <a:effectLst/>
              <a:latin typeface="Roboto" panose="02000000000000000000"/>
              <a:ea typeface="+mn-ea"/>
              <a:cs typeface="+mn-cs"/>
            </a:rPr>
            <a:t>excelência</a:t>
          </a:r>
          <a:r>
            <a:rPr lang="pt-BR" sz="1000" b="1" i="0" baseline="0">
              <a:solidFill>
                <a:srgbClr val="3D4045"/>
              </a:solidFill>
              <a:effectLst/>
              <a:latin typeface="Roboto" panose="02000000000000000000"/>
              <a:ea typeface="+mn-ea"/>
              <a:cs typeface="+mn-cs"/>
            </a:rPr>
            <a:t>, inovação e eficiência</a:t>
          </a:r>
          <a:br>
            <a:rPr lang="pt-BR" sz="1000" b="1" i="0" baseline="0">
              <a:solidFill>
                <a:srgbClr val="3D4045"/>
              </a:solidFill>
              <a:effectLst/>
              <a:latin typeface="Roboto" panose="02000000000000000000"/>
              <a:ea typeface="+mn-ea"/>
              <a:cs typeface="+mn-cs"/>
            </a:rPr>
          </a:br>
          <a:r>
            <a:rPr lang="pt-BR" sz="1000" b="1" i="0" baseline="0">
              <a:solidFill>
                <a:srgbClr val="3D4045"/>
              </a:solidFill>
              <a:effectLst/>
              <a:latin typeface="Roboto" panose="02000000000000000000"/>
              <a:ea typeface="+mn-ea"/>
              <a:cs typeface="+mn-cs"/>
            </a:rPr>
            <a:t> </a:t>
          </a:r>
          <a:r>
            <a:rPr lang="pt-BR" sz="1000" b="0" i="0" baseline="0">
              <a:solidFill>
                <a:srgbClr val="3D4045"/>
              </a:solidFill>
              <a:effectLst/>
              <a:latin typeface="Roboto" panose="02000000000000000000"/>
              <a:ea typeface="+mn-ea"/>
              <a:cs typeface="+mn-cs"/>
            </a:rPr>
            <a:t>em biorrefinarias, através do oferecimento de</a:t>
          </a:r>
          <a:br>
            <a:rPr lang="pt-BR" sz="1000" b="0" i="0" baseline="0">
              <a:solidFill>
                <a:srgbClr val="3D4045"/>
              </a:solidFill>
              <a:effectLst/>
              <a:latin typeface="Roboto" panose="02000000000000000000"/>
              <a:ea typeface="+mn-ea"/>
              <a:cs typeface="+mn-cs"/>
            </a:rPr>
          </a:br>
          <a:r>
            <a:rPr lang="pt-BR" sz="1000" b="0" i="0" baseline="0">
              <a:solidFill>
                <a:srgbClr val="3D4045"/>
              </a:solidFill>
              <a:effectLst/>
              <a:latin typeface="Roboto" panose="02000000000000000000"/>
              <a:ea typeface="+mn-ea"/>
              <a:cs typeface="+mn-cs"/>
            </a:rPr>
            <a:t>  </a:t>
          </a:r>
          <a:r>
            <a:rPr lang="pt-BR" sz="1000" b="1" i="0" baseline="0">
              <a:solidFill>
                <a:srgbClr val="3D4045"/>
              </a:solidFill>
              <a:effectLst/>
              <a:latin typeface="Roboto" panose="02000000000000000000"/>
              <a:ea typeface="+mn-ea"/>
              <a:cs typeface="+mn-cs"/>
            </a:rPr>
            <a:t>soluções </a:t>
          </a:r>
          <a:r>
            <a:rPr lang="pt-BR" sz="1000" b="0" i="0" baseline="0">
              <a:solidFill>
                <a:srgbClr val="3D4045"/>
              </a:solidFill>
              <a:effectLst/>
              <a:latin typeface="Roboto" panose="02000000000000000000"/>
              <a:ea typeface="+mn-ea"/>
              <a:cs typeface="+mn-cs"/>
            </a:rPr>
            <a:t>completas e </a:t>
          </a:r>
          <a:r>
            <a:rPr lang="pt-BR" sz="1000" b="1" i="0" baseline="0">
              <a:solidFill>
                <a:srgbClr val="3D4045"/>
              </a:solidFill>
              <a:effectLst/>
              <a:latin typeface="Roboto" panose="02000000000000000000"/>
              <a:ea typeface="+mn-ea"/>
              <a:cs typeface="+mn-cs"/>
            </a:rPr>
            <a:t>sustentáveis </a:t>
          </a:r>
          <a:r>
            <a:rPr lang="pt-BR" sz="1000" b="0" i="0" baseline="0">
              <a:solidFill>
                <a:srgbClr val="3D4045"/>
              </a:solidFill>
              <a:effectLst/>
              <a:latin typeface="Roboto" panose="02000000000000000000"/>
              <a:ea typeface="+mn-ea"/>
              <a:cs typeface="+mn-cs"/>
            </a:rPr>
            <a:t>em</a:t>
          </a:r>
          <a:br>
            <a:rPr lang="pt-BR" sz="1000" b="0" i="0" baseline="0">
              <a:solidFill>
                <a:srgbClr val="3D4045"/>
              </a:solidFill>
              <a:effectLst/>
              <a:latin typeface="Roboto" panose="02000000000000000000"/>
              <a:ea typeface="+mn-ea"/>
              <a:cs typeface="+mn-cs"/>
            </a:rPr>
          </a:br>
          <a:r>
            <a:rPr lang="pt-BR" sz="1000" b="0" i="0" baseline="0">
              <a:solidFill>
                <a:srgbClr val="3D4045"/>
              </a:solidFill>
              <a:effectLst/>
              <a:latin typeface="Roboto" panose="02000000000000000000"/>
              <a:ea typeface="+mn-ea"/>
              <a:cs typeface="+mn-cs"/>
            </a:rPr>
            <a:t>   bioprodutos e bioenergia renovável para o mercado</a:t>
          </a:r>
          <a:r>
            <a:rPr lang="pt-BR" sz="1000" b="0" i="0">
              <a:solidFill>
                <a:srgbClr val="3D4045"/>
              </a:solidFill>
              <a:effectLst/>
              <a:latin typeface="Roboto" panose="02000000000000000000"/>
              <a:ea typeface="+mn-ea"/>
              <a:cs typeface="+mn-cs"/>
            </a:rPr>
            <a:t>.</a:t>
          </a:r>
          <a:endParaRPr lang="pt-BR" sz="1000" b="0">
            <a:solidFill>
              <a:srgbClr val="3D4045"/>
            </a:solidFill>
            <a:latin typeface="Roboto" panose="02000000000000000000"/>
          </a:endParaRPr>
        </a:p>
      </xdr:txBody>
    </xdr:sp>
    <xdr:clientData/>
  </xdr:twoCellAnchor>
  <xdr:twoCellAnchor>
    <xdr:from>
      <xdr:col>45</xdr:col>
      <xdr:colOff>94130</xdr:colOff>
      <xdr:row>38</xdr:row>
      <xdr:rowOff>68172</xdr:rowOff>
    </xdr:from>
    <xdr:to>
      <xdr:col>73</xdr:col>
      <xdr:colOff>26521</xdr:colOff>
      <xdr:row>45</xdr:row>
      <xdr:rowOff>26897</xdr:rowOff>
    </xdr:to>
    <xdr:sp macro="" textlink="">
      <xdr:nvSpPr>
        <xdr:cNvPr id="97" name="CaixaDeTexto 96">
          <a:extLst>
            <a:ext uri="{FF2B5EF4-FFF2-40B4-BE49-F238E27FC236}">
              <a16:creationId xmlns:a16="http://schemas.microsoft.com/office/drawing/2014/main" id="{42A37E7F-1345-4502-98B5-99D89CC21A71}"/>
            </a:ext>
          </a:extLst>
        </xdr:cNvPr>
        <xdr:cNvSpPr txBox="1"/>
      </xdr:nvSpPr>
      <xdr:spPr>
        <a:xfrm>
          <a:off x="5136777" y="4326407"/>
          <a:ext cx="3070038" cy="7431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000" b="1" i="0">
              <a:solidFill>
                <a:srgbClr val="3D4045"/>
              </a:solidFill>
              <a:effectLst/>
              <a:latin typeface="Roboto" panose="02000000000000000000"/>
              <a:ea typeface="+mn-ea"/>
              <a:cs typeface="+mn-cs"/>
            </a:rPr>
            <a:t>Honestidade</a:t>
          </a:r>
          <a:r>
            <a:rPr lang="pt-BR" sz="1000" b="1" i="0" baseline="0">
              <a:solidFill>
                <a:srgbClr val="3D4045"/>
              </a:solidFill>
              <a:effectLst/>
              <a:latin typeface="Roboto" panose="02000000000000000000"/>
              <a:ea typeface="+mn-ea"/>
              <a:cs typeface="+mn-cs"/>
            </a:rPr>
            <a:t> </a:t>
          </a:r>
          <a:r>
            <a:rPr lang="pt-BR" sz="1000" b="0" i="0" baseline="0">
              <a:solidFill>
                <a:srgbClr val="3D4045"/>
              </a:solidFill>
              <a:effectLst/>
              <a:latin typeface="Roboto" panose="02000000000000000000"/>
              <a:ea typeface="+mn-ea"/>
              <a:cs typeface="+mn-cs"/>
            </a:rPr>
            <a:t>|</a:t>
          </a:r>
          <a:r>
            <a:rPr lang="pt-BR" sz="1000" b="1" i="0" baseline="0">
              <a:solidFill>
                <a:srgbClr val="3D4045"/>
              </a:solidFill>
              <a:effectLst/>
              <a:latin typeface="Roboto" panose="02000000000000000000"/>
              <a:ea typeface="+mn-ea"/>
              <a:cs typeface="+mn-cs"/>
            </a:rPr>
            <a:t> Integridade</a:t>
          </a:r>
          <a:r>
            <a:rPr lang="pt-BR" sz="1000" b="0" i="0" baseline="0">
              <a:solidFill>
                <a:srgbClr val="3D4045"/>
              </a:solidFill>
              <a:effectLst/>
              <a:latin typeface="Roboto" panose="02000000000000000000"/>
              <a:ea typeface="+mn-ea"/>
              <a:cs typeface="+mn-cs"/>
            </a:rPr>
            <a:t> |</a:t>
          </a:r>
          <a:r>
            <a:rPr lang="pt-BR" sz="1000" b="1" i="0">
              <a:solidFill>
                <a:srgbClr val="3D4045"/>
              </a:solidFill>
              <a:effectLst/>
              <a:latin typeface="Roboto" panose="02000000000000000000"/>
              <a:ea typeface="+mn-ea"/>
              <a:cs typeface="+mn-cs"/>
            </a:rPr>
            <a:t> Respeito</a:t>
          </a:r>
          <a:r>
            <a:rPr lang="pt-BR" sz="1000" b="1" i="0" baseline="0">
              <a:solidFill>
                <a:srgbClr val="3D4045"/>
              </a:solidFill>
              <a:effectLst/>
              <a:latin typeface="Roboto" panose="02000000000000000000"/>
              <a:ea typeface="+mn-ea"/>
              <a:cs typeface="+mn-cs"/>
            </a:rPr>
            <a:t> pelas</a:t>
          </a:r>
          <a:br>
            <a:rPr lang="pt-BR" sz="1000" b="1" i="0" baseline="0">
              <a:solidFill>
                <a:srgbClr val="3D4045"/>
              </a:solidFill>
              <a:effectLst/>
              <a:latin typeface="Roboto" panose="02000000000000000000"/>
              <a:ea typeface="+mn-ea"/>
              <a:cs typeface="+mn-cs"/>
            </a:rPr>
          </a:br>
          <a:r>
            <a:rPr lang="pt-BR" sz="1000" b="1" i="0" baseline="0">
              <a:solidFill>
                <a:srgbClr val="3D4045"/>
              </a:solidFill>
              <a:effectLst/>
              <a:latin typeface="Roboto" panose="02000000000000000000"/>
              <a:ea typeface="+mn-ea"/>
              <a:cs typeface="+mn-cs"/>
            </a:rPr>
            <a:t>  pessoas </a:t>
          </a:r>
          <a:r>
            <a:rPr lang="pt-BR" sz="1000" b="0" i="0" baseline="0">
              <a:solidFill>
                <a:srgbClr val="3D4045"/>
              </a:solidFill>
              <a:effectLst/>
              <a:latin typeface="Roboto" panose="02000000000000000000"/>
              <a:ea typeface="+mn-ea"/>
              <a:cs typeface="+mn-cs"/>
            </a:rPr>
            <a:t>| </a:t>
          </a:r>
          <a:r>
            <a:rPr lang="pt-BR" sz="1000" b="1" i="0" baseline="0">
              <a:solidFill>
                <a:srgbClr val="3D4045"/>
              </a:solidFill>
              <a:effectLst/>
              <a:latin typeface="Roboto" panose="02000000000000000000"/>
              <a:ea typeface="+mn-ea"/>
              <a:cs typeface="+mn-cs"/>
            </a:rPr>
            <a:t>Qualidade </a:t>
          </a:r>
          <a:r>
            <a:rPr lang="pt-BR" sz="1000" b="0" i="0" baseline="0">
              <a:solidFill>
                <a:srgbClr val="3D4045"/>
              </a:solidFill>
              <a:effectLst/>
              <a:latin typeface="Roboto" panose="02000000000000000000"/>
              <a:ea typeface="+mn-ea"/>
              <a:cs typeface="+mn-cs"/>
            </a:rPr>
            <a:t>| </a:t>
          </a:r>
          <a:r>
            <a:rPr lang="pt-BR" sz="1000" b="1" i="0" baseline="0">
              <a:solidFill>
                <a:srgbClr val="3D4045"/>
              </a:solidFill>
              <a:effectLst/>
              <a:latin typeface="Roboto" panose="02000000000000000000"/>
              <a:ea typeface="+mn-ea"/>
              <a:cs typeface="+mn-cs"/>
            </a:rPr>
            <a:t>Respeito pela sociedade </a:t>
          </a:r>
          <a:r>
            <a:rPr lang="pt-BR" sz="1000" b="0" i="0" baseline="0">
              <a:solidFill>
                <a:srgbClr val="3D4045"/>
              </a:solidFill>
              <a:effectLst/>
              <a:latin typeface="Roboto" panose="02000000000000000000"/>
              <a:ea typeface="+mn-ea"/>
              <a:cs typeface="+mn-cs"/>
            </a:rPr>
            <a:t>|</a:t>
          </a:r>
          <a:br>
            <a:rPr lang="pt-BR" sz="1000" b="0" i="0" baseline="0">
              <a:solidFill>
                <a:srgbClr val="3D4045"/>
              </a:solidFill>
              <a:effectLst/>
              <a:latin typeface="Roboto" panose="02000000000000000000"/>
              <a:ea typeface="+mn-ea"/>
              <a:cs typeface="+mn-cs"/>
            </a:rPr>
          </a:br>
          <a:r>
            <a:rPr lang="pt-BR" sz="1000" b="0" i="0" baseline="0">
              <a:solidFill>
                <a:srgbClr val="3D4045"/>
              </a:solidFill>
              <a:effectLst/>
              <a:latin typeface="Roboto" panose="02000000000000000000"/>
              <a:ea typeface="+mn-ea"/>
              <a:cs typeface="+mn-cs"/>
            </a:rPr>
            <a:t>   </a:t>
          </a:r>
          <a:r>
            <a:rPr lang="pt-BR" sz="1000" b="1" i="0" baseline="0">
              <a:solidFill>
                <a:srgbClr val="3D4045"/>
              </a:solidFill>
              <a:effectLst/>
              <a:latin typeface="Roboto" panose="02000000000000000000"/>
              <a:ea typeface="+mn-ea"/>
              <a:cs typeface="+mn-cs"/>
            </a:rPr>
            <a:t>Sustentabilidade </a:t>
          </a:r>
          <a:r>
            <a:rPr lang="pt-BR" sz="1000" b="0" i="0" baseline="0">
              <a:solidFill>
                <a:srgbClr val="3D4045"/>
              </a:solidFill>
              <a:effectLst/>
              <a:latin typeface="Roboto" panose="02000000000000000000"/>
              <a:ea typeface="+mn-ea"/>
              <a:cs typeface="+mn-cs"/>
            </a:rPr>
            <a:t>| </a:t>
          </a:r>
          <a:r>
            <a:rPr lang="pt-BR" sz="1000" b="1" i="0" baseline="0">
              <a:solidFill>
                <a:srgbClr val="3D4045"/>
              </a:solidFill>
              <a:effectLst/>
              <a:latin typeface="Roboto" panose="02000000000000000000"/>
              <a:ea typeface="+mn-ea"/>
              <a:cs typeface="+mn-cs"/>
            </a:rPr>
            <a:t>Satisfação dos clientes |</a:t>
          </a:r>
          <a:br>
            <a:rPr lang="pt-BR" sz="1000" b="1" i="0" baseline="0">
              <a:solidFill>
                <a:srgbClr val="3D4045"/>
              </a:solidFill>
              <a:effectLst/>
              <a:latin typeface="Roboto" panose="02000000000000000000"/>
              <a:ea typeface="+mn-ea"/>
              <a:cs typeface="+mn-cs"/>
            </a:rPr>
          </a:br>
          <a:r>
            <a:rPr lang="pt-BR" sz="1000" b="1" i="0" baseline="0">
              <a:solidFill>
                <a:srgbClr val="3D4045"/>
              </a:solidFill>
              <a:effectLst/>
              <a:latin typeface="Roboto" panose="02000000000000000000"/>
              <a:ea typeface="+mn-ea"/>
              <a:cs typeface="+mn-cs"/>
            </a:rPr>
            <a:t>     Inovação |</a:t>
          </a:r>
          <a:r>
            <a:rPr lang="pt-BR" sz="1000" b="0" i="0" baseline="0">
              <a:solidFill>
                <a:srgbClr val="3D4045"/>
              </a:solidFill>
              <a:effectLst/>
              <a:latin typeface="Roboto" panose="02000000000000000000"/>
              <a:ea typeface="+mn-ea"/>
              <a:cs typeface="+mn-cs"/>
            </a:rPr>
            <a:t> </a:t>
          </a:r>
          <a:r>
            <a:rPr lang="pt-BR" sz="1000" b="1" i="0" baseline="0">
              <a:solidFill>
                <a:srgbClr val="3D4045"/>
              </a:solidFill>
              <a:effectLst/>
              <a:latin typeface="Roboto" panose="02000000000000000000"/>
              <a:ea typeface="+mn-ea"/>
              <a:cs typeface="+mn-cs"/>
            </a:rPr>
            <a:t>Retorno ao acionista</a:t>
          </a:r>
          <a:endParaRPr lang="pt-BR" sz="1000" b="1">
            <a:solidFill>
              <a:srgbClr val="3D4045"/>
            </a:solidFill>
            <a:latin typeface="Roboto" panose="02000000000000000000"/>
          </a:endParaRPr>
        </a:p>
      </xdr:txBody>
    </xdr:sp>
    <xdr:clientData/>
  </xdr:twoCellAnchor>
  <xdr:twoCellAnchor>
    <xdr:from>
      <xdr:col>23</xdr:col>
      <xdr:colOff>19050</xdr:colOff>
      <xdr:row>0</xdr:row>
      <xdr:rowOff>0</xdr:rowOff>
    </xdr:from>
    <xdr:to>
      <xdr:col>37</xdr:col>
      <xdr:colOff>76200</xdr:colOff>
      <xdr:row>49</xdr:row>
      <xdr:rowOff>28575</xdr:rowOff>
    </xdr:to>
    <xdr:cxnSp macro="">
      <xdr:nvCxnSpPr>
        <xdr:cNvPr id="29" name="Conector reto 28">
          <a:extLst>
            <a:ext uri="{FF2B5EF4-FFF2-40B4-BE49-F238E27FC236}">
              <a16:creationId xmlns:a16="http://schemas.microsoft.com/office/drawing/2014/main" id="{5A40B9E4-7452-1D06-ECA1-C90BD4685634}"/>
            </a:ext>
          </a:extLst>
        </xdr:cNvPr>
        <xdr:cNvCxnSpPr/>
      </xdr:nvCxnSpPr>
      <xdr:spPr>
        <a:xfrm>
          <a:off x="2647950" y="0"/>
          <a:ext cx="1657350" cy="5629275"/>
        </a:xfrm>
        <a:prstGeom prst="line">
          <a:avLst/>
        </a:prstGeom>
        <a:ln w="38100">
          <a:solidFill>
            <a:schemeClr val="bg1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47625</xdr:colOff>
      <xdr:row>0</xdr:row>
      <xdr:rowOff>0</xdr:rowOff>
    </xdr:from>
    <xdr:to>
      <xdr:col>38</xdr:col>
      <xdr:colOff>104775</xdr:colOff>
      <xdr:row>49</xdr:row>
      <xdr:rowOff>28575</xdr:rowOff>
    </xdr:to>
    <xdr:cxnSp macro="">
      <xdr:nvCxnSpPr>
        <xdr:cNvPr id="30" name="Conector reto 29">
          <a:extLst>
            <a:ext uri="{FF2B5EF4-FFF2-40B4-BE49-F238E27FC236}">
              <a16:creationId xmlns:a16="http://schemas.microsoft.com/office/drawing/2014/main" id="{A87A8004-80C7-3B3A-7766-2BF1E4524A32}"/>
            </a:ext>
          </a:extLst>
        </xdr:cNvPr>
        <xdr:cNvCxnSpPr/>
      </xdr:nvCxnSpPr>
      <xdr:spPr>
        <a:xfrm>
          <a:off x="2790825" y="0"/>
          <a:ext cx="1657350" cy="5629275"/>
        </a:xfrm>
        <a:prstGeom prst="line">
          <a:avLst/>
        </a:prstGeom>
        <a:ln w="38100">
          <a:solidFill>
            <a:schemeClr val="bg1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0</xdr:colOff>
      <xdr:row>3</xdr:row>
      <xdr:rowOff>0</xdr:rowOff>
    </xdr:from>
    <xdr:to>
      <xdr:col>94</xdr:col>
      <xdr:colOff>12701</xdr:colOff>
      <xdr:row>8</xdr:row>
      <xdr:rowOff>9468</xdr:rowOff>
    </xdr:to>
    <xdr:sp macro="" textlink="">
      <xdr:nvSpPr>
        <xdr:cNvPr id="28" name="Forma Livre: Forma 27">
          <a:extLst>
            <a:ext uri="{FF2B5EF4-FFF2-40B4-BE49-F238E27FC236}">
              <a16:creationId xmlns:a16="http://schemas.microsoft.com/office/drawing/2014/main" id="{0EC8AC95-C353-4E03-A54F-27C1C3AE42B1}"/>
            </a:ext>
          </a:extLst>
        </xdr:cNvPr>
        <xdr:cNvSpPr/>
      </xdr:nvSpPr>
      <xdr:spPr>
        <a:xfrm>
          <a:off x="2873829" y="359229"/>
          <a:ext cx="8394701" cy="608182"/>
        </a:xfrm>
        <a:custGeom>
          <a:avLst/>
          <a:gdLst>
            <a:gd name="connsiteX0" fmla="*/ 179717 w 1398199"/>
            <a:gd name="connsiteY0" fmla="*/ 582283 h 585877"/>
            <a:gd name="connsiteX1" fmla="*/ 0 w 1398199"/>
            <a:gd name="connsiteY1" fmla="*/ 0 h 585877"/>
            <a:gd name="connsiteX2" fmla="*/ 1398199 w 1398199"/>
            <a:gd name="connsiteY2" fmla="*/ 0 h 585877"/>
            <a:gd name="connsiteX3" fmla="*/ 1398199 w 1398199"/>
            <a:gd name="connsiteY3" fmla="*/ 585877 h 585877"/>
            <a:gd name="connsiteX4" fmla="*/ 179717 w 1398199"/>
            <a:gd name="connsiteY4" fmla="*/ 582283 h 585877"/>
            <a:gd name="connsiteX0" fmla="*/ 179717 w 5077114"/>
            <a:gd name="connsiteY0" fmla="*/ 582283 h 585877"/>
            <a:gd name="connsiteX1" fmla="*/ 0 w 5077114"/>
            <a:gd name="connsiteY1" fmla="*/ 0 h 585877"/>
            <a:gd name="connsiteX2" fmla="*/ 5077114 w 5077114"/>
            <a:gd name="connsiteY2" fmla="*/ 5383 h 585877"/>
            <a:gd name="connsiteX3" fmla="*/ 1398199 w 5077114"/>
            <a:gd name="connsiteY3" fmla="*/ 585877 h 585877"/>
            <a:gd name="connsiteX4" fmla="*/ 179717 w 5077114"/>
            <a:gd name="connsiteY4" fmla="*/ 582283 h 585877"/>
            <a:gd name="connsiteX0" fmla="*/ 179717 w 7738826"/>
            <a:gd name="connsiteY0" fmla="*/ 582283 h 582283"/>
            <a:gd name="connsiteX1" fmla="*/ 0 w 7738826"/>
            <a:gd name="connsiteY1" fmla="*/ 0 h 582283"/>
            <a:gd name="connsiteX2" fmla="*/ 5077114 w 7738826"/>
            <a:gd name="connsiteY2" fmla="*/ 5383 h 582283"/>
            <a:gd name="connsiteX3" fmla="*/ 7738826 w 7738826"/>
            <a:gd name="connsiteY3" fmla="*/ 582213 h 582283"/>
            <a:gd name="connsiteX4" fmla="*/ 179717 w 7738826"/>
            <a:gd name="connsiteY4" fmla="*/ 582283 h 582283"/>
            <a:gd name="connsiteX0" fmla="*/ 179717 w 9468938"/>
            <a:gd name="connsiteY0" fmla="*/ 582283 h 582283"/>
            <a:gd name="connsiteX1" fmla="*/ 0 w 9468938"/>
            <a:gd name="connsiteY1" fmla="*/ 0 h 582283"/>
            <a:gd name="connsiteX2" fmla="*/ 9468938 w 9468938"/>
            <a:gd name="connsiteY2" fmla="*/ 5383 h 582283"/>
            <a:gd name="connsiteX3" fmla="*/ 7738826 w 9468938"/>
            <a:gd name="connsiteY3" fmla="*/ 582213 h 582283"/>
            <a:gd name="connsiteX4" fmla="*/ 179717 w 9468938"/>
            <a:gd name="connsiteY4" fmla="*/ 582283 h 582283"/>
            <a:gd name="connsiteX0" fmla="*/ 179717 w 9468938"/>
            <a:gd name="connsiteY0" fmla="*/ 582283 h 582283"/>
            <a:gd name="connsiteX1" fmla="*/ 0 w 9468938"/>
            <a:gd name="connsiteY1" fmla="*/ 0 h 582283"/>
            <a:gd name="connsiteX2" fmla="*/ 9468938 w 9468938"/>
            <a:gd name="connsiteY2" fmla="*/ 5383 h 582283"/>
            <a:gd name="connsiteX3" fmla="*/ 9468938 w 9468938"/>
            <a:gd name="connsiteY3" fmla="*/ 582214 h 582283"/>
            <a:gd name="connsiteX4" fmla="*/ 179717 w 9468938"/>
            <a:gd name="connsiteY4" fmla="*/ 582283 h 58228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9468938" h="582283">
              <a:moveTo>
                <a:pt x="179717" y="582283"/>
              </a:moveTo>
              <a:lnTo>
                <a:pt x="0" y="0"/>
              </a:lnTo>
              <a:lnTo>
                <a:pt x="9468938" y="5383"/>
              </a:lnTo>
              <a:lnTo>
                <a:pt x="9468938" y="582214"/>
              </a:lnTo>
              <a:lnTo>
                <a:pt x="179717" y="582283"/>
              </a:lnTo>
              <a:close/>
            </a:path>
          </a:pathLst>
        </a:custGeom>
        <a:solidFill>
          <a:schemeClr val="bg1">
            <a:lumMod val="9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26</xdr:col>
      <xdr:colOff>0</xdr:colOff>
      <xdr:row>3</xdr:row>
      <xdr:rowOff>0</xdr:rowOff>
    </xdr:from>
    <xdr:to>
      <xdr:col>65</xdr:col>
      <xdr:colOff>0</xdr:colOff>
      <xdr:row>8</xdr:row>
      <xdr:rowOff>0</xdr:rowOff>
    </xdr:to>
    <xdr:sp macro="" textlink="">
      <xdr:nvSpPr>
        <xdr:cNvPr id="57" name="Retângulo 56">
          <a:extLst>
            <a:ext uri="{FF2B5EF4-FFF2-40B4-BE49-F238E27FC236}">
              <a16:creationId xmlns:a16="http://schemas.microsoft.com/office/drawing/2014/main" id="{88C06A68-1773-4E94-89BC-539C0AC878AD}"/>
            </a:ext>
          </a:extLst>
        </xdr:cNvPr>
        <xdr:cNvSpPr/>
      </xdr:nvSpPr>
      <xdr:spPr>
        <a:xfrm>
          <a:off x="3302000" y="457200"/>
          <a:ext cx="4953000" cy="57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2400" b="1">
              <a:solidFill>
                <a:srgbClr val="3D4045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Planilha de Resultados </a:t>
          </a:r>
        </a:p>
      </xdr:txBody>
    </xdr:sp>
    <xdr:clientData/>
  </xdr:twoCellAnchor>
  <xdr:twoCellAnchor editAs="oneCell">
    <xdr:from>
      <xdr:col>80</xdr:col>
      <xdr:colOff>56030</xdr:colOff>
      <xdr:row>3</xdr:row>
      <xdr:rowOff>95250</xdr:rowOff>
    </xdr:from>
    <xdr:to>
      <xdr:col>93</xdr:col>
      <xdr:colOff>25401</xdr:colOff>
      <xdr:row>7</xdr:row>
      <xdr:rowOff>65779</xdr:rowOff>
    </xdr:to>
    <xdr:pic>
      <xdr:nvPicPr>
        <xdr:cNvPr id="63" name="Imagem 62" descr="UISA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5E77170F-5C65-48F4-90FD-38B46A00D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0736" y="431426"/>
          <a:ext cx="1426136" cy="418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196767</xdr:colOff>
      <xdr:row>3</xdr:row>
      <xdr:rowOff>187325</xdr:rowOff>
    </xdr:from>
    <xdr:to>
      <xdr:col>20</xdr:col>
      <xdr:colOff>88900</xdr:colOff>
      <xdr:row>5</xdr:row>
      <xdr:rowOff>6350</xdr:rowOff>
    </xdr:to>
    <xdr:cxnSp macro="">
      <xdr:nvCxnSpPr>
        <xdr:cNvPr id="12" name="Conector reto 11">
          <a:extLst>
            <a:ext uri="{FF2B5EF4-FFF2-40B4-BE49-F238E27FC236}">
              <a16:creationId xmlns:a16="http://schemas.microsoft.com/office/drawing/2014/main" id="{2368749E-71EF-4B98-A0AE-37D52FF2A29F}"/>
            </a:ext>
          </a:extLst>
        </xdr:cNvPr>
        <xdr:cNvCxnSpPr/>
      </xdr:nvCxnSpPr>
      <xdr:spPr>
        <a:xfrm flipH="1" flipV="1">
          <a:off x="196767" y="619125"/>
          <a:ext cx="13214433" cy="9525"/>
        </a:xfrm>
        <a:prstGeom prst="line">
          <a:avLst/>
        </a:prstGeom>
        <a:ln w="127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22</xdr:col>
      <xdr:colOff>25400</xdr:colOff>
      <xdr:row>7</xdr:row>
      <xdr:rowOff>12700</xdr:rowOff>
    </xdr:to>
    <xdr:pic>
      <xdr:nvPicPr>
        <xdr:cNvPr id="3" name="Imagem 247" descr="Uma imagem contendo Padrão do plano de fundo&#10;&#10;Descrição gerada automaticamente">
          <a:extLst>
            <a:ext uri="{FF2B5EF4-FFF2-40B4-BE49-F238E27FC236}">
              <a16:creationId xmlns:a16="http://schemas.microsoft.com/office/drawing/2014/main" id="{8845D593-3578-6490-8A16-EBFF9FEA0C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65" r="22172" b="72318"/>
        <a:stretch/>
      </xdr:blipFill>
      <xdr:spPr bwMode="auto">
        <a:xfrm>
          <a:off x="0" y="0"/>
          <a:ext cx="14090650" cy="84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20</xdr:col>
      <xdr:colOff>476255</xdr:colOff>
      <xdr:row>1</xdr:row>
      <xdr:rowOff>25400</xdr:rowOff>
    </xdr:from>
    <xdr:to>
      <xdr:col>21</xdr:col>
      <xdr:colOff>660405</xdr:colOff>
      <xdr:row>3</xdr:row>
      <xdr:rowOff>63500</xdr:rowOff>
    </xdr:to>
    <xdr:sp macro="" textlink="">
      <xdr:nvSpPr>
        <xdr:cNvPr id="16" name="Retângulo 15">
          <a:extLst>
            <a:ext uri="{FF2B5EF4-FFF2-40B4-BE49-F238E27FC236}">
              <a16:creationId xmlns:a16="http://schemas.microsoft.com/office/drawing/2014/main" id="{DFF65B02-6344-459C-8B0D-0362DB05E0E1}"/>
            </a:ext>
          </a:extLst>
        </xdr:cNvPr>
        <xdr:cNvSpPr/>
      </xdr:nvSpPr>
      <xdr:spPr>
        <a:xfrm>
          <a:off x="13055605" y="101600"/>
          <a:ext cx="927100" cy="4064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20</xdr:col>
      <xdr:colOff>540673</xdr:colOff>
      <xdr:row>1</xdr:row>
      <xdr:rowOff>113847</xdr:rowOff>
    </xdr:from>
    <xdr:to>
      <xdr:col>21</xdr:col>
      <xdr:colOff>113636</xdr:colOff>
      <xdr:row>2</xdr:row>
      <xdr:rowOff>180672</xdr:rowOff>
    </xdr:to>
    <xdr:grpSp>
      <xdr:nvGrpSpPr>
        <xdr:cNvPr id="17" name="Agrupar 1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838114B-412A-4AB5-BC26-D52836E598F8}"/>
            </a:ext>
          </a:extLst>
        </xdr:cNvPr>
        <xdr:cNvGrpSpPr/>
      </xdr:nvGrpSpPr>
      <xdr:grpSpPr>
        <a:xfrm>
          <a:off x="17356967" y="188553"/>
          <a:ext cx="379787" cy="253590"/>
          <a:chOff x="5689135" y="422291"/>
          <a:chExt cx="368300" cy="323124"/>
        </a:xfrm>
      </xdr:grpSpPr>
      <xdr:sp macro="[0]!Menu" textlink="">
        <xdr:nvSpPr>
          <xdr:cNvPr id="18" name="Retângulo 17">
            <a:extLst>
              <a:ext uri="{FF2B5EF4-FFF2-40B4-BE49-F238E27FC236}">
                <a16:creationId xmlns:a16="http://schemas.microsoft.com/office/drawing/2014/main" id="{9FEACA65-3888-481D-9C2B-62667EFBF38B}"/>
              </a:ext>
            </a:extLst>
          </xdr:cNvPr>
          <xdr:cNvSpPr/>
        </xdr:nvSpPr>
        <xdr:spPr>
          <a:xfrm>
            <a:off x="5689135" y="424272"/>
            <a:ext cx="368300" cy="316624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 macro="[0]!Menu">
        <xdr:nvPicPr>
          <xdr:cNvPr id="23" name="Gráfico 22" descr="Ícone do menu de hambúrguer com preenchimento sólido">
            <a:extLst>
              <a:ext uri="{FF2B5EF4-FFF2-40B4-BE49-F238E27FC236}">
                <a16:creationId xmlns:a16="http://schemas.microsoft.com/office/drawing/2014/main" id="{02C2FD15-0A33-4D3B-AF97-F5755FCC90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5712779" y="422291"/>
            <a:ext cx="324000" cy="323124"/>
          </a:xfrm>
          <a:prstGeom prst="rect">
            <a:avLst/>
          </a:prstGeom>
        </xdr:spPr>
      </xdr:pic>
    </xdr:grpSp>
    <xdr:clientData/>
  </xdr:twoCellAnchor>
  <xdr:twoCellAnchor>
    <xdr:from>
      <xdr:col>21</xdr:col>
      <xdr:colOff>208385</xdr:colOff>
      <xdr:row>1</xdr:row>
      <xdr:rowOff>113845</xdr:rowOff>
    </xdr:from>
    <xdr:to>
      <xdr:col>21</xdr:col>
      <xdr:colOff>576685</xdr:colOff>
      <xdr:row>2</xdr:row>
      <xdr:rowOff>180670</xdr:rowOff>
    </xdr:to>
    <xdr:grpSp>
      <xdr:nvGrpSpPr>
        <xdr:cNvPr id="26" name="Agrupar 2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725E6DE-3C14-4C77-B541-1D1E5015C502}"/>
            </a:ext>
          </a:extLst>
        </xdr:cNvPr>
        <xdr:cNvGrpSpPr/>
      </xdr:nvGrpSpPr>
      <xdr:grpSpPr>
        <a:xfrm>
          <a:off x="17831503" y="188551"/>
          <a:ext cx="368300" cy="253590"/>
          <a:chOff x="6114084" y="422289"/>
          <a:chExt cx="368300" cy="323124"/>
        </a:xfrm>
      </xdr:grpSpPr>
      <xdr:sp macro="[0]!Endividamento" textlink="">
        <xdr:nvSpPr>
          <xdr:cNvPr id="27" name="Retângulo 26">
            <a:extLst>
              <a:ext uri="{FF2B5EF4-FFF2-40B4-BE49-F238E27FC236}">
                <a16:creationId xmlns:a16="http://schemas.microsoft.com/office/drawing/2014/main" id="{83D304E6-A7A5-4902-88E5-451C52668BDF}"/>
              </a:ext>
            </a:extLst>
          </xdr:cNvPr>
          <xdr:cNvSpPr/>
        </xdr:nvSpPr>
        <xdr:spPr>
          <a:xfrm>
            <a:off x="6114084" y="424272"/>
            <a:ext cx="368300" cy="316624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 macro="[0]!Endividamento">
        <xdr:nvPicPr>
          <xdr:cNvPr id="28" name="Gráfico 27" descr="Seta: curva no sentido horário com preenchimento sólido">
            <a:extLst>
              <a:ext uri="{FF2B5EF4-FFF2-40B4-BE49-F238E27FC236}">
                <a16:creationId xmlns:a16="http://schemas.microsoft.com/office/drawing/2014/main" id="{EF331FA2-1A02-4A99-8B8D-090632DA22C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7"/>
              </a:ext>
            </a:extLst>
          </a:blip>
          <a:stretch>
            <a:fillRect/>
          </a:stretch>
        </xdr:blipFill>
        <xdr:spPr>
          <a:xfrm rot="5400000">
            <a:off x="6135043" y="421851"/>
            <a:ext cx="323124" cy="324000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14287</xdr:colOff>
      <xdr:row>1</xdr:row>
      <xdr:rowOff>156645</xdr:rowOff>
    </xdr:from>
    <xdr:to>
      <xdr:col>1</xdr:col>
      <xdr:colOff>1960659</xdr:colOff>
      <xdr:row>4</xdr:row>
      <xdr:rowOff>102669</xdr:rowOff>
    </xdr:to>
    <xdr:pic>
      <xdr:nvPicPr>
        <xdr:cNvPr id="5" name="Imagem 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A4C1B42F-CE77-4BEE-A4DE-4B63E0CD93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17487" y="232845"/>
          <a:ext cx="1946372" cy="507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</xdr:colOff>
      <xdr:row>1</xdr:row>
      <xdr:rowOff>162995</xdr:rowOff>
    </xdr:from>
    <xdr:to>
      <xdr:col>1</xdr:col>
      <xdr:colOff>1960659</xdr:colOff>
      <xdr:row>4</xdr:row>
      <xdr:rowOff>112194</xdr:rowOff>
    </xdr:to>
    <xdr:pic>
      <xdr:nvPicPr>
        <xdr:cNvPr id="4" name="Imagem 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F757B98-0C01-BE38-24FA-1E438990C4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11137" y="239195"/>
          <a:ext cx="1946372" cy="507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21</xdr:col>
      <xdr:colOff>723900</xdr:colOff>
      <xdr:row>6</xdr:row>
      <xdr:rowOff>12700</xdr:rowOff>
    </xdr:to>
    <xdr:pic>
      <xdr:nvPicPr>
        <xdr:cNvPr id="5" name="Imagem 247" descr="Uma imagem contendo Padrão do plano de fundo&#10;&#10;Descrição gerada automaticamente">
          <a:extLst>
            <a:ext uri="{FF2B5EF4-FFF2-40B4-BE49-F238E27FC236}">
              <a16:creationId xmlns:a16="http://schemas.microsoft.com/office/drawing/2014/main" id="{AE1626AE-BE54-4E8B-B52E-50312A6CA1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65" r="22172" b="72318"/>
        <a:stretch/>
      </xdr:blipFill>
      <xdr:spPr bwMode="auto">
        <a:xfrm>
          <a:off x="0" y="0"/>
          <a:ext cx="1382395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</xdr:colOff>
      <xdr:row>2</xdr:row>
      <xdr:rowOff>10595</xdr:rowOff>
    </xdr:from>
    <xdr:to>
      <xdr:col>1</xdr:col>
      <xdr:colOff>1960659</xdr:colOff>
      <xdr:row>4</xdr:row>
      <xdr:rowOff>86794</xdr:rowOff>
    </xdr:to>
    <xdr:pic>
      <xdr:nvPicPr>
        <xdr:cNvPr id="6" name="Imagem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9E1A8A9-5D03-4416-BC01-83A5043EE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11137" y="239195"/>
          <a:ext cx="1946372" cy="507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20</xdr:col>
      <xdr:colOff>353060</xdr:colOff>
      <xdr:row>1</xdr:row>
      <xdr:rowOff>146051</xdr:rowOff>
    </xdr:from>
    <xdr:to>
      <xdr:col>20</xdr:col>
      <xdr:colOff>647700</xdr:colOff>
      <xdr:row>3</xdr:row>
      <xdr:rowOff>95250</xdr:rowOff>
    </xdr:to>
    <xdr:grpSp>
      <xdr:nvGrpSpPr>
        <xdr:cNvPr id="1093" name="Agrupar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6743ABF-7689-4A8E-B29C-57F5EFD4A711}"/>
            </a:ext>
          </a:extLst>
        </xdr:cNvPr>
        <xdr:cNvGrpSpPr/>
      </xdr:nvGrpSpPr>
      <xdr:grpSpPr>
        <a:xfrm>
          <a:off x="18409147" y="212312"/>
          <a:ext cx="294640" cy="297068"/>
          <a:chOff x="5689135" y="422291"/>
          <a:chExt cx="368300" cy="323124"/>
        </a:xfrm>
      </xdr:grpSpPr>
      <xdr:sp macro="[0]!Menu" textlink="">
        <xdr:nvSpPr>
          <xdr:cNvPr id="1094" name="Retângulo 8">
            <a:extLst>
              <a:ext uri="{FF2B5EF4-FFF2-40B4-BE49-F238E27FC236}">
                <a16:creationId xmlns:a16="http://schemas.microsoft.com/office/drawing/2014/main" id="{452A7E86-B4F1-4D83-A2BA-A9489017437F}"/>
              </a:ext>
            </a:extLst>
          </xdr:cNvPr>
          <xdr:cNvSpPr/>
        </xdr:nvSpPr>
        <xdr:spPr>
          <a:xfrm>
            <a:off x="5689135" y="424272"/>
            <a:ext cx="368300" cy="316624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 macro="[0]!Menu">
        <xdr:nvPicPr>
          <xdr:cNvPr id="1095" name="Gráfico 9" descr="Ícone do menu de hambúrguer com preenchimento sólido">
            <a:extLst>
              <a:ext uri="{FF2B5EF4-FFF2-40B4-BE49-F238E27FC236}">
                <a16:creationId xmlns:a16="http://schemas.microsoft.com/office/drawing/2014/main" id="{2111ECEF-753C-4557-818A-F564DFF933F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5712779" y="422291"/>
            <a:ext cx="324000" cy="323124"/>
          </a:xfrm>
          <a:prstGeom prst="rect">
            <a:avLst/>
          </a:prstGeom>
        </xdr:spPr>
      </xdr:pic>
    </xdr:grpSp>
    <xdr:clientData/>
  </xdr:twoCellAnchor>
  <xdr:twoCellAnchor>
    <xdr:from>
      <xdr:col>20</xdr:col>
      <xdr:colOff>711200</xdr:colOff>
      <xdr:row>1</xdr:row>
      <xdr:rowOff>139701</xdr:rowOff>
    </xdr:from>
    <xdr:to>
      <xdr:col>21</xdr:col>
      <xdr:colOff>331413</xdr:colOff>
      <xdr:row>3</xdr:row>
      <xdr:rowOff>95251</xdr:rowOff>
    </xdr:to>
    <xdr:grpSp>
      <xdr:nvGrpSpPr>
        <xdr:cNvPr id="1099" name="Agrupar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C8576CC-371C-44BE-BF23-912685B30C0B}"/>
            </a:ext>
          </a:extLst>
        </xdr:cNvPr>
        <xdr:cNvGrpSpPr/>
      </xdr:nvGrpSpPr>
      <xdr:grpSpPr>
        <a:xfrm>
          <a:off x="18767287" y="205962"/>
          <a:ext cx="470561" cy="303419"/>
          <a:chOff x="6114084" y="422289"/>
          <a:chExt cx="368300" cy="323124"/>
        </a:xfrm>
      </xdr:grpSpPr>
      <xdr:sp macro="[0]!Endividamento" textlink="">
        <xdr:nvSpPr>
          <xdr:cNvPr id="1100" name="Retângulo 11">
            <a:extLst>
              <a:ext uri="{FF2B5EF4-FFF2-40B4-BE49-F238E27FC236}">
                <a16:creationId xmlns:a16="http://schemas.microsoft.com/office/drawing/2014/main" id="{4A25AFFA-B9C3-428C-B963-895A8B7B5D62}"/>
              </a:ext>
            </a:extLst>
          </xdr:cNvPr>
          <xdr:cNvSpPr/>
        </xdr:nvSpPr>
        <xdr:spPr>
          <a:xfrm>
            <a:off x="6114084" y="424272"/>
            <a:ext cx="368300" cy="316624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 macro="[0]!Endividamento">
        <xdr:nvPicPr>
          <xdr:cNvPr id="1101" name="Gráfico 12" descr="Seta: curva no sentido horário com preenchimento sólido">
            <a:extLst>
              <a:ext uri="{FF2B5EF4-FFF2-40B4-BE49-F238E27FC236}">
                <a16:creationId xmlns:a16="http://schemas.microsoft.com/office/drawing/2014/main" id="{95A74E3B-3B8C-440F-B5BD-D2B1F4730A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9"/>
              </a:ext>
            </a:extLst>
          </a:blip>
          <a:stretch>
            <a:fillRect/>
          </a:stretch>
        </xdr:blipFill>
        <xdr:spPr>
          <a:xfrm rot="5400000">
            <a:off x="6135043" y="421851"/>
            <a:ext cx="323124" cy="324000"/>
          </a:xfrm>
          <a:prstGeom prst="rect">
            <a:avLst/>
          </a:prstGeom>
        </xdr:spPr>
      </xdr:pic>
    </xdr:grpSp>
    <xdr:clientData/>
  </xdr:twoCellAnchor>
  <xdr:twoCellAnchor>
    <xdr:from>
      <xdr:col>19</xdr:col>
      <xdr:colOff>717550</xdr:colOff>
      <xdr:row>1</xdr:row>
      <xdr:rowOff>140697</xdr:rowOff>
    </xdr:from>
    <xdr:to>
      <xdr:col>20</xdr:col>
      <xdr:colOff>298450</xdr:colOff>
      <xdr:row>3</xdr:row>
      <xdr:rowOff>82550</xdr:rowOff>
    </xdr:to>
    <xdr:grpSp>
      <xdr:nvGrpSpPr>
        <xdr:cNvPr id="1132" name="Agrupar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6DA706AF-70A4-4AAD-8069-D6CCDF3E7C51}"/>
            </a:ext>
          </a:extLst>
        </xdr:cNvPr>
        <xdr:cNvGrpSpPr/>
      </xdr:nvGrpSpPr>
      <xdr:grpSpPr>
        <a:xfrm>
          <a:off x="17923289" y="206958"/>
          <a:ext cx="431248" cy="289722"/>
          <a:chOff x="5264187" y="418661"/>
          <a:chExt cx="368300" cy="323124"/>
        </a:xfrm>
      </xdr:grpSpPr>
      <xdr:sp macro="[0]!DRE" textlink="">
        <xdr:nvSpPr>
          <xdr:cNvPr id="1133" name="Retângulo 14">
            <a:extLst>
              <a:ext uri="{FF2B5EF4-FFF2-40B4-BE49-F238E27FC236}">
                <a16:creationId xmlns:a16="http://schemas.microsoft.com/office/drawing/2014/main" id="{E3B68265-FFDB-4FAE-9304-6EB1BBCEA7B9}"/>
              </a:ext>
            </a:extLst>
          </xdr:cNvPr>
          <xdr:cNvSpPr/>
        </xdr:nvSpPr>
        <xdr:spPr>
          <a:xfrm>
            <a:off x="5264187" y="424439"/>
            <a:ext cx="368300" cy="316290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 macro="[0]!DRE">
        <xdr:nvPicPr>
          <xdr:cNvPr id="1134" name="Gráfico 15" descr="Seta: curva no sentido horário com preenchimento sólido">
            <a:extLst>
              <a:ext uri="{FF2B5EF4-FFF2-40B4-BE49-F238E27FC236}">
                <a16:creationId xmlns:a16="http://schemas.microsoft.com/office/drawing/2014/main" id="{D54D9211-F1EB-491F-B172-FF669BC57D4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9"/>
              </a:ext>
            </a:extLst>
          </a:blip>
          <a:stretch>
            <a:fillRect/>
          </a:stretch>
        </xdr:blipFill>
        <xdr:spPr>
          <a:xfrm rot="16200000" flipH="1">
            <a:off x="5289587" y="418223"/>
            <a:ext cx="323124" cy="324000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22</xdr:col>
      <xdr:colOff>38100</xdr:colOff>
      <xdr:row>5</xdr:row>
      <xdr:rowOff>139700</xdr:rowOff>
    </xdr:to>
    <xdr:pic>
      <xdr:nvPicPr>
        <xdr:cNvPr id="3" name="Imagem 247" descr="Uma imagem contendo Padrão do plano de fundo&#10;&#10;Descrição gerada automaticamente">
          <a:extLst>
            <a:ext uri="{FF2B5EF4-FFF2-40B4-BE49-F238E27FC236}">
              <a16:creationId xmlns:a16="http://schemas.microsoft.com/office/drawing/2014/main" id="{000B80BF-EE03-4423-8816-4007EFA9D8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65" r="22172" b="72318"/>
        <a:stretch/>
      </xdr:blipFill>
      <xdr:spPr bwMode="auto">
        <a:xfrm>
          <a:off x="0" y="0"/>
          <a:ext cx="16783957" cy="1010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</xdr:colOff>
      <xdr:row>1</xdr:row>
      <xdr:rowOff>80445</xdr:rowOff>
    </xdr:from>
    <xdr:to>
      <xdr:col>1</xdr:col>
      <xdr:colOff>1979709</xdr:colOff>
      <xdr:row>4</xdr:row>
      <xdr:rowOff>64569</xdr:rowOff>
    </xdr:to>
    <xdr:pic>
      <xdr:nvPicPr>
        <xdr:cNvPr id="4" name="Imagem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BECE0E4-EEB2-4DE5-8591-D364FBFFD5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11137" y="239195"/>
          <a:ext cx="1946372" cy="507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20</xdr:col>
      <xdr:colOff>621635</xdr:colOff>
      <xdr:row>1</xdr:row>
      <xdr:rowOff>21772</xdr:rowOff>
    </xdr:from>
    <xdr:to>
      <xdr:col>21</xdr:col>
      <xdr:colOff>151735</xdr:colOff>
      <xdr:row>3</xdr:row>
      <xdr:rowOff>6047</xdr:rowOff>
    </xdr:to>
    <xdr:grpSp>
      <xdr:nvGrpSpPr>
        <xdr:cNvPr id="17" name="Agrupar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971806B-1D84-7F37-C309-157CF81DFFA3}"/>
            </a:ext>
          </a:extLst>
        </xdr:cNvPr>
        <xdr:cNvGrpSpPr/>
      </xdr:nvGrpSpPr>
      <xdr:grpSpPr>
        <a:xfrm>
          <a:off x="16636335" y="186872"/>
          <a:ext cx="266700" cy="333525"/>
          <a:chOff x="5689135" y="422291"/>
          <a:chExt cx="368300" cy="323124"/>
        </a:xfrm>
      </xdr:grpSpPr>
      <xdr:sp macro="[0]!Menu" textlink="">
        <xdr:nvSpPr>
          <xdr:cNvPr id="18" name="Retângulo 17">
            <a:extLst>
              <a:ext uri="{FF2B5EF4-FFF2-40B4-BE49-F238E27FC236}">
                <a16:creationId xmlns:a16="http://schemas.microsoft.com/office/drawing/2014/main" id="{34AA5D21-98B6-36B1-2008-26A6715958A9}"/>
              </a:ext>
            </a:extLst>
          </xdr:cNvPr>
          <xdr:cNvSpPr/>
        </xdr:nvSpPr>
        <xdr:spPr>
          <a:xfrm>
            <a:off x="5689135" y="424272"/>
            <a:ext cx="368300" cy="316624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 macro="[0]!Menu">
        <xdr:nvPicPr>
          <xdr:cNvPr id="20" name="Gráfico 19" descr="Ícone do menu de hambúrguer com preenchimento sólido">
            <a:extLst>
              <a:ext uri="{FF2B5EF4-FFF2-40B4-BE49-F238E27FC236}">
                <a16:creationId xmlns:a16="http://schemas.microsoft.com/office/drawing/2014/main" id="{CEF5953A-A491-4F30-E356-343A84AAB72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5712779" y="422291"/>
            <a:ext cx="324000" cy="323124"/>
          </a:xfrm>
          <a:prstGeom prst="rect">
            <a:avLst/>
          </a:prstGeom>
        </xdr:spPr>
      </xdr:pic>
    </xdr:grpSp>
    <xdr:clientData/>
  </xdr:twoCellAnchor>
  <xdr:twoCellAnchor>
    <xdr:from>
      <xdr:col>21</xdr:col>
      <xdr:colOff>208384</xdr:colOff>
      <xdr:row>1</xdr:row>
      <xdr:rowOff>21770</xdr:rowOff>
    </xdr:from>
    <xdr:to>
      <xdr:col>21</xdr:col>
      <xdr:colOff>576684</xdr:colOff>
      <xdr:row>3</xdr:row>
      <xdr:rowOff>6045</xdr:rowOff>
    </xdr:to>
    <xdr:grpSp>
      <xdr:nvGrpSpPr>
        <xdr:cNvPr id="21" name="Agrupar 2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71E61A1-0A75-1101-CB13-7DD6310F567D}"/>
            </a:ext>
          </a:extLst>
        </xdr:cNvPr>
        <xdr:cNvGrpSpPr/>
      </xdr:nvGrpSpPr>
      <xdr:grpSpPr>
        <a:xfrm>
          <a:off x="16959684" y="186870"/>
          <a:ext cx="368300" cy="333525"/>
          <a:chOff x="6114084" y="422289"/>
          <a:chExt cx="368300" cy="323124"/>
        </a:xfrm>
      </xdr:grpSpPr>
      <xdr:sp macro="[0]!Endividamento" textlink="">
        <xdr:nvSpPr>
          <xdr:cNvPr id="22" name="Retângulo 21">
            <a:extLst>
              <a:ext uri="{FF2B5EF4-FFF2-40B4-BE49-F238E27FC236}">
                <a16:creationId xmlns:a16="http://schemas.microsoft.com/office/drawing/2014/main" id="{C5D0309B-39DA-BCE0-3053-03290D4D5907}"/>
              </a:ext>
            </a:extLst>
          </xdr:cNvPr>
          <xdr:cNvSpPr/>
        </xdr:nvSpPr>
        <xdr:spPr>
          <a:xfrm>
            <a:off x="6114084" y="424272"/>
            <a:ext cx="368300" cy="316624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 macro="[0]!Endividamento">
        <xdr:nvPicPr>
          <xdr:cNvPr id="23" name="Gráfico 22" descr="Seta: curva no sentido horário com preenchimento sólido">
            <a:extLst>
              <a:ext uri="{FF2B5EF4-FFF2-40B4-BE49-F238E27FC236}">
                <a16:creationId xmlns:a16="http://schemas.microsoft.com/office/drawing/2014/main" id="{150CDE94-59AD-25F3-A1DB-7C8C868D781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9"/>
              </a:ext>
            </a:extLst>
          </a:blip>
          <a:stretch>
            <a:fillRect/>
          </a:stretch>
        </xdr:blipFill>
        <xdr:spPr>
          <a:xfrm rot="5400000">
            <a:off x="6135043" y="421851"/>
            <a:ext cx="323124" cy="324000"/>
          </a:xfrm>
          <a:prstGeom prst="rect">
            <a:avLst/>
          </a:prstGeom>
        </xdr:spPr>
      </xdr:pic>
    </xdr:grpSp>
    <xdr:clientData/>
  </xdr:twoCellAnchor>
  <xdr:twoCellAnchor>
    <xdr:from>
      <xdr:col>20</xdr:col>
      <xdr:colOff>196687</xdr:colOff>
      <xdr:row>1</xdr:row>
      <xdr:rowOff>18142</xdr:rowOff>
    </xdr:from>
    <xdr:to>
      <xdr:col>20</xdr:col>
      <xdr:colOff>564987</xdr:colOff>
      <xdr:row>3</xdr:row>
      <xdr:rowOff>2417</xdr:rowOff>
    </xdr:to>
    <xdr:grpSp>
      <xdr:nvGrpSpPr>
        <xdr:cNvPr id="24" name="Agrupar 2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E1724AF6-418E-06D9-C70B-5A3EFDC4357B}"/>
            </a:ext>
          </a:extLst>
        </xdr:cNvPr>
        <xdr:cNvGrpSpPr/>
      </xdr:nvGrpSpPr>
      <xdr:grpSpPr>
        <a:xfrm>
          <a:off x="16211387" y="183242"/>
          <a:ext cx="368300" cy="333525"/>
          <a:chOff x="5264187" y="418661"/>
          <a:chExt cx="368300" cy="323124"/>
        </a:xfrm>
      </xdr:grpSpPr>
      <xdr:sp macro="[0]!DRE" textlink="">
        <xdr:nvSpPr>
          <xdr:cNvPr id="25" name="Retângulo 24">
            <a:extLst>
              <a:ext uri="{FF2B5EF4-FFF2-40B4-BE49-F238E27FC236}">
                <a16:creationId xmlns:a16="http://schemas.microsoft.com/office/drawing/2014/main" id="{6DF31BCD-D916-7EE5-F9A5-C786C0DBE8E5}"/>
              </a:ext>
            </a:extLst>
          </xdr:cNvPr>
          <xdr:cNvSpPr/>
        </xdr:nvSpPr>
        <xdr:spPr>
          <a:xfrm>
            <a:off x="5264187" y="424439"/>
            <a:ext cx="368300" cy="316290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 macro="[0]!DRE">
        <xdr:nvPicPr>
          <xdr:cNvPr id="26" name="Gráfico 25" descr="Seta: curva no sentido horário com preenchimento sólido">
            <a:extLst>
              <a:ext uri="{FF2B5EF4-FFF2-40B4-BE49-F238E27FC236}">
                <a16:creationId xmlns:a16="http://schemas.microsoft.com/office/drawing/2014/main" id="{99F3ACD4-DF3C-1968-9F19-DAF431B7E72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9"/>
              </a:ext>
            </a:extLst>
          </a:blip>
          <a:stretch>
            <a:fillRect/>
          </a:stretch>
        </xdr:blipFill>
        <xdr:spPr>
          <a:xfrm rot="16200000" flipH="1">
            <a:off x="5289587" y="418223"/>
            <a:ext cx="323124" cy="324000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22</xdr:col>
      <xdr:colOff>25400</xdr:colOff>
      <xdr:row>5</xdr:row>
      <xdr:rowOff>6350</xdr:rowOff>
    </xdr:to>
    <xdr:pic>
      <xdr:nvPicPr>
        <xdr:cNvPr id="6" name="Imagem 247" descr="Uma imagem contendo Padrão do plano de fundo&#10;&#10;Descrição gerada automaticamente">
          <a:extLst>
            <a:ext uri="{FF2B5EF4-FFF2-40B4-BE49-F238E27FC236}">
              <a16:creationId xmlns:a16="http://schemas.microsoft.com/office/drawing/2014/main" id="{864F83CA-67ED-4DAE-A3B2-D480E3DE3D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65" r="22172" b="72318"/>
        <a:stretch/>
      </xdr:blipFill>
      <xdr:spPr bwMode="auto">
        <a:xfrm>
          <a:off x="0" y="0"/>
          <a:ext cx="131191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20</xdr:col>
      <xdr:colOff>580356</xdr:colOff>
      <xdr:row>1</xdr:row>
      <xdr:rowOff>97972</xdr:rowOff>
    </xdr:from>
    <xdr:to>
      <xdr:col>21</xdr:col>
      <xdr:colOff>119981</xdr:colOff>
      <xdr:row>3</xdr:row>
      <xdr:rowOff>16934</xdr:rowOff>
    </xdr:to>
    <xdr:grpSp>
      <xdr:nvGrpSpPr>
        <xdr:cNvPr id="8" name="Agrupar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25FD849-9E34-4EB2-9CB9-AB7F2A37D202}"/>
            </a:ext>
          </a:extLst>
        </xdr:cNvPr>
        <xdr:cNvGrpSpPr/>
      </xdr:nvGrpSpPr>
      <xdr:grpSpPr>
        <a:xfrm>
          <a:off x="17434003" y="165207"/>
          <a:ext cx="346449" cy="270080"/>
          <a:chOff x="5689135" y="422291"/>
          <a:chExt cx="368300" cy="323124"/>
        </a:xfrm>
      </xdr:grpSpPr>
      <xdr:sp macro="[0]!Menu" textlink="">
        <xdr:nvSpPr>
          <xdr:cNvPr id="9" name="Retângulo 8">
            <a:extLst>
              <a:ext uri="{FF2B5EF4-FFF2-40B4-BE49-F238E27FC236}">
                <a16:creationId xmlns:a16="http://schemas.microsoft.com/office/drawing/2014/main" id="{A516B631-624B-4B74-A1E1-AA2BB9169F8D}"/>
              </a:ext>
            </a:extLst>
          </xdr:cNvPr>
          <xdr:cNvSpPr/>
        </xdr:nvSpPr>
        <xdr:spPr>
          <a:xfrm>
            <a:off x="5689135" y="424272"/>
            <a:ext cx="368300" cy="316624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 macro="[0]!Menu">
        <xdr:nvPicPr>
          <xdr:cNvPr id="10" name="Gráfico 9" descr="Ícone do menu de hambúrguer com preenchimento sólido">
            <a:extLst>
              <a:ext uri="{FF2B5EF4-FFF2-40B4-BE49-F238E27FC236}">
                <a16:creationId xmlns:a16="http://schemas.microsoft.com/office/drawing/2014/main" id="{38E8CB51-E066-421E-931C-0715CDE9C87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5712779" y="422291"/>
            <a:ext cx="324000" cy="323124"/>
          </a:xfrm>
          <a:prstGeom prst="rect">
            <a:avLst/>
          </a:prstGeom>
        </xdr:spPr>
      </xdr:pic>
    </xdr:grpSp>
    <xdr:clientData/>
  </xdr:twoCellAnchor>
  <xdr:twoCellAnchor>
    <xdr:from>
      <xdr:col>21</xdr:col>
      <xdr:colOff>176630</xdr:colOff>
      <xdr:row>1</xdr:row>
      <xdr:rowOff>123370</xdr:rowOff>
    </xdr:from>
    <xdr:to>
      <xdr:col>21</xdr:col>
      <xdr:colOff>544930</xdr:colOff>
      <xdr:row>3</xdr:row>
      <xdr:rowOff>28222</xdr:rowOff>
    </xdr:to>
    <xdr:grpSp>
      <xdr:nvGrpSpPr>
        <xdr:cNvPr id="11" name="Agrupar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1843658-E25A-4620-A837-EAC7DB302B67}"/>
            </a:ext>
          </a:extLst>
        </xdr:cNvPr>
        <xdr:cNvGrpSpPr/>
      </xdr:nvGrpSpPr>
      <xdr:grpSpPr>
        <a:xfrm>
          <a:off x="17837101" y="190605"/>
          <a:ext cx="368300" cy="255970"/>
          <a:chOff x="6114084" y="422289"/>
          <a:chExt cx="368300" cy="323124"/>
        </a:xfrm>
      </xdr:grpSpPr>
      <xdr:sp macro="[0]!Endividamento" textlink="">
        <xdr:nvSpPr>
          <xdr:cNvPr id="12" name="Retângulo 11">
            <a:extLst>
              <a:ext uri="{FF2B5EF4-FFF2-40B4-BE49-F238E27FC236}">
                <a16:creationId xmlns:a16="http://schemas.microsoft.com/office/drawing/2014/main" id="{9358D3BB-98E4-4C65-A8EA-39100EE3E4CD}"/>
              </a:ext>
            </a:extLst>
          </xdr:cNvPr>
          <xdr:cNvSpPr/>
        </xdr:nvSpPr>
        <xdr:spPr>
          <a:xfrm>
            <a:off x="6114084" y="424272"/>
            <a:ext cx="368300" cy="316624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 macro="[0]!Endividamento">
        <xdr:nvPicPr>
          <xdr:cNvPr id="13" name="Gráfico 12" descr="Seta: curva no sentido horário com preenchimento sólido">
            <a:extLst>
              <a:ext uri="{FF2B5EF4-FFF2-40B4-BE49-F238E27FC236}">
                <a16:creationId xmlns:a16="http://schemas.microsoft.com/office/drawing/2014/main" id="{C79A265D-7292-4155-94BA-1DAB00ED703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7"/>
              </a:ext>
            </a:extLst>
          </a:blip>
          <a:stretch>
            <a:fillRect/>
          </a:stretch>
        </xdr:blipFill>
        <xdr:spPr>
          <a:xfrm rot="5400000">
            <a:off x="6135043" y="421851"/>
            <a:ext cx="323124" cy="324000"/>
          </a:xfrm>
          <a:prstGeom prst="rect">
            <a:avLst/>
          </a:prstGeom>
        </xdr:spPr>
      </xdr:pic>
    </xdr:grpSp>
    <xdr:clientData/>
  </xdr:twoCellAnchor>
  <xdr:twoCellAnchor>
    <xdr:from>
      <xdr:col>20</xdr:col>
      <xdr:colOff>164933</xdr:colOff>
      <xdr:row>1</xdr:row>
      <xdr:rowOff>94341</xdr:rowOff>
    </xdr:from>
    <xdr:to>
      <xdr:col>20</xdr:col>
      <xdr:colOff>533233</xdr:colOff>
      <xdr:row>3</xdr:row>
      <xdr:rowOff>31045</xdr:rowOff>
    </xdr:to>
    <xdr:grpSp>
      <xdr:nvGrpSpPr>
        <xdr:cNvPr id="14" name="Agrupar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336EAAF-6489-4D77-B86B-643738A0D6BF}"/>
            </a:ext>
          </a:extLst>
        </xdr:cNvPr>
        <xdr:cNvGrpSpPr/>
      </xdr:nvGrpSpPr>
      <xdr:grpSpPr>
        <a:xfrm>
          <a:off x="17018580" y="161576"/>
          <a:ext cx="368300" cy="287822"/>
          <a:chOff x="5264187" y="418661"/>
          <a:chExt cx="368300" cy="323124"/>
        </a:xfrm>
      </xdr:grpSpPr>
      <xdr:sp macro="[0]!DRE" textlink="">
        <xdr:nvSpPr>
          <xdr:cNvPr id="15" name="Retângulo 14">
            <a:extLst>
              <a:ext uri="{FF2B5EF4-FFF2-40B4-BE49-F238E27FC236}">
                <a16:creationId xmlns:a16="http://schemas.microsoft.com/office/drawing/2014/main" id="{674C805F-EA99-4616-806B-DA02635FC06D}"/>
              </a:ext>
            </a:extLst>
          </xdr:cNvPr>
          <xdr:cNvSpPr/>
        </xdr:nvSpPr>
        <xdr:spPr>
          <a:xfrm>
            <a:off x="5264187" y="424439"/>
            <a:ext cx="368300" cy="316290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 macro="[0]!DRE">
        <xdr:nvPicPr>
          <xdr:cNvPr id="16" name="Gráfico 15" descr="Seta: curva no sentido horário com preenchimento sólido">
            <a:extLst>
              <a:ext uri="{FF2B5EF4-FFF2-40B4-BE49-F238E27FC236}">
                <a16:creationId xmlns:a16="http://schemas.microsoft.com/office/drawing/2014/main" id="{F4B3702E-B9A0-4D96-92CB-39AEE1D2D5E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7"/>
              </a:ext>
            </a:extLst>
          </a:blip>
          <a:stretch>
            <a:fillRect/>
          </a:stretch>
        </xdr:blipFill>
        <xdr:spPr>
          <a:xfrm rot="16200000" flipH="1">
            <a:off x="5289587" y="418223"/>
            <a:ext cx="323124" cy="324000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14287</xdr:colOff>
      <xdr:row>2</xdr:row>
      <xdr:rowOff>16945</xdr:rowOff>
    </xdr:from>
    <xdr:to>
      <xdr:col>1</xdr:col>
      <xdr:colOff>1628775</xdr:colOff>
      <xdr:row>4</xdr:row>
      <xdr:rowOff>67677</xdr:rowOff>
    </xdr:to>
    <xdr:pic>
      <xdr:nvPicPr>
        <xdr:cNvPr id="17" name="Imagem 1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A5E77DDA-265E-4A01-A702-25B0F444C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11137" y="239195"/>
          <a:ext cx="1617663" cy="4222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27</xdr:col>
      <xdr:colOff>12700</xdr:colOff>
      <xdr:row>5</xdr:row>
      <xdr:rowOff>44450</xdr:rowOff>
    </xdr:to>
    <xdr:pic>
      <xdr:nvPicPr>
        <xdr:cNvPr id="4" name="Imagem 247" descr="Uma imagem contendo Padrão do plano de fundo&#10;&#10;Descrição gerada automaticamente">
          <a:extLst>
            <a:ext uri="{FF2B5EF4-FFF2-40B4-BE49-F238E27FC236}">
              <a16:creationId xmlns:a16="http://schemas.microsoft.com/office/drawing/2014/main" id="{21677704-3DFC-4CC4-B848-37C0644E36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65" r="22172" b="72318"/>
        <a:stretch/>
      </xdr:blipFill>
      <xdr:spPr bwMode="auto">
        <a:xfrm>
          <a:off x="0" y="0"/>
          <a:ext cx="1817370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30820</xdr:colOff>
      <xdr:row>1</xdr:row>
      <xdr:rowOff>112195</xdr:rowOff>
    </xdr:from>
    <xdr:to>
      <xdr:col>1</xdr:col>
      <xdr:colOff>1979709</xdr:colOff>
      <xdr:row>4</xdr:row>
      <xdr:rowOff>16465</xdr:rowOff>
    </xdr:to>
    <xdr:pic>
      <xdr:nvPicPr>
        <xdr:cNvPr id="5" name="Imagem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F3B9198-FA1E-4AB9-B344-649E88553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08620" y="239195"/>
          <a:ext cx="1948889" cy="431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25</xdr:col>
      <xdr:colOff>834358</xdr:colOff>
      <xdr:row>1</xdr:row>
      <xdr:rowOff>12247</xdr:rowOff>
    </xdr:from>
    <xdr:to>
      <xdr:col>26</xdr:col>
      <xdr:colOff>331914</xdr:colOff>
      <xdr:row>2</xdr:row>
      <xdr:rowOff>101600</xdr:rowOff>
    </xdr:to>
    <xdr:grpSp>
      <xdr:nvGrpSpPr>
        <xdr:cNvPr id="8" name="Agrupar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9F40EC4-E5F8-4068-981E-0D9E21517F44}"/>
            </a:ext>
          </a:extLst>
        </xdr:cNvPr>
        <xdr:cNvGrpSpPr/>
      </xdr:nvGrpSpPr>
      <xdr:grpSpPr>
        <a:xfrm>
          <a:off x="24005508" y="139247"/>
          <a:ext cx="373856" cy="254453"/>
          <a:chOff x="5689135" y="422291"/>
          <a:chExt cx="368300" cy="323124"/>
        </a:xfrm>
      </xdr:grpSpPr>
      <xdr:sp macro="[0]!Menu" textlink="">
        <xdr:nvSpPr>
          <xdr:cNvPr id="9" name="Retângulo 8">
            <a:extLst>
              <a:ext uri="{FF2B5EF4-FFF2-40B4-BE49-F238E27FC236}">
                <a16:creationId xmlns:a16="http://schemas.microsoft.com/office/drawing/2014/main" id="{5D682BD8-037E-41E9-A17C-CBFC53ABA390}"/>
              </a:ext>
            </a:extLst>
          </xdr:cNvPr>
          <xdr:cNvSpPr/>
        </xdr:nvSpPr>
        <xdr:spPr>
          <a:xfrm>
            <a:off x="5689135" y="424272"/>
            <a:ext cx="368300" cy="316624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 macro="[0]!Menu">
        <xdr:nvPicPr>
          <xdr:cNvPr id="10" name="Gráfico 9" descr="Ícone do menu de hambúrguer com preenchimento sólido">
            <a:extLst>
              <a:ext uri="{FF2B5EF4-FFF2-40B4-BE49-F238E27FC236}">
                <a16:creationId xmlns:a16="http://schemas.microsoft.com/office/drawing/2014/main" id="{1E0E2EFF-7084-4655-B7C4-142B89F5116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5712779" y="422291"/>
            <a:ext cx="324000" cy="323124"/>
          </a:xfrm>
          <a:prstGeom prst="rect">
            <a:avLst/>
          </a:prstGeom>
        </xdr:spPr>
      </xdr:pic>
    </xdr:grpSp>
    <xdr:clientData/>
  </xdr:twoCellAnchor>
  <xdr:twoCellAnchor>
    <xdr:from>
      <xdr:col>26</xdr:col>
      <xdr:colOff>382213</xdr:colOff>
      <xdr:row>1</xdr:row>
      <xdr:rowOff>12700</xdr:rowOff>
    </xdr:from>
    <xdr:to>
      <xdr:col>26</xdr:col>
      <xdr:colOff>717550</xdr:colOff>
      <xdr:row>2</xdr:row>
      <xdr:rowOff>95249</xdr:rowOff>
    </xdr:to>
    <xdr:grpSp>
      <xdr:nvGrpSpPr>
        <xdr:cNvPr id="11" name="Agrupar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547277E-7CC1-49C2-90B9-583D2D1FCD11}"/>
            </a:ext>
          </a:extLst>
        </xdr:cNvPr>
        <xdr:cNvGrpSpPr/>
      </xdr:nvGrpSpPr>
      <xdr:grpSpPr>
        <a:xfrm>
          <a:off x="24429663" y="139700"/>
          <a:ext cx="335337" cy="247649"/>
          <a:chOff x="6114084" y="422289"/>
          <a:chExt cx="368300" cy="323124"/>
        </a:xfrm>
      </xdr:grpSpPr>
      <xdr:sp macro="[0]!Endividamento" textlink="">
        <xdr:nvSpPr>
          <xdr:cNvPr id="12" name="Retângulo 11">
            <a:extLst>
              <a:ext uri="{FF2B5EF4-FFF2-40B4-BE49-F238E27FC236}">
                <a16:creationId xmlns:a16="http://schemas.microsoft.com/office/drawing/2014/main" id="{0DE271E6-86BB-412A-AEDE-219E195CD197}"/>
              </a:ext>
            </a:extLst>
          </xdr:cNvPr>
          <xdr:cNvSpPr/>
        </xdr:nvSpPr>
        <xdr:spPr>
          <a:xfrm>
            <a:off x="6114084" y="424272"/>
            <a:ext cx="368300" cy="316624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 macro="[0]!Endividamento">
        <xdr:nvPicPr>
          <xdr:cNvPr id="13" name="Gráfico 12" descr="Seta: curva no sentido horário com preenchimento sólido">
            <a:extLst>
              <a:ext uri="{FF2B5EF4-FFF2-40B4-BE49-F238E27FC236}">
                <a16:creationId xmlns:a16="http://schemas.microsoft.com/office/drawing/2014/main" id="{EC277A46-B22B-4E53-B76D-F5AA17D50AE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9"/>
              </a:ext>
            </a:extLst>
          </a:blip>
          <a:stretch>
            <a:fillRect/>
          </a:stretch>
        </xdr:blipFill>
        <xdr:spPr>
          <a:xfrm rot="5400000">
            <a:off x="6135043" y="421851"/>
            <a:ext cx="323124" cy="324000"/>
          </a:xfrm>
          <a:prstGeom prst="rect">
            <a:avLst/>
          </a:prstGeom>
        </xdr:spPr>
      </xdr:pic>
    </xdr:grpSp>
    <xdr:clientData/>
  </xdr:twoCellAnchor>
  <xdr:twoCellAnchor>
    <xdr:from>
      <xdr:col>25</xdr:col>
      <xdr:colOff>391154</xdr:colOff>
      <xdr:row>1</xdr:row>
      <xdr:rowOff>6349</xdr:rowOff>
    </xdr:from>
    <xdr:to>
      <xdr:col>25</xdr:col>
      <xdr:colOff>762000</xdr:colOff>
      <xdr:row>2</xdr:row>
      <xdr:rowOff>88900</xdr:rowOff>
    </xdr:to>
    <xdr:grpSp>
      <xdr:nvGrpSpPr>
        <xdr:cNvPr id="14" name="Agrupar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72B1EC3-724A-49F0-9589-34D7F5EE6C8E}"/>
            </a:ext>
          </a:extLst>
        </xdr:cNvPr>
        <xdr:cNvGrpSpPr/>
      </xdr:nvGrpSpPr>
      <xdr:grpSpPr>
        <a:xfrm>
          <a:off x="23562304" y="133349"/>
          <a:ext cx="370846" cy="247651"/>
          <a:chOff x="5264187" y="418661"/>
          <a:chExt cx="368300" cy="323124"/>
        </a:xfrm>
      </xdr:grpSpPr>
      <xdr:sp macro="[0]!DRE" textlink="">
        <xdr:nvSpPr>
          <xdr:cNvPr id="15" name="Retângulo 14">
            <a:extLst>
              <a:ext uri="{FF2B5EF4-FFF2-40B4-BE49-F238E27FC236}">
                <a16:creationId xmlns:a16="http://schemas.microsoft.com/office/drawing/2014/main" id="{65A4451C-4360-4DCB-81D7-1069A8801CD0}"/>
              </a:ext>
            </a:extLst>
          </xdr:cNvPr>
          <xdr:cNvSpPr/>
        </xdr:nvSpPr>
        <xdr:spPr>
          <a:xfrm>
            <a:off x="5264187" y="424439"/>
            <a:ext cx="368300" cy="316290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 macro="[0]!DRE">
        <xdr:nvPicPr>
          <xdr:cNvPr id="16" name="Gráfico 15" descr="Seta: curva no sentido horário com preenchimento sólido">
            <a:extLst>
              <a:ext uri="{FF2B5EF4-FFF2-40B4-BE49-F238E27FC236}">
                <a16:creationId xmlns:a16="http://schemas.microsoft.com/office/drawing/2014/main" id="{7579796B-569F-478B-AECA-22942C28150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9"/>
              </a:ext>
            </a:extLst>
          </a:blip>
          <a:stretch>
            <a:fillRect/>
          </a:stretch>
        </xdr:blipFill>
        <xdr:spPr>
          <a:xfrm rot="16200000" flipH="1">
            <a:off x="5289587" y="418223"/>
            <a:ext cx="323124" cy="324000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27</xdr:col>
      <xdr:colOff>12700</xdr:colOff>
      <xdr:row>5</xdr:row>
      <xdr:rowOff>6350</xdr:rowOff>
    </xdr:to>
    <xdr:pic>
      <xdr:nvPicPr>
        <xdr:cNvPr id="3" name="Imagem 247" descr="Uma imagem contendo Padrão do plano de fundo&#10;&#10;Descrição gerada automaticamente">
          <a:extLst>
            <a:ext uri="{FF2B5EF4-FFF2-40B4-BE49-F238E27FC236}">
              <a16:creationId xmlns:a16="http://schemas.microsoft.com/office/drawing/2014/main" id="{DB41CCFD-B5A6-4619-B4A5-2D008806A0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65" r="22172" b="72318"/>
        <a:stretch/>
      </xdr:blipFill>
      <xdr:spPr bwMode="auto">
        <a:xfrm>
          <a:off x="0" y="0"/>
          <a:ext cx="1592580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25</xdr:col>
      <xdr:colOff>667669</xdr:colOff>
      <xdr:row>1</xdr:row>
      <xdr:rowOff>0</xdr:rowOff>
    </xdr:from>
    <xdr:to>
      <xdr:col>26</xdr:col>
      <xdr:colOff>131094</xdr:colOff>
      <xdr:row>2</xdr:row>
      <xdr:rowOff>50800</xdr:rowOff>
    </xdr:to>
    <xdr:grpSp>
      <xdr:nvGrpSpPr>
        <xdr:cNvPr id="22" name="Agrupar 2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D233AA0-3FFF-4B84-8B17-DF3ED17D88F0}"/>
            </a:ext>
          </a:extLst>
        </xdr:cNvPr>
        <xdr:cNvGrpSpPr/>
      </xdr:nvGrpSpPr>
      <xdr:grpSpPr>
        <a:xfrm>
          <a:off x="20214626" y="165652"/>
          <a:ext cx="197816" cy="216452"/>
          <a:chOff x="5689135" y="422291"/>
          <a:chExt cx="368300" cy="323124"/>
        </a:xfrm>
      </xdr:grpSpPr>
      <xdr:sp macro="[0]!Menu" textlink="">
        <xdr:nvSpPr>
          <xdr:cNvPr id="23" name="Retângulo 22">
            <a:extLst>
              <a:ext uri="{FF2B5EF4-FFF2-40B4-BE49-F238E27FC236}">
                <a16:creationId xmlns:a16="http://schemas.microsoft.com/office/drawing/2014/main" id="{7F2539F8-7392-43AC-B693-7AACFBDA6F5E}"/>
              </a:ext>
            </a:extLst>
          </xdr:cNvPr>
          <xdr:cNvSpPr/>
        </xdr:nvSpPr>
        <xdr:spPr>
          <a:xfrm>
            <a:off x="5689135" y="424272"/>
            <a:ext cx="368300" cy="316624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 macro="[0]!Menu">
        <xdr:nvPicPr>
          <xdr:cNvPr id="24" name="Gráfico 23" descr="Ícone do menu de hambúrguer com preenchimento sólido">
            <a:extLst>
              <a:ext uri="{FF2B5EF4-FFF2-40B4-BE49-F238E27FC236}">
                <a16:creationId xmlns:a16="http://schemas.microsoft.com/office/drawing/2014/main" id="{B4849C6E-6689-43F3-8FE5-A5FD79BA4F2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5712779" y="422291"/>
            <a:ext cx="324000" cy="323124"/>
          </a:xfrm>
          <a:prstGeom prst="rect">
            <a:avLst/>
          </a:prstGeom>
        </xdr:spPr>
      </xdr:pic>
    </xdr:grpSp>
    <xdr:clientData/>
  </xdr:twoCellAnchor>
  <xdr:twoCellAnchor>
    <xdr:from>
      <xdr:col>26</xdr:col>
      <xdr:colOff>187743</xdr:colOff>
      <xdr:row>1</xdr:row>
      <xdr:rowOff>0</xdr:rowOff>
    </xdr:from>
    <xdr:to>
      <xdr:col>26</xdr:col>
      <xdr:colOff>556043</xdr:colOff>
      <xdr:row>2</xdr:row>
      <xdr:rowOff>44450</xdr:rowOff>
    </xdr:to>
    <xdr:grpSp>
      <xdr:nvGrpSpPr>
        <xdr:cNvPr id="25" name="Agrupar 2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AF1563E-9AC7-42E1-A12C-5A4DF783525D}"/>
            </a:ext>
          </a:extLst>
        </xdr:cNvPr>
        <xdr:cNvGrpSpPr/>
      </xdr:nvGrpSpPr>
      <xdr:grpSpPr>
        <a:xfrm>
          <a:off x="20469091" y="165652"/>
          <a:ext cx="368300" cy="210102"/>
          <a:chOff x="6114084" y="422289"/>
          <a:chExt cx="368300" cy="323124"/>
        </a:xfrm>
      </xdr:grpSpPr>
      <xdr:sp macro="[0]!Endividamento" textlink="">
        <xdr:nvSpPr>
          <xdr:cNvPr id="26" name="Retângulo 25">
            <a:extLst>
              <a:ext uri="{FF2B5EF4-FFF2-40B4-BE49-F238E27FC236}">
                <a16:creationId xmlns:a16="http://schemas.microsoft.com/office/drawing/2014/main" id="{3C7193D6-506F-4349-9267-9A0ADCA2C6D3}"/>
              </a:ext>
            </a:extLst>
          </xdr:cNvPr>
          <xdr:cNvSpPr/>
        </xdr:nvSpPr>
        <xdr:spPr>
          <a:xfrm>
            <a:off x="6114084" y="424272"/>
            <a:ext cx="368300" cy="316624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 macro="[0]!Endividamento">
        <xdr:nvPicPr>
          <xdr:cNvPr id="27" name="Gráfico 26" descr="Seta: curva no sentido horário com preenchimento sólido">
            <a:extLst>
              <a:ext uri="{FF2B5EF4-FFF2-40B4-BE49-F238E27FC236}">
                <a16:creationId xmlns:a16="http://schemas.microsoft.com/office/drawing/2014/main" id="{3A75EAEF-B73F-4DC1-B1E5-9A7EC71D33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7"/>
              </a:ext>
            </a:extLst>
          </a:blip>
          <a:stretch>
            <a:fillRect/>
          </a:stretch>
        </xdr:blipFill>
        <xdr:spPr>
          <a:xfrm rot="5400000">
            <a:off x="6135043" y="421851"/>
            <a:ext cx="323124" cy="324000"/>
          </a:xfrm>
          <a:prstGeom prst="rect">
            <a:avLst/>
          </a:prstGeom>
        </xdr:spPr>
      </xdr:pic>
    </xdr:grpSp>
    <xdr:clientData/>
  </xdr:twoCellAnchor>
  <xdr:twoCellAnchor>
    <xdr:from>
      <xdr:col>25</xdr:col>
      <xdr:colOff>242721</xdr:colOff>
      <xdr:row>0</xdr:row>
      <xdr:rowOff>152400</xdr:rowOff>
    </xdr:from>
    <xdr:to>
      <xdr:col>25</xdr:col>
      <xdr:colOff>611021</xdr:colOff>
      <xdr:row>2</xdr:row>
      <xdr:rowOff>60359</xdr:rowOff>
    </xdr:to>
    <xdr:grpSp>
      <xdr:nvGrpSpPr>
        <xdr:cNvPr id="28" name="Agrupar 2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D82AF73B-C59F-4EC5-9D7E-6B5DAFB3B266}"/>
            </a:ext>
          </a:extLst>
        </xdr:cNvPr>
        <xdr:cNvGrpSpPr/>
      </xdr:nvGrpSpPr>
      <xdr:grpSpPr>
        <a:xfrm>
          <a:off x="19789678" y="152400"/>
          <a:ext cx="368300" cy="239263"/>
          <a:chOff x="5264187" y="418661"/>
          <a:chExt cx="368300" cy="323124"/>
        </a:xfrm>
      </xdr:grpSpPr>
      <xdr:sp macro="[0]!DRE" textlink="">
        <xdr:nvSpPr>
          <xdr:cNvPr id="29" name="Retângulo 28">
            <a:extLst>
              <a:ext uri="{FF2B5EF4-FFF2-40B4-BE49-F238E27FC236}">
                <a16:creationId xmlns:a16="http://schemas.microsoft.com/office/drawing/2014/main" id="{EFE1C152-EAB6-4422-8838-5AB4D612B481}"/>
              </a:ext>
            </a:extLst>
          </xdr:cNvPr>
          <xdr:cNvSpPr/>
        </xdr:nvSpPr>
        <xdr:spPr>
          <a:xfrm>
            <a:off x="5264187" y="424439"/>
            <a:ext cx="368300" cy="316290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 macro="[0]!DRE">
        <xdr:nvPicPr>
          <xdr:cNvPr id="30" name="Gráfico 29" descr="Seta: curva no sentido horário com preenchimento sólido">
            <a:extLst>
              <a:ext uri="{FF2B5EF4-FFF2-40B4-BE49-F238E27FC236}">
                <a16:creationId xmlns:a16="http://schemas.microsoft.com/office/drawing/2014/main" id="{6506ED9A-AE17-4AFE-A2DE-86449458BC7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7"/>
              </a:ext>
            </a:extLst>
          </a:blip>
          <a:stretch>
            <a:fillRect/>
          </a:stretch>
        </xdr:blipFill>
        <xdr:spPr>
          <a:xfrm rot="16200000" flipH="1">
            <a:off x="5289587" y="418223"/>
            <a:ext cx="323124" cy="324000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208620</xdr:colOff>
      <xdr:row>1</xdr:row>
      <xdr:rowOff>80445</xdr:rowOff>
    </xdr:from>
    <xdr:to>
      <xdr:col>1</xdr:col>
      <xdr:colOff>1951134</xdr:colOff>
      <xdr:row>3</xdr:row>
      <xdr:rowOff>168865</xdr:rowOff>
    </xdr:to>
    <xdr:pic>
      <xdr:nvPicPr>
        <xdr:cNvPr id="4" name="Imagem 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92BD24F7-49D5-4193-9803-404B9E038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08620" y="239195"/>
          <a:ext cx="1948889" cy="431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22</xdr:col>
      <xdr:colOff>28222</xdr:colOff>
      <xdr:row>4</xdr:row>
      <xdr:rowOff>160299</xdr:rowOff>
    </xdr:to>
    <xdr:pic>
      <xdr:nvPicPr>
        <xdr:cNvPr id="4" name="Imagem 247" descr="Uma imagem contendo Padrão do plano de fundo&#10;&#10;Descrição gerada automaticamente">
          <a:extLst>
            <a:ext uri="{FF2B5EF4-FFF2-40B4-BE49-F238E27FC236}">
              <a16:creationId xmlns:a16="http://schemas.microsoft.com/office/drawing/2014/main" id="{39659BCB-0A28-4B0D-84AE-AAE64D7656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65" r="22172" b="72318"/>
        <a:stretch/>
      </xdr:blipFill>
      <xdr:spPr bwMode="auto">
        <a:xfrm>
          <a:off x="0" y="0"/>
          <a:ext cx="13130389" cy="851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208620</xdr:colOff>
      <xdr:row>1</xdr:row>
      <xdr:rowOff>76573</xdr:rowOff>
    </xdr:from>
    <xdr:to>
      <xdr:col>1</xdr:col>
      <xdr:colOff>1951599</xdr:colOff>
      <xdr:row>3</xdr:row>
      <xdr:rowOff>162592</xdr:rowOff>
    </xdr:to>
    <xdr:pic>
      <xdr:nvPicPr>
        <xdr:cNvPr id="5" name="Imagem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38F849F-DA73-48BC-9083-63EF8A450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08620" y="239195"/>
          <a:ext cx="1948889" cy="431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20</xdr:col>
      <xdr:colOff>689813</xdr:colOff>
      <xdr:row>0</xdr:row>
      <xdr:rowOff>100434</xdr:rowOff>
    </xdr:from>
    <xdr:to>
      <xdr:col>21</xdr:col>
      <xdr:colOff>229085</xdr:colOff>
      <xdr:row>2</xdr:row>
      <xdr:rowOff>96350</xdr:rowOff>
    </xdr:to>
    <xdr:grpSp>
      <xdr:nvGrpSpPr>
        <xdr:cNvPr id="8" name="Agrupar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79E9A17-04F8-4C2B-846B-6B7FACACD4FC}"/>
            </a:ext>
          </a:extLst>
        </xdr:cNvPr>
        <xdr:cNvGrpSpPr/>
      </xdr:nvGrpSpPr>
      <xdr:grpSpPr>
        <a:xfrm>
          <a:off x="16735987" y="100434"/>
          <a:ext cx="273663" cy="327220"/>
          <a:chOff x="5689135" y="422291"/>
          <a:chExt cx="368300" cy="323124"/>
        </a:xfrm>
      </xdr:grpSpPr>
      <xdr:sp macro="[0]!Menu" textlink="">
        <xdr:nvSpPr>
          <xdr:cNvPr id="9" name="Retângulo 8">
            <a:extLst>
              <a:ext uri="{FF2B5EF4-FFF2-40B4-BE49-F238E27FC236}">
                <a16:creationId xmlns:a16="http://schemas.microsoft.com/office/drawing/2014/main" id="{EDA8295E-9C3B-409B-9798-0D5ED5711930}"/>
              </a:ext>
            </a:extLst>
          </xdr:cNvPr>
          <xdr:cNvSpPr/>
        </xdr:nvSpPr>
        <xdr:spPr>
          <a:xfrm>
            <a:off x="5689135" y="424272"/>
            <a:ext cx="368300" cy="316624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 macro="[0]!Menu">
        <xdr:nvPicPr>
          <xdr:cNvPr id="10" name="Gráfico 9" descr="Ícone do menu de hambúrguer com preenchimento sólido">
            <a:extLst>
              <a:ext uri="{FF2B5EF4-FFF2-40B4-BE49-F238E27FC236}">
                <a16:creationId xmlns:a16="http://schemas.microsoft.com/office/drawing/2014/main" id="{7AA8E625-62DF-419A-8224-0FB78221536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5712779" y="422291"/>
            <a:ext cx="324000" cy="323124"/>
          </a:xfrm>
          <a:prstGeom prst="rect">
            <a:avLst/>
          </a:prstGeom>
        </xdr:spPr>
      </xdr:pic>
    </xdr:grpSp>
    <xdr:clientData/>
  </xdr:twoCellAnchor>
  <xdr:twoCellAnchor>
    <xdr:from>
      <xdr:col>21</xdr:col>
      <xdr:colOff>285734</xdr:colOff>
      <xdr:row>0</xdr:row>
      <xdr:rowOff>100432</xdr:rowOff>
    </xdr:from>
    <xdr:to>
      <xdr:col>21</xdr:col>
      <xdr:colOff>644861</xdr:colOff>
      <xdr:row>2</xdr:row>
      <xdr:rowOff>96348</xdr:rowOff>
    </xdr:to>
    <xdr:grpSp>
      <xdr:nvGrpSpPr>
        <xdr:cNvPr id="11" name="Agrupar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0B34C44-4A5A-4DC2-9166-C8BA5C198D63}"/>
            </a:ext>
          </a:extLst>
        </xdr:cNvPr>
        <xdr:cNvGrpSpPr/>
      </xdr:nvGrpSpPr>
      <xdr:grpSpPr>
        <a:xfrm>
          <a:off x="17066299" y="100432"/>
          <a:ext cx="359127" cy="327220"/>
          <a:chOff x="6114084" y="422289"/>
          <a:chExt cx="368300" cy="323124"/>
        </a:xfrm>
      </xdr:grpSpPr>
      <xdr:sp macro="[0]!Endividamento" textlink="">
        <xdr:nvSpPr>
          <xdr:cNvPr id="12" name="Retângulo 11">
            <a:extLst>
              <a:ext uri="{FF2B5EF4-FFF2-40B4-BE49-F238E27FC236}">
                <a16:creationId xmlns:a16="http://schemas.microsoft.com/office/drawing/2014/main" id="{9F8E54C0-CD2E-45E4-B403-3472D232A624}"/>
              </a:ext>
            </a:extLst>
          </xdr:cNvPr>
          <xdr:cNvSpPr/>
        </xdr:nvSpPr>
        <xdr:spPr>
          <a:xfrm>
            <a:off x="6114084" y="424272"/>
            <a:ext cx="368300" cy="316624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 macro="[0]!Endividamento">
        <xdr:nvPicPr>
          <xdr:cNvPr id="13" name="Gráfico 12" descr="Seta: curva no sentido horário com preenchimento sólido">
            <a:extLst>
              <a:ext uri="{FF2B5EF4-FFF2-40B4-BE49-F238E27FC236}">
                <a16:creationId xmlns:a16="http://schemas.microsoft.com/office/drawing/2014/main" id="{0DE3964E-8027-4B1E-B303-76DAD89AAE8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9"/>
              </a:ext>
            </a:extLst>
          </a:blip>
          <a:stretch>
            <a:fillRect/>
          </a:stretch>
        </xdr:blipFill>
        <xdr:spPr>
          <a:xfrm rot="5400000">
            <a:off x="6135043" y="421851"/>
            <a:ext cx="323124" cy="324000"/>
          </a:xfrm>
          <a:prstGeom prst="rect">
            <a:avLst/>
          </a:prstGeom>
        </xdr:spPr>
      </xdr:pic>
    </xdr:grpSp>
    <xdr:clientData/>
  </xdr:twoCellAnchor>
  <xdr:twoCellAnchor>
    <xdr:from>
      <xdr:col>20</xdr:col>
      <xdr:colOff>274037</xdr:colOff>
      <xdr:row>0</xdr:row>
      <xdr:rowOff>96804</xdr:rowOff>
    </xdr:from>
    <xdr:to>
      <xdr:col>20</xdr:col>
      <xdr:colOff>633165</xdr:colOff>
      <xdr:row>2</xdr:row>
      <xdr:rowOff>92720</xdr:rowOff>
    </xdr:to>
    <xdr:grpSp>
      <xdr:nvGrpSpPr>
        <xdr:cNvPr id="14" name="Agrupar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316A9CB7-08CB-4278-B223-DC6CFA60CE2B}"/>
            </a:ext>
          </a:extLst>
        </xdr:cNvPr>
        <xdr:cNvGrpSpPr/>
      </xdr:nvGrpSpPr>
      <xdr:grpSpPr>
        <a:xfrm>
          <a:off x="16320211" y="96804"/>
          <a:ext cx="359128" cy="327220"/>
          <a:chOff x="5264187" y="418661"/>
          <a:chExt cx="368300" cy="323124"/>
        </a:xfrm>
      </xdr:grpSpPr>
      <xdr:sp macro="[0]!DRE" textlink="">
        <xdr:nvSpPr>
          <xdr:cNvPr id="15" name="Retângulo 14">
            <a:extLst>
              <a:ext uri="{FF2B5EF4-FFF2-40B4-BE49-F238E27FC236}">
                <a16:creationId xmlns:a16="http://schemas.microsoft.com/office/drawing/2014/main" id="{A44586D3-CE6D-44D9-B381-B41D6F12640B}"/>
              </a:ext>
            </a:extLst>
          </xdr:cNvPr>
          <xdr:cNvSpPr/>
        </xdr:nvSpPr>
        <xdr:spPr>
          <a:xfrm>
            <a:off x="5264187" y="424439"/>
            <a:ext cx="368300" cy="316290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 macro="[0]!DRE">
        <xdr:nvPicPr>
          <xdr:cNvPr id="16" name="Gráfico 15" descr="Seta: curva no sentido horário com preenchimento sólido">
            <a:extLst>
              <a:ext uri="{FF2B5EF4-FFF2-40B4-BE49-F238E27FC236}">
                <a16:creationId xmlns:a16="http://schemas.microsoft.com/office/drawing/2014/main" id="{09AF4977-8721-4F7A-A42E-1F3D893DB71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9"/>
              </a:ext>
            </a:extLst>
          </a:blip>
          <a:stretch>
            <a:fillRect/>
          </a:stretch>
        </xdr:blipFill>
        <xdr:spPr>
          <a:xfrm rot="16200000" flipH="1">
            <a:off x="5289587" y="418223"/>
            <a:ext cx="323124" cy="324000"/>
          </a:xfrm>
          <a:prstGeom prst="rect">
            <a:avLst/>
          </a:prstGeom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44</xdr:col>
      <xdr:colOff>44020</xdr:colOff>
      <xdr:row>28</xdr:row>
      <xdr:rowOff>110841</xdr:rowOff>
    </xdr:from>
    <xdr:to>
      <xdr:col>64</xdr:col>
      <xdr:colOff>5018</xdr:colOff>
      <xdr:row>31</xdr:row>
      <xdr:rowOff>91791</xdr:rowOff>
    </xdr:to>
    <xdr:sp macro="" textlink="">
      <xdr:nvSpPr>
        <xdr:cNvPr id="218" name="Retângulo: Cantos Diagonais Arredondados 217">
          <a:extLst>
            <a:ext uri="{FF2B5EF4-FFF2-40B4-BE49-F238E27FC236}">
              <a16:creationId xmlns:a16="http://schemas.microsoft.com/office/drawing/2014/main" id="{F2BA5514-E819-4FB3-B5B6-ADF856883B1F}"/>
            </a:ext>
          </a:extLst>
        </xdr:cNvPr>
        <xdr:cNvSpPr/>
      </xdr:nvSpPr>
      <xdr:spPr>
        <a:xfrm>
          <a:off x="4793820" y="3666841"/>
          <a:ext cx="2119998" cy="361950"/>
        </a:xfrm>
        <a:prstGeom prst="round2DiagRect">
          <a:avLst>
            <a:gd name="adj1" fmla="val 0"/>
            <a:gd name="adj2" fmla="val 27500"/>
          </a:avLst>
        </a:prstGeom>
        <a:solidFill>
          <a:schemeClr val="bg1">
            <a:lumMod val="95000"/>
          </a:schemeClr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 baseline="0">
              <a:solidFill>
                <a:srgbClr val="4B4F55"/>
              </a:solidFill>
              <a:latin typeface="Roboto" panose="02000000000000000000"/>
            </a:rPr>
            <a:t>Soja </a:t>
          </a:r>
          <a:endParaRPr lang="pt-BR" sz="1100" b="1">
            <a:solidFill>
              <a:srgbClr val="4B4F55"/>
            </a:solidFill>
            <a:latin typeface="Roboto" panose="02000000000000000000"/>
          </a:endParaRPr>
        </a:p>
      </xdr:txBody>
    </xdr:sp>
    <xdr:clientData/>
  </xdr:twoCellAnchor>
  <xdr:twoCellAnchor>
    <xdr:from>
      <xdr:col>0</xdr:col>
      <xdr:colOff>96611</xdr:colOff>
      <xdr:row>33</xdr:row>
      <xdr:rowOff>117636</xdr:rowOff>
    </xdr:from>
    <xdr:to>
      <xdr:col>35</xdr:col>
      <xdr:colOff>61328</xdr:colOff>
      <xdr:row>46</xdr:row>
      <xdr:rowOff>13727</xdr:rowOff>
    </xdr:to>
    <xdr:sp macro="" textlink="">
      <xdr:nvSpPr>
        <xdr:cNvPr id="991" name="Paralelogramo 162">
          <a:extLst>
            <a:ext uri="{FF2B5EF4-FFF2-40B4-BE49-F238E27FC236}">
              <a16:creationId xmlns:a16="http://schemas.microsoft.com/office/drawing/2014/main" id="{79144AC9-FF47-42DD-9B09-0AFF681609CB}"/>
            </a:ext>
          </a:extLst>
        </xdr:cNvPr>
        <xdr:cNvSpPr/>
      </xdr:nvSpPr>
      <xdr:spPr>
        <a:xfrm flipH="1">
          <a:off x="96611" y="4308636"/>
          <a:ext cx="3725871" cy="1547091"/>
        </a:xfrm>
        <a:prstGeom prst="parallelogram">
          <a:avLst>
            <a:gd name="adj" fmla="val 28750"/>
          </a:avLst>
        </a:prstGeom>
        <a:solidFill>
          <a:srgbClr val="D9D9D9">
            <a:alpha val="2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9</xdr:col>
      <xdr:colOff>76199</xdr:colOff>
      <xdr:row>36</xdr:row>
      <xdr:rowOff>33596</xdr:rowOff>
    </xdr:from>
    <xdr:to>
      <xdr:col>33</xdr:col>
      <xdr:colOff>89362</xdr:colOff>
      <xdr:row>46</xdr:row>
      <xdr:rowOff>37408</xdr:rowOff>
    </xdr:to>
    <xdr:graphicFrame macro="">
      <xdr:nvGraphicFramePr>
        <xdr:cNvPr id="466" name="Gráfico 158">
          <a:extLst>
            <a:ext uri="{FF2B5EF4-FFF2-40B4-BE49-F238E27FC236}">
              <a16:creationId xmlns:a16="http://schemas.microsoft.com/office/drawing/2014/main" id="{CA2D4A92-70FD-4667-86F3-A08BC2DA2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44</xdr:col>
      <xdr:colOff>104323</xdr:colOff>
      <xdr:row>16</xdr:row>
      <xdr:rowOff>34648</xdr:rowOff>
    </xdr:from>
    <xdr:to>
      <xdr:col>51</xdr:col>
      <xdr:colOff>33566</xdr:colOff>
      <xdr:row>19</xdr:row>
      <xdr:rowOff>15599</xdr:rowOff>
    </xdr:to>
    <xdr:sp macro="" textlink="">
      <xdr:nvSpPr>
        <xdr:cNvPr id="96" name="Retângulo: Cantos Diagonais Arredondados 95">
          <a:extLst>
            <a:ext uri="{FF2B5EF4-FFF2-40B4-BE49-F238E27FC236}">
              <a16:creationId xmlns:a16="http://schemas.microsoft.com/office/drawing/2014/main" id="{FF3B7C44-A035-4C44-8EED-73EDDACA2296}"/>
            </a:ext>
          </a:extLst>
        </xdr:cNvPr>
        <xdr:cNvSpPr/>
      </xdr:nvSpPr>
      <xdr:spPr>
        <a:xfrm>
          <a:off x="4894037" y="2066648"/>
          <a:ext cx="691243" cy="361951"/>
        </a:xfrm>
        <a:prstGeom prst="round2DiagRect">
          <a:avLst>
            <a:gd name="adj1" fmla="val 0"/>
            <a:gd name="adj2" fmla="val 27500"/>
          </a:avLst>
        </a:prstGeom>
        <a:solidFill>
          <a:schemeClr val="bg1">
            <a:lumMod val="95000"/>
          </a:schemeClr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rgbClr val="4B4F55"/>
              </a:solidFill>
              <a:latin typeface="Roboto" panose="02000000000000000000"/>
            </a:rPr>
            <a:t>Etanol</a:t>
          </a:r>
        </a:p>
      </xdr:txBody>
    </xdr:sp>
    <xdr:clientData/>
  </xdr:twoCellAnchor>
  <xdr:twoCellAnchor>
    <xdr:from>
      <xdr:col>44</xdr:col>
      <xdr:colOff>104322</xdr:colOff>
      <xdr:row>22</xdr:row>
      <xdr:rowOff>8659</xdr:rowOff>
    </xdr:from>
    <xdr:to>
      <xdr:col>56</xdr:col>
      <xdr:colOff>39915</xdr:colOff>
      <xdr:row>24</xdr:row>
      <xdr:rowOff>2310</xdr:rowOff>
    </xdr:to>
    <xdr:sp macro="" textlink="">
      <xdr:nvSpPr>
        <xdr:cNvPr id="1131" name="Retângulo: Cantos Diagonais Arredondados 96">
          <a:extLst>
            <a:ext uri="{FF2B5EF4-FFF2-40B4-BE49-F238E27FC236}">
              <a16:creationId xmlns:a16="http://schemas.microsoft.com/office/drawing/2014/main" id="{D1541333-2ACC-4981-BC04-4719EED768D9}"/>
            </a:ext>
          </a:extLst>
        </xdr:cNvPr>
        <xdr:cNvSpPr/>
      </xdr:nvSpPr>
      <xdr:spPr>
        <a:xfrm>
          <a:off x="4706204" y="2802659"/>
          <a:ext cx="1190652" cy="247651"/>
        </a:xfrm>
        <a:prstGeom prst="round2DiagRect">
          <a:avLst>
            <a:gd name="adj1" fmla="val 0"/>
            <a:gd name="adj2" fmla="val 27500"/>
          </a:avLst>
        </a:prstGeom>
        <a:solidFill>
          <a:schemeClr val="bg1">
            <a:lumMod val="95000"/>
          </a:schemeClr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rgbClr val="4B4F55"/>
              </a:solidFill>
              <a:latin typeface="Roboto" panose="02000000000000000000"/>
            </a:rPr>
            <a:t>Energia Elétrica</a:t>
          </a:r>
        </a:p>
      </xdr:txBody>
    </xdr:sp>
    <xdr:clientData/>
  </xdr:twoCellAnchor>
  <xdr:twoCellAnchor>
    <xdr:from>
      <xdr:col>44</xdr:col>
      <xdr:colOff>48471</xdr:colOff>
      <xdr:row>25</xdr:row>
      <xdr:rowOff>48496</xdr:rowOff>
    </xdr:from>
    <xdr:to>
      <xdr:col>58</xdr:col>
      <xdr:colOff>30832</xdr:colOff>
      <xdr:row>28</xdr:row>
      <xdr:rowOff>29447</xdr:rowOff>
    </xdr:to>
    <xdr:sp macro="" textlink="">
      <xdr:nvSpPr>
        <xdr:cNvPr id="98" name="Retângulo: Cantos Diagonais Arredondados 97">
          <a:extLst>
            <a:ext uri="{FF2B5EF4-FFF2-40B4-BE49-F238E27FC236}">
              <a16:creationId xmlns:a16="http://schemas.microsoft.com/office/drawing/2014/main" id="{E3302833-1434-412D-BACA-C5B374C9756B}"/>
            </a:ext>
          </a:extLst>
        </xdr:cNvPr>
        <xdr:cNvSpPr/>
      </xdr:nvSpPr>
      <xdr:spPr>
        <a:xfrm>
          <a:off x="4838185" y="3223496"/>
          <a:ext cx="1506361" cy="361951"/>
        </a:xfrm>
        <a:prstGeom prst="round2DiagRect">
          <a:avLst>
            <a:gd name="adj1" fmla="val 0"/>
            <a:gd name="adj2" fmla="val 27500"/>
          </a:avLst>
        </a:prstGeom>
        <a:solidFill>
          <a:schemeClr val="bg1">
            <a:lumMod val="95000"/>
          </a:schemeClr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rgbClr val="4B4F55"/>
              </a:solidFill>
              <a:latin typeface="Roboto" panose="02000000000000000000"/>
            </a:rPr>
            <a:t>Biomassa</a:t>
          </a:r>
        </a:p>
      </xdr:txBody>
    </xdr:sp>
    <xdr:clientData/>
  </xdr:twoCellAnchor>
  <xdr:twoCellAnchor>
    <xdr:from>
      <xdr:col>1</xdr:col>
      <xdr:colOff>0</xdr:colOff>
      <xdr:row>1</xdr:row>
      <xdr:rowOff>0</xdr:rowOff>
    </xdr:from>
    <xdr:to>
      <xdr:col>95</xdr:col>
      <xdr:colOff>0</xdr:colOff>
      <xdr:row>9</xdr:row>
      <xdr:rowOff>0</xdr:rowOff>
    </xdr:to>
    <xdr:sp macro="" textlink="">
      <xdr:nvSpPr>
        <xdr:cNvPr id="4" name="Retângulo: Cantos Diagonais Arredondados 3">
          <a:extLst>
            <a:ext uri="{FF2B5EF4-FFF2-40B4-BE49-F238E27FC236}">
              <a16:creationId xmlns:a16="http://schemas.microsoft.com/office/drawing/2014/main" id="{D5C00F79-B776-4975-94F3-04A4510435E4}"/>
            </a:ext>
          </a:extLst>
        </xdr:cNvPr>
        <xdr:cNvSpPr/>
      </xdr:nvSpPr>
      <xdr:spPr>
        <a:xfrm>
          <a:off x="127000" y="127000"/>
          <a:ext cx="11938000" cy="1016000"/>
        </a:xfrm>
        <a:prstGeom prst="round2DiagRect">
          <a:avLst>
            <a:gd name="adj1" fmla="val 0"/>
            <a:gd name="adj2" fmla="val 0"/>
          </a:avLst>
        </a:prstGeom>
        <a:solidFill>
          <a:srgbClr val="4B4F5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25</xdr:col>
      <xdr:colOff>7056</xdr:colOff>
      <xdr:row>2</xdr:row>
      <xdr:rowOff>21167</xdr:rowOff>
    </xdr:from>
    <xdr:to>
      <xdr:col>85</xdr:col>
      <xdr:colOff>7056</xdr:colOff>
      <xdr:row>8</xdr:row>
      <xdr:rowOff>21167</xdr:rowOff>
    </xdr:to>
    <xdr:sp macro="" textlink="">
      <xdr:nvSpPr>
        <xdr:cNvPr id="7" name="Retângulo: Cantos Diagonais Arredondados 6">
          <a:extLst>
            <a:ext uri="{FF2B5EF4-FFF2-40B4-BE49-F238E27FC236}">
              <a16:creationId xmlns:a16="http://schemas.microsoft.com/office/drawing/2014/main" id="{772E8B8E-D98F-4FA8-AF86-D4724E1B96E5}"/>
            </a:ext>
          </a:extLst>
        </xdr:cNvPr>
        <xdr:cNvSpPr/>
      </xdr:nvSpPr>
      <xdr:spPr>
        <a:xfrm>
          <a:off x="2652889" y="275167"/>
          <a:ext cx="6350000" cy="762000"/>
        </a:xfrm>
        <a:prstGeom prst="round2DiagRect">
          <a:avLst>
            <a:gd name="adj1" fmla="val 0"/>
            <a:gd name="adj2" fmla="val 0"/>
          </a:avLst>
        </a:prstGeom>
        <a:solidFill>
          <a:srgbClr val="3D4045"/>
        </a:solidFill>
        <a:ln>
          <a:solidFill>
            <a:schemeClr val="bg1"/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pt-BR" sz="2400" b="1">
            <a:latin typeface="Roboto" panose="02000000000000000000"/>
          </a:endParaRPr>
        </a:p>
      </xdr:txBody>
    </xdr:sp>
    <xdr:clientData/>
  </xdr:twoCellAnchor>
  <xdr:twoCellAnchor>
    <xdr:from>
      <xdr:col>1</xdr:col>
      <xdr:colOff>114299</xdr:colOff>
      <xdr:row>2</xdr:row>
      <xdr:rowOff>0</xdr:rowOff>
    </xdr:from>
    <xdr:to>
      <xdr:col>16</xdr:col>
      <xdr:colOff>0</xdr:colOff>
      <xdr:row>8</xdr:row>
      <xdr:rowOff>0</xdr:rowOff>
    </xdr:to>
    <xdr:sp macro="" textlink="">
      <xdr:nvSpPr>
        <xdr:cNvPr id="5" name="Retângulo: Cantos Diagonais Arredondados 4">
          <a:extLst>
            <a:ext uri="{FF2B5EF4-FFF2-40B4-BE49-F238E27FC236}">
              <a16:creationId xmlns:a16="http://schemas.microsoft.com/office/drawing/2014/main" id="{04BC5E03-7D8D-4AD9-AA4A-2DB18F500962}"/>
            </a:ext>
          </a:extLst>
        </xdr:cNvPr>
        <xdr:cNvSpPr/>
      </xdr:nvSpPr>
      <xdr:spPr>
        <a:xfrm>
          <a:off x="228599" y="247650"/>
          <a:ext cx="1600201" cy="742950"/>
        </a:xfrm>
        <a:prstGeom prst="round2DiagRect">
          <a:avLst>
            <a:gd name="adj1" fmla="val 0"/>
            <a:gd name="adj2" fmla="val 0"/>
          </a:avLst>
        </a:prstGeom>
        <a:solidFill>
          <a:srgbClr val="3D4045"/>
        </a:solidFill>
        <a:ln>
          <a:solidFill>
            <a:schemeClr val="bg1"/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600" b="0">
              <a:latin typeface="Roboto" panose="02000000000000000000"/>
            </a:rPr>
            <a:t>Dados da Safra</a:t>
          </a:r>
        </a:p>
        <a:p>
          <a:pPr algn="l"/>
          <a:r>
            <a:rPr lang="pt-BR" sz="1800" b="1">
              <a:latin typeface="Roboto" panose="02000000000000000000"/>
            </a:rPr>
            <a:t>Uisa</a:t>
          </a:r>
        </a:p>
      </xdr:txBody>
    </xdr:sp>
    <xdr:clientData/>
  </xdr:twoCellAnchor>
  <xdr:twoCellAnchor>
    <xdr:from>
      <xdr:col>16</xdr:col>
      <xdr:colOff>0</xdr:colOff>
      <xdr:row>2</xdr:row>
      <xdr:rowOff>0</xdr:rowOff>
    </xdr:from>
    <xdr:to>
      <xdr:col>24</xdr:col>
      <xdr:colOff>0</xdr:colOff>
      <xdr:row>8</xdr:row>
      <xdr:rowOff>0</xdr:rowOff>
    </xdr:to>
    <xdr:sp macro="" textlink="">
      <xdr:nvSpPr>
        <xdr:cNvPr id="9" name="Retângulo: Cantos Diagonais Arredondados 8">
          <a:extLst>
            <a:ext uri="{FF2B5EF4-FFF2-40B4-BE49-F238E27FC236}">
              <a16:creationId xmlns:a16="http://schemas.microsoft.com/office/drawing/2014/main" id="{8EC02E2D-E142-4851-83C3-49D5548E7FF0}"/>
            </a:ext>
          </a:extLst>
        </xdr:cNvPr>
        <xdr:cNvSpPr/>
      </xdr:nvSpPr>
      <xdr:spPr>
        <a:xfrm>
          <a:off x="2032000" y="254000"/>
          <a:ext cx="1016000" cy="762000"/>
        </a:xfrm>
        <a:prstGeom prst="round2DiagRect">
          <a:avLst>
            <a:gd name="adj1" fmla="val 0"/>
            <a:gd name="adj2" fmla="val 0"/>
          </a:avLst>
        </a:prstGeom>
        <a:solidFill>
          <a:srgbClr val="3D4045"/>
        </a:solidFill>
        <a:ln>
          <a:solidFill>
            <a:schemeClr val="bg1"/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lang="pt-BR" sz="1800" b="1">
            <a:latin typeface="Roboto" panose="02000000000000000000"/>
          </a:endParaRPr>
        </a:p>
      </xdr:txBody>
    </xdr:sp>
    <xdr:clientData/>
  </xdr:twoCellAnchor>
  <xdr:twoCellAnchor>
    <xdr:from>
      <xdr:col>16</xdr:col>
      <xdr:colOff>0</xdr:colOff>
      <xdr:row>2</xdr:row>
      <xdr:rowOff>0</xdr:rowOff>
    </xdr:from>
    <xdr:to>
      <xdr:col>18</xdr:col>
      <xdr:colOff>0</xdr:colOff>
      <xdr:row>8</xdr:row>
      <xdr:rowOff>0</xdr:rowOff>
    </xdr:to>
    <xdr:sp macro="" textlink="">
      <xdr:nvSpPr>
        <xdr:cNvPr id="11" name="Retângulo 10">
          <a:extLst>
            <a:ext uri="{FF2B5EF4-FFF2-40B4-BE49-F238E27FC236}">
              <a16:creationId xmlns:a16="http://schemas.microsoft.com/office/drawing/2014/main" id="{8567E343-F039-4D15-AE67-19039F1B237F}"/>
            </a:ext>
          </a:extLst>
        </xdr:cNvPr>
        <xdr:cNvSpPr/>
      </xdr:nvSpPr>
      <xdr:spPr>
        <a:xfrm rot="16200000">
          <a:off x="1778000" y="508000"/>
          <a:ext cx="762000" cy="25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00" b="0">
              <a:latin typeface="Roboto" panose="02000000000000000000"/>
            </a:rPr>
            <a:t>Período</a:t>
          </a:r>
        </a:p>
      </xdr:txBody>
    </xdr:sp>
    <xdr:clientData/>
  </xdr:twoCellAnchor>
  <xdr:twoCellAnchor editAs="absolute">
    <xdr:from>
      <xdr:col>17</xdr:col>
      <xdr:colOff>73025</xdr:colOff>
      <xdr:row>2</xdr:row>
      <xdr:rowOff>0</xdr:rowOff>
    </xdr:from>
    <xdr:to>
      <xdr:col>23</xdr:col>
      <xdr:colOff>73025</xdr:colOff>
      <xdr:row>8</xdr:row>
      <xdr:rowOff>0</xdr:rowOff>
    </xdr:to>
    <xdr:pic>
      <xdr:nvPicPr>
        <xdr:cNvPr id="13" name="Gráfico 12" descr="Calendário diário">
          <a:extLst>
            <a:ext uri="{FF2B5EF4-FFF2-40B4-BE49-F238E27FC236}">
              <a16:creationId xmlns:a16="http://schemas.microsoft.com/office/drawing/2014/main" id="{762D3EA0-FDA1-4E5E-8FA6-DBBE6451B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232025" y="254000"/>
          <a:ext cx="762000" cy="762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12</xdr:col>
      <xdr:colOff>0</xdr:colOff>
      <xdr:row>33</xdr:row>
      <xdr:rowOff>0</xdr:rowOff>
    </xdr:to>
    <xdr:sp macro="" textlink="">
      <xdr:nvSpPr>
        <xdr:cNvPr id="15" name="Retângulo 14">
          <a:extLst>
            <a:ext uri="{FF2B5EF4-FFF2-40B4-BE49-F238E27FC236}">
              <a16:creationId xmlns:a16="http://schemas.microsoft.com/office/drawing/2014/main" id="{EB413E08-55BB-4674-8ECC-D206C3ECBE26}"/>
            </a:ext>
          </a:extLst>
        </xdr:cNvPr>
        <xdr:cNvSpPr/>
      </xdr:nvSpPr>
      <xdr:spPr>
        <a:xfrm>
          <a:off x="127000" y="1270000"/>
          <a:ext cx="1397000" cy="2921000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11</xdr:col>
      <xdr:colOff>0</xdr:colOff>
      <xdr:row>32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afra">
              <a:extLst>
                <a:ext uri="{FF2B5EF4-FFF2-40B4-BE49-F238E27FC236}">
                  <a16:creationId xmlns:a16="http://schemas.microsoft.com/office/drawing/2014/main" id="{A62DFE60-BF12-40AD-B376-784D6F4E590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afr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0" y="1905000"/>
              <a:ext cx="1143000" cy="203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>
    <xdr:from>
      <xdr:col>2</xdr:col>
      <xdr:colOff>0</xdr:colOff>
      <xdr:row>11</xdr:row>
      <xdr:rowOff>0</xdr:rowOff>
    </xdr:from>
    <xdr:to>
      <xdr:col>11</xdr:col>
      <xdr:colOff>0</xdr:colOff>
      <xdr:row>14</xdr:row>
      <xdr:rowOff>0</xdr:rowOff>
    </xdr:to>
    <xdr:sp macro="" textlink="">
      <xdr:nvSpPr>
        <xdr:cNvPr id="12" name="Retângulo: Cantos Diagonais Arredondados 11">
          <a:extLst>
            <a:ext uri="{FF2B5EF4-FFF2-40B4-BE49-F238E27FC236}">
              <a16:creationId xmlns:a16="http://schemas.microsoft.com/office/drawing/2014/main" id="{2E401111-4AA7-46F7-AC82-3DA3DCF18EB3}"/>
            </a:ext>
          </a:extLst>
        </xdr:cNvPr>
        <xdr:cNvSpPr/>
      </xdr:nvSpPr>
      <xdr:spPr>
        <a:xfrm>
          <a:off x="254000" y="1397000"/>
          <a:ext cx="1143000" cy="381000"/>
        </a:xfrm>
        <a:prstGeom prst="round2DiagRect">
          <a:avLst>
            <a:gd name="adj1" fmla="val 0"/>
            <a:gd name="adj2" fmla="val 0"/>
          </a:avLst>
        </a:prstGeom>
        <a:solidFill>
          <a:srgbClr val="5F5F5F"/>
        </a:solidFill>
        <a:ln>
          <a:solidFill>
            <a:schemeClr val="bg1"/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600" b="1">
              <a:latin typeface="Roboto" panose="02000000000000000000"/>
            </a:rPr>
            <a:t>Filtro</a:t>
          </a:r>
        </a:p>
      </xdr:txBody>
    </xdr:sp>
    <xdr:clientData/>
  </xdr:twoCellAnchor>
  <xdr:twoCellAnchor>
    <xdr:from>
      <xdr:col>24</xdr:col>
      <xdr:colOff>76552</xdr:colOff>
      <xdr:row>3</xdr:row>
      <xdr:rowOff>1</xdr:rowOff>
    </xdr:from>
    <xdr:to>
      <xdr:col>34</xdr:col>
      <xdr:colOff>14111</xdr:colOff>
      <xdr:row>7</xdr:row>
      <xdr:rowOff>1</xdr:rowOff>
    </xdr:to>
    <xdr:sp macro="" textlink="">
      <xdr:nvSpPr>
        <xdr:cNvPr id="16" name="Retângulo 15">
          <a:extLst>
            <a:ext uri="{FF2B5EF4-FFF2-40B4-BE49-F238E27FC236}">
              <a16:creationId xmlns:a16="http://schemas.microsoft.com/office/drawing/2014/main" id="{F85B37A3-5280-4A58-8B0A-44D2DB7B3754}"/>
            </a:ext>
          </a:extLst>
        </xdr:cNvPr>
        <xdr:cNvSpPr/>
      </xdr:nvSpPr>
      <xdr:spPr>
        <a:xfrm>
          <a:off x="2616552" y="381001"/>
          <a:ext cx="995892" cy="508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900" b="0">
              <a:latin typeface="Roboto" panose="02000000000000000000"/>
            </a:rPr>
            <a:t>CAPACIDADES</a:t>
          </a:r>
        </a:p>
        <a:p>
          <a:pPr algn="ctr"/>
          <a:r>
            <a:rPr lang="pt-BR" sz="900" b="0">
              <a:latin typeface="Roboto" panose="02000000000000000000"/>
            </a:rPr>
            <a:t>POR </a:t>
          </a:r>
          <a:r>
            <a:rPr lang="pt-BR" sz="900" b="1">
              <a:latin typeface="Roboto" panose="02000000000000000000"/>
            </a:rPr>
            <a:t>SAFRA</a:t>
          </a:r>
        </a:p>
      </xdr:txBody>
    </xdr:sp>
    <xdr:clientData/>
  </xdr:twoCellAnchor>
  <xdr:twoCellAnchor>
    <xdr:from>
      <xdr:col>35</xdr:col>
      <xdr:colOff>101600</xdr:colOff>
      <xdr:row>3</xdr:row>
      <xdr:rowOff>76200</xdr:rowOff>
    </xdr:from>
    <xdr:to>
      <xdr:col>42</xdr:col>
      <xdr:colOff>101600</xdr:colOff>
      <xdr:row>6</xdr:row>
      <xdr:rowOff>12700</xdr:rowOff>
    </xdr:to>
    <xdr:sp macro="" textlink="Pivots!D12">
      <xdr:nvSpPr>
        <xdr:cNvPr id="25" name="Retângulo 24">
          <a:extLst>
            <a:ext uri="{FF2B5EF4-FFF2-40B4-BE49-F238E27FC236}">
              <a16:creationId xmlns:a16="http://schemas.microsoft.com/office/drawing/2014/main" id="{98D052E3-CF59-4EF0-B85F-8D4F45868A60}"/>
            </a:ext>
          </a:extLst>
        </xdr:cNvPr>
        <xdr:cNvSpPr/>
      </xdr:nvSpPr>
      <xdr:spPr>
        <a:xfrm>
          <a:off x="3805767" y="457200"/>
          <a:ext cx="740833" cy="317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33397DDD-5183-4684-AE41-54847368F635}" type="TxLink">
            <a:rPr lang="en-US" sz="2200" b="1" i="0" u="none" strike="noStrike">
              <a:solidFill>
                <a:srgbClr val="F5801F"/>
              </a:solidFill>
              <a:latin typeface="Roboto"/>
              <a:cs typeface="Calibri"/>
            </a:rPr>
            <a:pPr algn="ctr"/>
            <a:t> 6,7 </a:t>
          </a:fld>
          <a:endParaRPr lang="pt-BR" sz="2200" b="1">
            <a:solidFill>
              <a:srgbClr val="F5801F"/>
            </a:solidFill>
            <a:latin typeface="Roboto" panose="02000000000000000000"/>
          </a:endParaRPr>
        </a:p>
      </xdr:txBody>
    </xdr:sp>
    <xdr:clientData/>
  </xdr:twoCellAnchor>
  <xdr:twoCellAnchor>
    <xdr:from>
      <xdr:col>36</xdr:col>
      <xdr:colOff>0</xdr:colOff>
      <xdr:row>2</xdr:row>
      <xdr:rowOff>59634</xdr:rowOff>
    </xdr:from>
    <xdr:to>
      <xdr:col>43</xdr:col>
      <xdr:colOff>0</xdr:colOff>
      <xdr:row>3</xdr:row>
      <xdr:rowOff>57150</xdr:rowOff>
    </xdr:to>
    <xdr:sp macro="" textlink="">
      <xdr:nvSpPr>
        <xdr:cNvPr id="26" name="Retângulo 25">
          <a:extLst>
            <a:ext uri="{FF2B5EF4-FFF2-40B4-BE49-F238E27FC236}">
              <a16:creationId xmlns:a16="http://schemas.microsoft.com/office/drawing/2014/main" id="{B07A0AD5-2F5C-4FCF-8D76-44698401F6CA}"/>
            </a:ext>
          </a:extLst>
        </xdr:cNvPr>
        <xdr:cNvSpPr/>
      </xdr:nvSpPr>
      <xdr:spPr>
        <a:xfrm>
          <a:off x="4572000" y="313634"/>
          <a:ext cx="889000" cy="12451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>
              <a:latin typeface="Roboto" panose="02000000000000000000"/>
            </a:rPr>
            <a:t>Moagem</a:t>
          </a:r>
        </a:p>
      </xdr:txBody>
    </xdr:sp>
    <xdr:clientData/>
  </xdr:twoCellAnchor>
  <xdr:twoCellAnchor>
    <xdr:from>
      <xdr:col>34</xdr:col>
      <xdr:colOff>88138</xdr:colOff>
      <xdr:row>6</xdr:row>
      <xdr:rowOff>16842</xdr:rowOff>
    </xdr:from>
    <xdr:to>
      <xdr:col>44</xdr:col>
      <xdr:colOff>51562</xdr:colOff>
      <xdr:row>7</xdr:row>
      <xdr:rowOff>44450</xdr:rowOff>
    </xdr:to>
    <xdr:sp macro="" textlink="">
      <xdr:nvSpPr>
        <xdr:cNvPr id="27" name="Retângulo 26">
          <a:extLst>
            <a:ext uri="{FF2B5EF4-FFF2-40B4-BE49-F238E27FC236}">
              <a16:creationId xmlns:a16="http://schemas.microsoft.com/office/drawing/2014/main" id="{72653ED6-6488-4B03-B238-8B01FAB247B3}"/>
            </a:ext>
          </a:extLst>
        </xdr:cNvPr>
        <xdr:cNvSpPr/>
      </xdr:nvSpPr>
      <xdr:spPr>
        <a:xfrm>
          <a:off x="3974338" y="759792"/>
          <a:ext cx="1106424" cy="15143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>
              <a:latin typeface="Roboto" panose="02000000000000000000"/>
            </a:rPr>
            <a:t>mm tons de cana</a:t>
          </a:r>
        </a:p>
      </xdr:txBody>
    </xdr:sp>
    <xdr:clientData/>
  </xdr:twoCellAnchor>
  <xdr:twoCellAnchor>
    <xdr:from>
      <xdr:col>47</xdr:col>
      <xdr:colOff>103017</xdr:colOff>
      <xdr:row>5</xdr:row>
      <xdr:rowOff>63500</xdr:rowOff>
    </xdr:from>
    <xdr:to>
      <xdr:col>56</xdr:col>
      <xdr:colOff>9280</xdr:colOff>
      <xdr:row>8</xdr:row>
      <xdr:rowOff>3174</xdr:rowOff>
    </xdr:to>
    <xdr:sp macro="" textlink="">
      <xdr:nvSpPr>
        <xdr:cNvPr id="33" name="Retângulo 32">
          <a:extLst>
            <a:ext uri="{FF2B5EF4-FFF2-40B4-BE49-F238E27FC236}">
              <a16:creationId xmlns:a16="http://schemas.microsoft.com/office/drawing/2014/main" id="{FD42122A-6C60-47AB-A43A-DE4AF3B378B5}"/>
            </a:ext>
          </a:extLst>
        </xdr:cNvPr>
        <xdr:cNvSpPr/>
      </xdr:nvSpPr>
      <xdr:spPr>
        <a:xfrm>
          <a:off x="5475117" y="682625"/>
          <a:ext cx="934963" cy="31114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>
              <a:solidFill>
                <a:schemeClr val="bg1"/>
              </a:solidFill>
              <a:latin typeface="Roboto" panose="02000000000000000000"/>
            </a:rPr>
            <a:t> mil toneladas</a:t>
          </a:r>
        </a:p>
      </xdr:txBody>
    </xdr:sp>
    <xdr:clientData/>
  </xdr:twoCellAnchor>
  <xdr:twoCellAnchor>
    <xdr:from>
      <xdr:col>62</xdr:col>
      <xdr:colOff>38100</xdr:colOff>
      <xdr:row>4</xdr:row>
      <xdr:rowOff>0</xdr:rowOff>
    </xdr:from>
    <xdr:to>
      <xdr:col>69</xdr:col>
      <xdr:colOff>38100</xdr:colOff>
      <xdr:row>6</xdr:row>
      <xdr:rowOff>0</xdr:rowOff>
    </xdr:to>
    <xdr:sp macro="" textlink="Pivots!D36">
      <xdr:nvSpPr>
        <xdr:cNvPr id="38" name="Retângulo 37">
          <a:extLst>
            <a:ext uri="{FF2B5EF4-FFF2-40B4-BE49-F238E27FC236}">
              <a16:creationId xmlns:a16="http://schemas.microsoft.com/office/drawing/2014/main" id="{35AE9653-A66A-4665-A36D-31298A8547C0}"/>
            </a:ext>
          </a:extLst>
        </xdr:cNvPr>
        <xdr:cNvSpPr/>
      </xdr:nvSpPr>
      <xdr:spPr>
        <a:xfrm>
          <a:off x="7912100" y="508000"/>
          <a:ext cx="889000" cy="25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6E88D979-04C2-4932-94B9-D9D3BDA74161}" type="TxLink">
            <a:rPr lang="en-US" sz="2400" b="1" i="0" u="none" strike="noStrike">
              <a:solidFill>
                <a:srgbClr val="F5801F"/>
              </a:solidFill>
              <a:latin typeface="Roboto"/>
              <a:cs typeface="Calibri"/>
            </a:rPr>
            <a:pPr algn="ctr"/>
            <a:t> 315 </a:t>
          </a:fld>
          <a:endParaRPr lang="pt-BR" sz="2400" b="1">
            <a:solidFill>
              <a:srgbClr val="F5801F"/>
            </a:solidFill>
            <a:latin typeface="Roboto" panose="02000000000000000000"/>
          </a:endParaRPr>
        </a:p>
      </xdr:txBody>
    </xdr:sp>
    <xdr:clientData/>
  </xdr:twoCellAnchor>
  <xdr:twoCellAnchor>
    <xdr:from>
      <xdr:col>2</xdr:col>
      <xdr:colOff>52661</xdr:colOff>
      <xdr:row>2</xdr:row>
      <xdr:rowOff>114847</xdr:rowOff>
    </xdr:from>
    <xdr:to>
      <xdr:col>2</xdr:col>
      <xdr:colOff>52661</xdr:colOff>
      <xdr:row>6</xdr:row>
      <xdr:rowOff>119606</xdr:rowOff>
    </xdr:to>
    <xdr:cxnSp macro="">
      <xdr:nvCxnSpPr>
        <xdr:cNvPr id="6" name="Conector reto 5">
          <a:extLst>
            <a:ext uri="{FF2B5EF4-FFF2-40B4-BE49-F238E27FC236}">
              <a16:creationId xmlns:a16="http://schemas.microsoft.com/office/drawing/2014/main" id="{22E01AD0-1093-48E7-A43B-1C70FD9D521F}"/>
            </a:ext>
          </a:extLst>
        </xdr:cNvPr>
        <xdr:cNvCxnSpPr/>
      </xdr:nvCxnSpPr>
      <xdr:spPr>
        <a:xfrm flipV="1">
          <a:off x="306661" y="368847"/>
          <a:ext cx="0" cy="512759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73</xdr:col>
      <xdr:colOff>45384</xdr:colOff>
      <xdr:row>2</xdr:row>
      <xdr:rowOff>0</xdr:rowOff>
    </xdr:from>
    <xdr:to>
      <xdr:col>82</xdr:col>
      <xdr:colOff>81617</xdr:colOff>
      <xdr:row>4</xdr:row>
      <xdr:rowOff>0</xdr:rowOff>
    </xdr:to>
    <xdr:sp macro="" textlink="">
      <xdr:nvSpPr>
        <xdr:cNvPr id="39" name="Retângulo 38">
          <a:extLst>
            <a:ext uri="{FF2B5EF4-FFF2-40B4-BE49-F238E27FC236}">
              <a16:creationId xmlns:a16="http://schemas.microsoft.com/office/drawing/2014/main" id="{5DA2123A-2A70-4FA9-A2E7-2B5051C46490}"/>
            </a:ext>
          </a:extLst>
        </xdr:cNvPr>
        <xdr:cNvSpPr/>
      </xdr:nvSpPr>
      <xdr:spPr>
        <a:xfrm>
          <a:off x="8389284" y="247650"/>
          <a:ext cx="1064933" cy="2476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>
              <a:latin typeface="Roboto" panose="02000000000000000000"/>
            </a:rPr>
            <a:t>Cogeração</a:t>
          </a:r>
        </a:p>
      </xdr:txBody>
    </xdr:sp>
    <xdr:clientData/>
  </xdr:twoCellAnchor>
  <xdr:twoCellAnchor>
    <xdr:from>
      <xdr:col>74</xdr:col>
      <xdr:colOff>88900</xdr:colOff>
      <xdr:row>5</xdr:row>
      <xdr:rowOff>114300</xdr:rowOff>
    </xdr:from>
    <xdr:to>
      <xdr:col>81</xdr:col>
      <xdr:colOff>88900</xdr:colOff>
      <xdr:row>7</xdr:row>
      <xdr:rowOff>114300</xdr:rowOff>
    </xdr:to>
    <xdr:sp macro="" textlink="">
      <xdr:nvSpPr>
        <xdr:cNvPr id="40" name="Retângulo 39">
          <a:extLst>
            <a:ext uri="{FF2B5EF4-FFF2-40B4-BE49-F238E27FC236}">
              <a16:creationId xmlns:a16="http://schemas.microsoft.com/office/drawing/2014/main" id="{8D856F55-F247-465D-B3F8-D381C8FC35FA}"/>
            </a:ext>
          </a:extLst>
        </xdr:cNvPr>
        <xdr:cNvSpPr/>
      </xdr:nvSpPr>
      <xdr:spPr>
        <a:xfrm>
          <a:off x="9486900" y="749300"/>
          <a:ext cx="889000" cy="25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>
              <a:latin typeface="Roboto" panose="02000000000000000000"/>
            </a:rPr>
            <a:t>MW</a:t>
          </a:r>
        </a:p>
      </xdr:txBody>
    </xdr:sp>
    <xdr:clientData/>
  </xdr:twoCellAnchor>
  <xdr:twoCellAnchor>
    <xdr:from>
      <xdr:col>74</xdr:col>
      <xdr:colOff>29634</xdr:colOff>
      <xdr:row>3</xdr:row>
      <xdr:rowOff>14111</xdr:rowOff>
    </xdr:from>
    <xdr:to>
      <xdr:col>81</xdr:col>
      <xdr:colOff>35984</xdr:colOff>
      <xdr:row>7</xdr:row>
      <xdr:rowOff>14111</xdr:rowOff>
    </xdr:to>
    <xdr:sp macro="" textlink="Pivots!D46">
      <xdr:nvSpPr>
        <xdr:cNvPr id="41" name="Retângulo 40">
          <a:extLst>
            <a:ext uri="{FF2B5EF4-FFF2-40B4-BE49-F238E27FC236}">
              <a16:creationId xmlns:a16="http://schemas.microsoft.com/office/drawing/2014/main" id="{DE21D266-974E-476A-96B9-34060AC47FEB}"/>
            </a:ext>
          </a:extLst>
        </xdr:cNvPr>
        <xdr:cNvSpPr/>
      </xdr:nvSpPr>
      <xdr:spPr>
        <a:xfrm>
          <a:off x="7861301" y="395111"/>
          <a:ext cx="747183" cy="508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61D6A8D6-E086-44D3-B4E4-25ACC990E70A}" type="TxLink">
            <a:rPr lang="en-US" sz="2200" b="1" i="0" u="none" strike="noStrike">
              <a:solidFill>
                <a:srgbClr val="F5801F"/>
              </a:solidFill>
              <a:latin typeface="Roboto"/>
              <a:cs typeface="Calibri"/>
            </a:rPr>
            <a:pPr algn="ctr"/>
            <a:t> 100 </a:t>
          </a:fld>
          <a:endParaRPr lang="pt-BR" sz="2200" b="1">
            <a:solidFill>
              <a:srgbClr val="F5801F"/>
            </a:solidFill>
            <a:latin typeface="Roboto" panose="02000000000000000000"/>
          </a:endParaRPr>
        </a:p>
      </xdr:txBody>
    </xdr:sp>
    <xdr:clientData/>
  </xdr:twoCellAnchor>
  <xdr:twoCellAnchor>
    <xdr:from>
      <xdr:col>14</xdr:col>
      <xdr:colOff>76200</xdr:colOff>
      <xdr:row>13</xdr:row>
      <xdr:rowOff>112572</xdr:rowOff>
    </xdr:from>
    <xdr:to>
      <xdr:col>23</xdr:col>
      <xdr:colOff>1303</xdr:colOff>
      <xdr:row>15</xdr:row>
      <xdr:rowOff>112571</xdr:rowOff>
    </xdr:to>
    <xdr:sp macro="" textlink="Pivots!D23">
      <xdr:nvSpPr>
        <xdr:cNvPr id="60" name="Retângulo 59">
          <a:extLst>
            <a:ext uri="{FF2B5EF4-FFF2-40B4-BE49-F238E27FC236}">
              <a16:creationId xmlns:a16="http://schemas.microsoft.com/office/drawing/2014/main" id="{CF5FCDBB-EAF0-4D4F-821A-89404325BA0F}"/>
            </a:ext>
          </a:extLst>
        </xdr:cNvPr>
        <xdr:cNvSpPr/>
      </xdr:nvSpPr>
      <xdr:spPr>
        <a:xfrm>
          <a:off x="1821873" y="1823608"/>
          <a:ext cx="1047321" cy="26323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fld id="{1BF80CB6-3700-493F-98F7-2333E1CCF841}" type="TxLink">
            <a:rPr lang="en-US" sz="1800" b="1" i="0" u="none" strike="noStrike">
              <a:solidFill>
                <a:srgbClr val="3D4045"/>
              </a:solidFill>
              <a:latin typeface="Roboto"/>
            </a:rPr>
            <a:pPr algn="l"/>
            <a:t> 90 </a:t>
          </a:fld>
          <a:endParaRPr lang="pt-BR" sz="2400" b="1">
            <a:solidFill>
              <a:srgbClr val="3D4045"/>
            </a:solidFill>
          </a:endParaRPr>
        </a:p>
      </xdr:txBody>
    </xdr:sp>
    <xdr:clientData/>
  </xdr:twoCellAnchor>
  <xdr:twoCellAnchor>
    <xdr:from>
      <xdr:col>20</xdr:col>
      <xdr:colOff>28927</xdr:colOff>
      <xdr:row>14</xdr:row>
      <xdr:rowOff>1449</xdr:rowOff>
    </xdr:from>
    <xdr:to>
      <xdr:col>39</xdr:col>
      <xdr:colOff>35277</xdr:colOff>
      <xdr:row>16</xdr:row>
      <xdr:rowOff>1448</xdr:rowOff>
    </xdr:to>
    <xdr:sp macro="" textlink="Pivots!E23">
      <xdr:nvSpPr>
        <xdr:cNvPr id="61" name="Retângulo 60">
          <a:extLst>
            <a:ext uri="{FF2B5EF4-FFF2-40B4-BE49-F238E27FC236}">
              <a16:creationId xmlns:a16="http://schemas.microsoft.com/office/drawing/2014/main" id="{5CEAB039-9001-43AF-BE81-11092C71C31F}"/>
            </a:ext>
          </a:extLst>
        </xdr:cNvPr>
        <xdr:cNvSpPr/>
      </xdr:nvSpPr>
      <xdr:spPr>
        <a:xfrm>
          <a:off x="2145594" y="1779449"/>
          <a:ext cx="2017183" cy="25399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fld id="{6457CF28-EC7C-4728-91B2-C164E9AF3C14}" type="TxLink">
            <a:rPr lang="en-US" sz="1200" b="0" i="0" u="none" strike="noStrike">
              <a:solidFill>
                <a:srgbClr val="3D4045"/>
              </a:solidFill>
              <a:latin typeface="Roboto"/>
            </a:rPr>
            <a:pPr algn="l"/>
            <a:t>dias de Safra</a:t>
          </a:fld>
          <a:endParaRPr lang="pt-BR" sz="1200">
            <a:solidFill>
              <a:srgbClr val="3D4045"/>
            </a:solidFill>
          </a:endParaRPr>
        </a:p>
      </xdr:txBody>
    </xdr:sp>
    <xdr:clientData/>
  </xdr:twoCellAnchor>
  <xdr:twoCellAnchor>
    <xdr:from>
      <xdr:col>17</xdr:col>
      <xdr:colOff>19050</xdr:colOff>
      <xdr:row>2</xdr:row>
      <xdr:rowOff>50800</xdr:rowOff>
    </xdr:from>
    <xdr:to>
      <xdr:col>24</xdr:col>
      <xdr:colOff>6350</xdr:colOff>
      <xdr:row>7</xdr:row>
      <xdr:rowOff>95250</xdr:rowOff>
    </xdr:to>
    <xdr:sp macro="" textlink="Pivots!D11">
      <xdr:nvSpPr>
        <xdr:cNvPr id="45" name="Retângulo 44">
          <a:extLst>
            <a:ext uri="{FF2B5EF4-FFF2-40B4-BE49-F238E27FC236}">
              <a16:creationId xmlns:a16="http://schemas.microsoft.com/office/drawing/2014/main" id="{58E71F27-15F1-480C-BD71-A79E56A3D040}"/>
            </a:ext>
          </a:extLst>
        </xdr:cNvPr>
        <xdr:cNvSpPr/>
      </xdr:nvSpPr>
      <xdr:spPr>
        <a:xfrm>
          <a:off x="2178050" y="304800"/>
          <a:ext cx="876300" cy="679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7AF1DAAE-3318-41DB-BE16-584C21D8AC59}" type="TxLink">
            <a:rPr lang="en-US" sz="1300" b="1" i="0" u="none" strike="noStrike">
              <a:solidFill>
                <a:schemeClr val="bg1"/>
              </a:solidFill>
              <a:latin typeface="Roboto"/>
            </a:rPr>
            <a:pPr algn="ctr"/>
            <a:t>SAFRA 24/25</a:t>
          </a:fld>
          <a:endParaRPr lang="pt-BR" sz="1300" b="1">
            <a:solidFill>
              <a:schemeClr val="bg1"/>
            </a:solidFill>
          </a:endParaRPr>
        </a:p>
      </xdr:txBody>
    </xdr:sp>
    <xdr:clientData/>
  </xdr:twoCellAnchor>
  <xdr:twoCellAnchor>
    <xdr:from>
      <xdr:col>45</xdr:col>
      <xdr:colOff>40817</xdr:colOff>
      <xdr:row>12</xdr:row>
      <xdr:rowOff>88904</xdr:rowOff>
    </xdr:from>
    <xdr:to>
      <xdr:col>52</xdr:col>
      <xdr:colOff>104317</xdr:colOff>
      <xdr:row>15</xdr:row>
      <xdr:rowOff>69854</xdr:rowOff>
    </xdr:to>
    <xdr:sp macro="" textlink="">
      <xdr:nvSpPr>
        <xdr:cNvPr id="48" name="Retângulo: Cantos Diagonais Arredondados 47">
          <a:extLst>
            <a:ext uri="{FF2B5EF4-FFF2-40B4-BE49-F238E27FC236}">
              <a16:creationId xmlns:a16="http://schemas.microsoft.com/office/drawing/2014/main" id="{F593776E-5E36-4B38-9B33-1BED7C57A166}"/>
            </a:ext>
          </a:extLst>
        </xdr:cNvPr>
        <xdr:cNvSpPr/>
      </xdr:nvSpPr>
      <xdr:spPr>
        <a:xfrm>
          <a:off x="4939388" y="1612904"/>
          <a:ext cx="825500" cy="361950"/>
        </a:xfrm>
        <a:prstGeom prst="round2DiagRect">
          <a:avLst>
            <a:gd name="adj1" fmla="val 0"/>
            <a:gd name="adj2" fmla="val 27500"/>
          </a:avLst>
        </a:prstGeom>
        <a:solidFill>
          <a:schemeClr val="bg1">
            <a:lumMod val="95000"/>
          </a:schemeClr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rgbClr val="4B4F55"/>
              </a:solidFill>
              <a:latin typeface="Roboto" panose="02000000000000000000"/>
            </a:rPr>
            <a:t>Açúcar</a:t>
          </a:r>
        </a:p>
      </xdr:txBody>
    </xdr:sp>
    <xdr:clientData/>
  </xdr:twoCellAnchor>
  <xdr:twoCellAnchor>
    <xdr:from>
      <xdr:col>39</xdr:col>
      <xdr:colOff>0</xdr:colOff>
      <xdr:row>11</xdr:row>
      <xdr:rowOff>19050</xdr:rowOff>
    </xdr:from>
    <xdr:to>
      <xdr:col>39</xdr:col>
      <xdr:colOff>0</xdr:colOff>
      <xdr:row>30</xdr:row>
      <xdr:rowOff>82550</xdr:rowOff>
    </xdr:to>
    <xdr:cxnSp macro="">
      <xdr:nvCxnSpPr>
        <xdr:cNvPr id="29" name="Conector reto 28">
          <a:extLst>
            <a:ext uri="{FF2B5EF4-FFF2-40B4-BE49-F238E27FC236}">
              <a16:creationId xmlns:a16="http://schemas.microsoft.com/office/drawing/2014/main" id="{D681A57B-8C7B-48D3-B9CC-8CCFC7F752F5}"/>
            </a:ext>
          </a:extLst>
        </xdr:cNvPr>
        <xdr:cNvCxnSpPr/>
      </xdr:nvCxnSpPr>
      <xdr:spPr>
        <a:xfrm>
          <a:off x="5080000" y="1416050"/>
          <a:ext cx="0" cy="2476500"/>
        </a:xfrm>
        <a:prstGeom prst="line">
          <a:avLst/>
        </a:prstGeom>
        <a:ln w="9525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76200</xdr:colOff>
      <xdr:row>16</xdr:row>
      <xdr:rowOff>9234</xdr:rowOff>
    </xdr:from>
    <xdr:to>
      <xdr:col>15</xdr:col>
      <xdr:colOff>50800</xdr:colOff>
      <xdr:row>18</xdr:row>
      <xdr:rowOff>79084</xdr:rowOff>
    </xdr:to>
    <xdr:grpSp>
      <xdr:nvGrpSpPr>
        <xdr:cNvPr id="51" name="Agrupar 50">
          <a:extLst>
            <a:ext uri="{FF2B5EF4-FFF2-40B4-BE49-F238E27FC236}">
              <a16:creationId xmlns:a16="http://schemas.microsoft.com/office/drawing/2014/main" id="{C4EEDFA7-9576-4597-B9E3-E2A92BA16197}"/>
            </a:ext>
          </a:extLst>
        </xdr:cNvPr>
        <xdr:cNvGrpSpPr/>
      </xdr:nvGrpSpPr>
      <xdr:grpSpPr>
        <a:xfrm>
          <a:off x="1346200" y="2041234"/>
          <a:ext cx="292100" cy="323850"/>
          <a:chOff x="1600200" y="2209800"/>
          <a:chExt cx="355600" cy="323850"/>
        </a:xfrm>
      </xdr:grpSpPr>
      <xdr:sp macro="" textlink="">
        <xdr:nvSpPr>
          <xdr:cNvPr id="22" name="Fluxograma: Atraso 21">
            <a:extLst>
              <a:ext uri="{FF2B5EF4-FFF2-40B4-BE49-F238E27FC236}">
                <a16:creationId xmlns:a16="http://schemas.microsoft.com/office/drawing/2014/main" id="{E94BA761-5B13-4074-B4A9-74534D72CD05}"/>
              </a:ext>
            </a:extLst>
          </xdr:cNvPr>
          <xdr:cNvSpPr/>
        </xdr:nvSpPr>
        <xdr:spPr>
          <a:xfrm>
            <a:off x="1600200" y="2279650"/>
            <a:ext cx="298450" cy="254000"/>
          </a:xfrm>
          <a:prstGeom prst="flowChartDelay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>
        <xdr:nvPicPr>
          <xdr:cNvPr id="44" name="Gráfico 43" descr="Marca de seleção com preenchimento sólido">
            <a:extLst>
              <a:ext uri="{FF2B5EF4-FFF2-40B4-BE49-F238E27FC236}">
                <a16:creationId xmlns:a16="http://schemas.microsoft.com/office/drawing/2014/main" id="{8D43DB56-010E-4D93-9B63-13FFB52510C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644650" y="2209800"/>
            <a:ext cx="311150" cy="311150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76200</xdr:colOff>
      <xdr:row>13</xdr:row>
      <xdr:rowOff>55422</xdr:rowOff>
    </xdr:from>
    <xdr:to>
      <xdr:col>15</xdr:col>
      <xdr:colOff>57150</xdr:colOff>
      <xdr:row>15</xdr:row>
      <xdr:rowOff>122096</xdr:rowOff>
    </xdr:to>
    <xdr:grpSp>
      <xdr:nvGrpSpPr>
        <xdr:cNvPr id="62" name="Agrupar 61">
          <a:extLst>
            <a:ext uri="{FF2B5EF4-FFF2-40B4-BE49-F238E27FC236}">
              <a16:creationId xmlns:a16="http://schemas.microsoft.com/office/drawing/2014/main" id="{5BF79DC9-6492-4F75-A1F6-A04613E665F6}"/>
            </a:ext>
          </a:extLst>
        </xdr:cNvPr>
        <xdr:cNvGrpSpPr/>
      </xdr:nvGrpSpPr>
      <xdr:grpSpPr>
        <a:xfrm>
          <a:off x="1346200" y="1706422"/>
          <a:ext cx="298450" cy="320674"/>
          <a:chOff x="1600200" y="2209800"/>
          <a:chExt cx="355600" cy="323850"/>
        </a:xfrm>
      </xdr:grpSpPr>
      <xdr:sp macro="" textlink="">
        <xdr:nvSpPr>
          <xdr:cNvPr id="63" name="Fluxograma: Atraso 62">
            <a:extLst>
              <a:ext uri="{FF2B5EF4-FFF2-40B4-BE49-F238E27FC236}">
                <a16:creationId xmlns:a16="http://schemas.microsoft.com/office/drawing/2014/main" id="{92B88B47-438D-45D7-8B6F-CB430745DDFF}"/>
              </a:ext>
            </a:extLst>
          </xdr:cNvPr>
          <xdr:cNvSpPr/>
        </xdr:nvSpPr>
        <xdr:spPr>
          <a:xfrm>
            <a:off x="1600200" y="2279650"/>
            <a:ext cx="298450" cy="254000"/>
          </a:xfrm>
          <a:prstGeom prst="flowChartDelay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>
        <xdr:nvPicPr>
          <xdr:cNvPr id="64" name="Gráfico 63" descr="Marca de seleção com preenchimento sólido">
            <a:extLst>
              <a:ext uri="{FF2B5EF4-FFF2-40B4-BE49-F238E27FC236}">
                <a16:creationId xmlns:a16="http://schemas.microsoft.com/office/drawing/2014/main" id="{006F4CE6-53DF-469C-8305-D2459957642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644650" y="2209800"/>
            <a:ext cx="311150" cy="311150"/>
          </a:xfrm>
          <a:prstGeom prst="rect">
            <a:avLst/>
          </a:prstGeom>
        </xdr:spPr>
      </xdr:pic>
    </xdr:grpSp>
    <xdr:clientData/>
  </xdr:twoCellAnchor>
  <xdr:twoCellAnchor>
    <xdr:from>
      <xdr:col>14</xdr:col>
      <xdr:colOff>50800</xdr:colOff>
      <xdr:row>16</xdr:row>
      <xdr:rowOff>72734</xdr:rowOff>
    </xdr:from>
    <xdr:to>
      <xdr:col>22</xdr:col>
      <xdr:colOff>102903</xdr:colOff>
      <xdr:row>18</xdr:row>
      <xdr:rowOff>72734</xdr:rowOff>
    </xdr:to>
    <xdr:sp macro="" textlink="Pivots!E138">
      <xdr:nvSpPr>
        <xdr:cNvPr id="65" name="Retângulo 64">
          <a:extLst>
            <a:ext uri="{FF2B5EF4-FFF2-40B4-BE49-F238E27FC236}">
              <a16:creationId xmlns:a16="http://schemas.microsoft.com/office/drawing/2014/main" id="{6A9C3A60-6AF1-4D45-A55B-B02950F89939}"/>
            </a:ext>
          </a:extLst>
        </xdr:cNvPr>
        <xdr:cNvSpPr/>
      </xdr:nvSpPr>
      <xdr:spPr>
        <a:xfrm>
          <a:off x="1796473" y="2178625"/>
          <a:ext cx="1049630" cy="26323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fld id="{AA62E018-EAA4-4EF7-84F5-3E4B0905F1E5}" type="TxLink">
            <a:rPr lang="en-US" sz="1800" b="1" i="0" u="none" strike="noStrike">
              <a:solidFill>
                <a:srgbClr val="3D4045"/>
              </a:solidFill>
              <a:latin typeface="Roboto"/>
            </a:rPr>
            <a:pPr algn="l"/>
            <a:t> 1,9 </a:t>
          </a:fld>
          <a:endParaRPr lang="pt-BR" sz="1800" b="1">
            <a:solidFill>
              <a:srgbClr val="3D4045"/>
            </a:solidFill>
          </a:endParaRPr>
        </a:p>
      </xdr:txBody>
    </xdr:sp>
    <xdr:clientData/>
  </xdr:twoCellAnchor>
  <xdr:twoCellAnchor>
    <xdr:from>
      <xdr:col>19</xdr:col>
      <xdr:colOff>59972</xdr:colOff>
      <xdr:row>16</xdr:row>
      <xdr:rowOff>62152</xdr:rowOff>
    </xdr:from>
    <xdr:to>
      <xdr:col>42</xdr:col>
      <xdr:colOff>17638</xdr:colOff>
      <xdr:row>18</xdr:row>
      <xdr:rowOff>104871</xdr:rowOff>
    </xdr:to>
    <xdr:sp macro="" textlink="Pivots!F138">
      <xdr:nvSpPr>
        <xdr:cNvPr id="66" name="Retângulo 65">
          <a:extLst>
            <a:ext uri="{FF2B5EF4-FFF2-40B4-BE49-F238E27FC236}">
              <a16:creationId xmlns:a16="http://schemas.microsoft.com/office/drawing/2014/main" id="{39056C84-4533-4B29-B192-152964DA2FE0}"/>
            </a:ext>
          </a:extLst>
        </xdr:cNvPr>
        <xdr:cNvSpPr/>
      </xdr:nvSpPr>
      <xdr:spPr>
        <a:xfrm>
          <a:off x="2070805" y="2094152"/>
          <a:ext cx="2391833" cy="29671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fld id="{EC278747-BC05-4DEB-AF01-5E2806810E4A}" type="TxLink">
            <a:rPr lang="en-US" sz="1200" b="0" i="0" u="none" strike="noStrike">
              <a:solidFill>
                <a:srgbClr val="3D4045"/>
              </a:solidFill>
              <a:latin typeface="Roboto"/>
            </a:rPr>
            <a:pPr algn="l"/>
            <a:t>mm ton de cana-de-açúcar</a:t>
          </a:fld>
          <a:endParaRPr lang="pt-BR" sz="1200">
            <a:solidFill>
              <a:srgbClr val="3D4045"/>
            </a:solidFill>
          </a:endParaRPr>
        </a:p>
      </xdr:txBody>
    </xdr:sp>
    <xdr:clientData/>
  </xdr:twoCellAnchor>
  <xdr:twoCellAnchor>
    <xdr:from>
      <xdr:col>67</xdr:col>
      <xdr:colOff>95250</xdr:colOff>
      <xdr:row>12</xdr:row>
      <xdr:rowOff>0</xdr:rowOff>
    </xdr:from>
    <xdr:to>
      <xdr:col>67</xdr:col>
      <xdr:colOff>95250</xdr:colOff>
      <xdr:row>31</xdr:row>
      <xdr:rowOff>63500</xdr:rowOff>
    </xdr:to>
    <xdr:cxnSp macro="">
      <xdr:nvCxnSpPr>
        <xdr:cNvPr id="67" name="Conector reto 66">
          <a:extLst>
            <a:ext uri="{FF2B5EF4-FFF2-40B4-BE49-F238E27FC236}">
              <a16:creationId xmlns:a16="http://schemas.microsoft.com/office/drawing/2014/main" id="{55C717AE-7E18-42B2-8803-DA9CF9D23777}"/>
            </a:ext>
          </a:extLst>
        </xdr:cNvPr>
        <xdr:cNvCxnSpPr/>
      </xdr:nvCxnSpPr>
      <xdr:spPr>
        <a:xfrm>
          <a:off x="8604250" y="1524000"/>
          <a:ext cx="0" cy="2476500"/>
        </a:xfrm>
        <a:prstGeom prst="line">
          <a:avLst/>
        </a:prstGeom>
        <a:ln w="9525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46</xdr:col>
      <xdr:colOff>92427</xdr:colOff>
      <xdr:row>2</xdr:row>
      <xdr:rowOff>7055</xdr:rowOff>
    </xdr:from>
    <xdr:to>
      <xdr:col>57</xdr:col>
      <xdr:colOff>84665</xdr:colOff>
      <xdr:row>3</xdr:row>
      <xdr:rowOff>112888</xdr:rowOff>
    </xdr:to>
    <xdr:sp macro="" textlink="">
      <xdr:nvSpPr>
        <xdr:cNvPr id="31" name="Retângulo 30">
          <a:extLst>
            <a:ext uri="{FF2B5EF4-FFF2-40B4-BE49-F238E27FC236}">
              <a16:creationId xmlns:a16="http://schemas.microsoft.com/office/drawing/2014/main" id="{B9C45DFF-C727-43A3-824F-BC86F19A2F5A}"/>
            </a:ext>
          </a:extLst>
        </xdr:cNvPr>
        <xdr:cNvSpPr/>
      </xdr:nvSpPr>
      <xdr:spPr>
        <a:xfrm>
          <a:off x="4960760" y="261055"/>
          <a:ext cx="1156405" cy="23283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>
              <a:latin typeface="Roboto" panose="02000000000000000000"/>
            </a:rPr>
            <a:t>Produção de Açúcar</a:t>
          </a:r>
        </a:p>
      </xdr:txBody>
    </xdr:sp>
    <xdr:clientData/>
  </xdr:twoCellAnchor>
  <xdr:twoCellAnchor>
    <xdr:from>
      <xdr:col>48</xdr:col>
      <xdr:colOff>63500</xdr:colOff>
      <xdr:row>4</xdr:row>
      <xdr:rowOff>0</xdr:rowOff>
    </xdr:from>
    <xdr:to>
      <xdr:col>55</xdr:col>
      <xdr:colOff>63500</xdr:colOff>
      <xdr:row>5</xdr:row>
      <xdr:rowOff>107950</xdr:rowOff>
    </xdr:to>
    <xdr:sp macro="" textlink="Pivots!D35">
      <xdr:nvSpPr>
        <xdr:cNvPr id="34" name="Retângulo 33">
          <a:extLst>
            <a:ext uri="{FF2B5EF4-FFF2-40B4-BE49-F238E27FC236}">
              <a16:creationId xmlns:a16="http://schemas.microsoft.com/office/drawing/2014/main" id="{7E490540-24ED-47C2-9473-BB783CD19489}"/>
            </a:ext>
          </a:extLst>
        </xdr:cNvPr>
        <xdr:cNvSpPr/>
      </xdr:nvSpPr>
      <xdr:spPr>
        <a:xfrm>
          <a:off x="6159500" y="508000"/>
          <a:ext cx="889000" cy="234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9CEEA73A-6A4A-4685-8B47-BE2CBC98E5ED}" type="TxLink">
            <a:rPr lang="en-US" sz="2400" b="1" i="0" u="none" strike="noStrike">
              <a:solidFill>
                <a:srgbClr val="F5801F"/>
              </a:solidFill>
              <a:latin typeface="Roboto"/>
              <a:cs typeface="Calibri"/>
            </a:rPr>
            <a:pPr algn="ctr"/>
            <a:t> 325 </a:t>
          </a:fld>
          <a:endParaRPr lang="pt-BR" sz="2400" b="1">
            <a:solidFill>
              <a:srgbClr val="F5801F"/>
            </a:solidFill>
            <a:latin typeface="Roboto" panose="02000000000000000000"/>
          </a:endParaRPr>
        </a:p>
      </xdr:txBody>
    </xdr:sp>
    <xdr:clientData/>
  </xdr:twoCellAnchor>
  <xdr:twoCellAnchor>
    <xdr:from>
      <xdr:col>60</xdr:col>
      <xdr:colOff>50737</xdr:colOff>
      <xdr:row>2</xdr:row>
      <xdr:rowOff>0</xdr:rowOff>
    </xdr:from>
    <xdr:to>
      <xdr:col>71</xdr:col>
      <xdr:colOff>38164</xdr:colOff>
      <xdr:row>4</xdr:row>
      <xdr:rowOff>0</xdr:rowOff>
    </xdr:to>
    <xdr:sp macro="" textlink="">
      <xdr:nvSpPr>
        <xdr:cNvPr id="79" name="Retângulo 78">
          <a:extLst>
            <a:ext uri="{FF2B5EF4-FFF2-40B4-BE49-F238E27FC236}">
              <a16:creationId xmlns:a16="http://schemas.microsoft.com/office/drawing/2014/main" id="{D0DF58FC-F43E-492C-B508-7D144E8E2E37}"/>
            </a:ext>
          </a:extLst>
        </xdr:cNvPr>
        <xdr:cNvSpPr/>
      </xdr:nvSpPr>
      <xdr:spPr>
        <a:xfrm>
          <a:off x="6908737" y="247650"/>
          <a:ext cx="1244727" cy="2476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>
              <a:latin typeface="Roboto" panose="02000000000000000000"/>
            </a:rPr>
            <a:t>Produção de Etanol</a:t>
          </a:r>
        </a:p>
      </xdr:txBody>
    </xdr:sp>
    <xdr:clientData/>
  </xdr:twoCellAnchor>
  <xdr:twoCellAnchor>
    <xdr:from>
      <xdr:col>62</xdr:col>
      <xdr:colOff>44450</xdr:colOff>
      <xdr:row>5</xdr:row>
      <xdr:rowOff>107950</xdr:rowOff>
    </xdr:from>
    <xdr:to>
      <xdr:col>70</xdr:col>
      <xdr:colOff>17046</xdr:colOff>
      <xdr:row>7</xdr:row>
      <xdr:rowOff>114300</xdr:rowOff>
    </xdr:to>
    <xdr:sp macro="" textlink="">
      <xdr:nvSpPr>
        <xdr:cNvPr id="80" name="Retângulo 79">
          <a:extLst>
            <a:ext uri="{FF2B5EF4-FFF2-40B4-BE49-F238E27FC236}">
              <a16:creationId xmlns:a16="http://schemas.microsoft.com/office/drawing/2014/main" id="{579DA52B-F734-4872-A0B7-54035A5FE079}"/>
            </a:ext>
          </a:extLst>
        </xdr:cNvPr>
        <xdr:cNvSpPr/>
      </xdr:nvSpPr>
      <xdr:spPr>
        <a:xfrm>
          <a:off x="7918450" y="742950"/>
          <a:ext cx="988596" cy="2603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>
              <a:solidFill>
                <a:schemeClr val="bg1"/>
              </a:solidFill>
              <a:latin typeface="Roboto" panose="02000000000000000000"/>
            </a:rPr>
            <a:t> mil m³</a:t>
          </a:r>
        </a:p>
      </xdr:txBody>
    </xdr:sp>
    <xdr:clientData/>
  </xdr:twoCellAnchor>
  <xdr:twoCellAnchor>
    <xdr:from>
      <xdr:col>44</xdr:col>
      <xdr:colOff>0</xdr:colOff>
      <xdr:row>2</xdr:row>
      <xdr:rowOff>0</xdr:rowOff>
    </xdr:from>
    <xdr:to>
      <xdr:col>47</xdr:col>
      <xdr:colOff>103632</xdr:colOff>
      <xdr:row>8</xdr:row>
      <xdr:rowOff>0</xdr:rowOff>
    </xdr:to>
    <xdr:sp macro="" textlink="">
      <xdr:nvSpPr>
        <xdr:cNvPr id="53" name="Seta: Divisa 52">
          <a:extLst>
            <a:ext uri="{FF2B5EF4-FFF2-40B4-BE49-F238E27FC236}">
              <a16:creationId xmlns:a16="http://schemas.microsoft.com/office/drawing/2014/main" id="{5800214A-948B-461C-8DA4-E69A3A4B7CE9}"/>
            </a:ext>
          </a:extLst>
        </xdr:cNvPr>
        <xdr:cNvSpPr/>
      </xdr:nvSpPr>
      <xdr:spPr>
        <a:xfrm>
          <a:off x="5588000" y="254000"/>
          <a:ext cx="484632" cy="762000"/>
        </a:xfrm>
        <a:prstGeom prst="chevron">
          <a:avLst/>
        </a:prstGeom>
        <a:solidFill>
          <a:schemeClr val="tx1">
            <a:lumMod val="65000"/>
            <a:lumOff val="35000"/>
            <a:alpha val="2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  <xdr:twoCellAnchor>
    <xdr:from>
      <xdr:col>32</xdr:col>
      <xdr:colOff>0</xdr:colOff>
      <xdr:row>2</xdr:row>
      <xdr:rowOff>0</xdr:rowOff>
    </xdr:from>
    <xdr:to>
      <xdr:col>35</xdr:col>
      <xdr:colOff>103632</xdr:colOff>
      <xdr:row>8</xdr:row>
      <xdr:rowOff>0</xdr:rowOff>
    </xdr:to>
    <xdr:sp macro="" textlink="">
      <xdr:nvSpPr>
        <xdr:cNvPr id="86" name="Seta: Divisa 85">
          <a:extLst>
            <a:ext uri="{FF2B5EF4-FFF2-40B4-BE49-F238E27FC236}">
              <a16:creationId xmlns:a16="http://schemas.microsoft.com/office/drawing/2014/main" id="{94CABE4C-64FE-47AC-8794-05DA9812AA07}"/>
            </a:ext>
          </a:extLst>
        </xdr:cNvPr>
        <xdr:cNvSpPr/>
      </xdr:nvSpPr>
      <xdr:spPr>
        <a:xfrm>
          <a:off x="4064000" y="254000"/>
          <a:ext cx="484632" cy="762000"/>
        </a:xfrm>
        <a:prstGeom prst="chevron">
          <a:avLst/>
        </a:prstGeom>
        <a:solidFill>
          <a:schemeClr val="tx1">
            <a:lumMod val="65000"/>
            <a:lumOff val="35000"/>
            <a:alpha val="2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  <xdr:twoCellAnchor>
    <xdr:from>
      <xdr:col>57</xdr:col>
      <xdr:colOff>6350</xdr:colOff>
      <xdr:row>2</xdr:row>
      <xdr:rowOff>0</xdr:rowOff>
    </xdr:from>
    <xdr:to>
      <xdr:col>60</xdr:col>
      <xdr:colOff>109982</xdr:colOff>
      <xdr:row>8</xdr:row>
      <xdr:rowOff>0</xdr:rowOff>
    </xdr:to>
    <xdr:sp macro="" textlink="">
      <xdr:nvSpPr>
        <xdr:cNvPr id="87" name="Seta: Divisa 86">
          <a:extLst>
            <a:ext uri="{FF2B5EF4-FFF2-40B4-BE49-F238E27FC236}">
              <a16:creationId xmlns:a16="http://schemas.microsoft.com/office/drawing/2014/main" id="{E6726B67-F9BF-4B53-A874-A29AF4EEBA76}"/>
            </a:ext>
          </a:extLst>
        </xdr:cNvPr>
        <xdr:cNvSpPr/>
      </xdr:nvSpPr>
      <xdr:spPr>
        <a:xfrm>
          <a:off x="7245350" y="254000"/>
          <a:ext cx="484632" cy="762000"/>
        </a:xfrm>
        <a:prstGeom prst="chevron">
          <a:avLst/>
        </a:prstGeom>
        <a:solidFill>
          <a:schemeClr val="tx1">
            <a:lumMod val="65000"/>
            <a:lumOff val="35000"/>
            <a:alpha val="2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  <xdr:twoCellAnchor>
    <xdr:from>
      <xdr:col>70</xdr:col>
      <xdr:colOff>88900</xdr:colOff>
      <xdr:row>2</xdr:row>
      <xdr:rowOff>0</xdr:rowOff>
    </xdr:from>
    <xdr:to>
      <xdr:col>74</xdr:col>
      <xdr:colOff>65532</xdr:colOff>
      <xdr:row>8</xdr:row>
      <xdr:rowOff>0</xdr:rowOff>
    </xdr:to>
    <xdr:sp macro="" textlink="">
      <xdr:nvSpPr>
        <xdr:cNvPr id="88" name="Seta: Divisa 87">
          <a:extLst>
            <a:ext uri="{FF2B5EF4-FFF2-40B4-BE49-F238E27FC236}">
              <a16:creationId xmlns:a16="http://schemas.microsoft.com/office/drawing/2014/main" id="{1904BEE8-B980-4588-ADFA-1B911A3230F0}"/>
            </a:ext>
          </a:extLst>
        </xdr:cNvPr>
        <xdr:cNvSpPr/>
      </xdr:nvSpPr>
      <xdr:spPr>
        <a:xfrm>
          <a:off x="8978900" y="254000"/>
          <a:ext cx="484632" cy="762000"/>
        </a:xfrm>
        <a:prstGeom prst="chevron">
          <a:avLst/>
        </a:prstGeom>
        <a:solidFill>
          <a:schemeClr val="tx1">
            <a:lumMod val="65000"/>
            <a:lumOff val="35000"/>
            <a:alpha val="2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  <xdr:twoCellAnchor>
    <xdr:from>
      <xdr:col>82</xdr:col>
      <xdr:colOff>63500</xdr:colOff>
      <xdr:row>2</xdr:row>
      <xdr:rowOff>0</xdr:rowOff>
    </xdr:from>
    <xdr:to>
      <xdr:col>84</xdr:col>
      <xdr:colOff>0</xdr:colOff>
      <xdr:row>8</xdr:row>
      <xdr:rowOff>0</xdr:rowOff>
    </xdr:to>
    <xdr:sp macro="" textlink="">
      <xdr:nvSpPr>
        <xdr:cNvPr id="89" name="Seta: Divisa 88">
          <a:extLst>
            <a:ext uri="{FF2B5EF4-FFF2-40B4-BE49-F238E27FC236}">
              <a16:creationId xmlns:a16="http://schemas.microsoft.com/office/drawing/2014/main" id="{7D570680-5652-4431-BF5C-890D0D209F91}"/>
            </a:ext>
          </a:extLst>
        </xdr:cNvPr>
        <xdr:cNvSpPr/>
      </xdr:nvSpPr>
      <xdr:spPr>
        <a:xfrm>
          <a:off x="10477500" y="254000"/>
          <a:ext cx="190500" cy="762000"/>
        </a:xfrm>
        <a:prstGeom prst="chevron">
          <a:avLst>
            <a:gd name="adj" fmla="val 0"/>
          </a:avLst>
        </a:prstGeom>
        <a:solidFill>
          <a:schemeClr val="tx1">
            <a:lumMod val="65000"/>
            <a:lumOff val="35000"/>
            <a:alpha val="2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  <xdr:twoCellAnchor>
    <xdr:from>
      <xdr:col>25</xdr:col>
      <xdr:colOff>94771</xdr:colOff>
      <xdr:row>3</xdr:row>
      <xdr:rowOff>83553</xdr:rowOff>
    </xdr:from>
    <xdr:to>
      <xdr:col>32</xdr:col>
      <xdr:colOff>16710</xdr:colOff>
      <xdr:row>3</xdr:row>
      <xdr:rowOff>83554</xdr:rowOff>
    </xdr:to>
    <xdr:cxnSp macro="">
      <xdr:nvCxnSpPr>
        <xdr:cNvPr id="92" name="Conector reto 91">
          <a:extLst>
            <a:ext uri="{FF2B5EF4-FFF2-40B4-BE49-F238E27FC236}">
              <a16:creationId xmlns:a16="http://schemas.microsoft.com/office/drawing/2014/main" id="{1B960EA5-3A0A-4657-BA26-8FE42BF002D1}"/>
            </a:ext>
          </a:extLst>
        </xdr:cNvPr>
        <xdr:cNvCxnSpPr/>
      </xdr:nvCxnSpPr>
      <xdr:spPr>
        <a:xfrm flipV="1">
          <a:off x="3269771" y="464553"/>
          <a:ext cx="810939" cy="1"/>
        </a:xfrm>
        <a:prstGeom prst="line">
          <a:avLst/>
        </a:prstGeom>
        <a:ln>
          <a:solidFill>
            <a:srgbClr val="FFFFFF">
              <a:alpha val="10196"/>
            </a:srgb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73381</xdr:colOff>
      <xdr:row>6</xdr:row>
      <xdr:rowOff>38769</xdr:rowOff>
    </xdr:from>
    <xdr:to>
      <xdr:col>31</xdr:col>
      <xdr:colOff>122320</xdr:colOff>
      <xdr:row>6</xdr:row>
      <xdr:rowOff>38770</xdr:rowOff>
    </xdr:to>
    <xdr:cxnSp macro="">
      <xdr:nvCxnSpPr>
        <xdr:cNvPr id="94" name="Conector reto 93">
          <a:extLst>
            <a:ext uri="{FF2B5EF4-FFF2-40B4-BE49-F238E27FC236}">
              <a16:creationId xmlns:a16="http://schemas.microsoft.com/office/drawing/2014/main" id="{33BE5F53-F883-4139-91C2-DFBAC8F60043}"/>
            </a:ext>
          </a:extLst>
        </xdr:cNvPr>
        <xdr:cNvCxnSpPr/>
      </xdr:nvCxnSpPr>
      <xdr:spPr>
        <a:xfrm flipV="1">
          <a:off x="3248381" y="800769"/>
          <a:ext cx="810939" cy="1"/>
        </a:xfrm>
        <a:prstGeom prst="line">
          <a:avLst/>
        </a:prstGeom>
        <a:ln>
          <a:solidFill>
            <a:srgbClr val="FFFFFF">
              <a:alpha val="10196"/>
            </a:srgb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86</xdr:col>
      <xdr:colOff>0</xdr:colOff>
      <xdr:row>2</xdr:row>
      <xdr:rowOff>0</xdr:rowOff>
    </xdr:from>
    <xdr:to>
      <xdr:col>94</xdr:col>
      <xdr:colOff>0</xdr:colOff>
      <xdr:row>8</xdr:row>
      <xdr:rowOff>0</xdr:rowOff>
    </xdr:to>
    <xdr:grpSp>
      <xdr:nvGrpSpPr>
        <xdr:cNvPr id="214" name="Agrupar 2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B9FCB66-EE1A-420F-9D5E-31A8D2E6C349}"/>
            </a:ext>
          </a:extLst>
        </xdr:cNvPr>
        <xdr:cNvGrpSpPr/>
      </xdr:nvGrpSpPr>
      <xdr:grpSpPr>
        <a:xfrm>
          <a:off x="9101667" y="254000"/>
          <a:ext cx="846666" cy="762000"/>
          <a:chOff x="10922000" y="254000"/>
          <a:chExt cx="1016000" cy="762000"/>
        </a:xfrm>
      </xdr:grpSpPr>
      <xdr:sp macro="[0]!Menu" textlink="">
        <xdr:nvSpPr>
          <xdr:cNvPr id="81" name="Retângulo: Cantos Diagonais Arredondados 80">
            <a:extLst>
              <a:ext uri="{FF2B5EF4-FFF2-40B4-BE49-F238E27FC236}">
                <a16:creationId xmlns:a16="http://schemas.microsoft.com/office/drawing/2014/main" id="{30E904E0-084C-4ECF-A24B-821735B6985E}"/>
              </a:ext>
            </a:extLst>
          </xdr:cNvPr>
          <xdr:cNvSpPr/>
        </xdr:nvSpPr>
        <xdr:spPr>
          <a:xfrm>
            <a:off x="10922000" y="254000"/>
            <a:ext cx="1016000" cy="762000"/>
          </a:xfrm>
          <a:prstGeom prst="round2DiagRect">
            <a:avLst>
              <a:gd name="adj1" fmla="val 0"/>
              <a:gd name="adj2" fmla="val 0"/>
            </a:avLst>
          </a:prstGeom>
          <a:solidFill>
            <a:srgbClr val="3D4045"/>
          </a:solidFill>
          <a:ln>
            <a:solidFill>
              <a:schemeClr val="bg1"/>
            </a:solidFill>
          </a:ln>
          <a:effectLst>
            <a:outerShdw blurRad="50800" dist="38100" algn="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endParaRPr lang="pt-BR" sz="1800" b="1">
              <a:latin typeface="Roboto" panose="02000000000000000000"/>
            </a:endParaRPr>
          </a:p>
        </xdr:txBody>
      </xdr:sp>
      <xdr:pic macro="[0]!Menu">
        <xdr:nvPicPr>
          <xdr:cNvPr id="99" name="Gráfico 98" descr="Voltar com preenchimento sólido">
            <a:extLst>
              <a:ext uri="{FF2B5EF4-FFF2-40B4-BE49-F238E27FC236}">
                <a16:creationId xmlns:a16="http://schemas.microsoft.com/office/drawing/2014/main" id="{E26FAF7F-132A-4F5E-A37D-9C8426F5B31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8"/>
              </a:ext>
            </a:extLst>
          </a:blip>
          <a:stretch>
            <a:fillRect/>
          </a:stretch>
        </xdr:blipFill>
        <xdr:spPr>
          <a:xfrm>
            <a:off x="11049000" y="254000"/>
            <a:ext cx="762000" cy="762000"/>
          </a:xfrm>
          <a:prstGeom prst="rect">
            <a:avLst/>
          </a:prstGeom>
        </xdr:spPr>
      </xdr:pic>
      <xdr:sp macro="[0]!Menu" textlink="">
        <xdr:nvSpPr>
          <xdr:cNvPr id="95" name="Retângulo 94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1E03C3E0-640D-41B5-9EF6-9E8EF61E73F2}"/>
              </a:ext>
            </a:extLst>
          </xdr:cNvPr>
          <xdr:cNvSpPr/>
        </xdr:nvSpPr>
        <xdr:spPr>
          <a:xfrm>
            <a:off x="10922000" y="381000"/>
            <a:ext cx="1003299" cy="50800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300" b="1">
                <a:latin typeface="Roboto" panose="02000000000000000000"/>
              </a:rPr>
              <a:t>MENU</a:t>
            </a:r>
          </a:p>
        </xdr:txBody>
      </xdr:sp>
    </xdr:grpSp>
    <xdr:clientData/>
  </xdr:twoCellAnchor>
  <xdr:twoCellAnchor>
    <xdr:from>
      <xdr:col>24</xdr:col>
      <xdr:colOff>0</xdr:colOff>
      <xdr:row>10</xdr:row>
      <xdr:rowOff>83129</xdr:rowOff>
    </xdr:from>
    <xdr:to>
      <xdr:col>26</xdr:col>
      <xdr:colOff>0</xdr:colOff>
      <xdr:row>12</xdr:row>
      <xdr:rowOff>83129</xdr:rowOff>
    </xdr:to>
    <xdr:sp macro="" textlink="">
      <xdr:nvSpPr>
        <xdr:cNvPr id="2" name="Fluxograma: Atraso 1">
          <a:extLst>
            <a:ext uri="{FF2B5EF4-FFF2-40B4-BE49-F238E27FC236}">
              <a16:creationId xmlns:a16="http://schemas.microsoft.com/office/drawing/2014/main" id="{24518053-94CD-49FE-ABE0-F084E6834B13}"/>
            </a:ext>
          </a:extLst>
        </xdr:cNvPr>
        <xdr:cNvSpPr/>
      </xdr:nvSpPr>
      <xdr:spPr>
        <a:xfrm>
          <a:off x="2992582" y="1399311"/>
          <a:ext cx="249382" cy="263236"/>
        </a:xfrm>
        <a:prstGeom prst="flowChartDelay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13</xdr:col>
      <xdr:colOff>0</xdr:colOff>
      <xdr:row>10</xdr:row>
      <xdr:rowOff>76202</xdr:rowOff>
    </xdr:from>
    <xdr:to>
      <xdr:col>25</xdr:col>
      <xdr:colOff>0</xdr:colOff>
      <xdr:row>12</xdr:row>
      <xdr:rowOff>76202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42F88DF2-706C-4DBA-A2BF-B5610AC62593}"/>
            </a:ext>
          </a:extLst>
        </xdr:cNvPr>
        <xdr:cNvSpPr/>
      </xdr:nvSpPr>
      <xdr:spPr>
        <a:xfrm>
          <a:off x="1620982" y="1392384"/>
          <a:ext cx="1496291" cy="263236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400" b="1">
              <a:solidFill>
                <a:srgbClr val="F58220"/>
              </a:solidFill>
              <a:latin typeface="Roboto" panose="02000000000000000000"/>
            </a:rPr>
            <a:t> Moagem</a:t>
          </a:r>
        </a:p>
      </xdr:txBody>
    </xdr:sp>
    <xdr:clientData/>
  </xdr:twoCellAnchor>
  <xdr:twoCellAnchor>
    <xdr:from>
      <xdr:col>49</xdr:col>
      <xdr:colOff>120650</xdr:colOff>
      <xdr:row>10</xdr:row>
      <xdr:rowOff>76201</xdr:rowOff>
    </xdr:from>
    <xdr:to>
      <xdr:col>51</xdr:col>
      <xdr:colOff>120650</xdr:colOff>
      <xdr:row>12</xdr:row>
      <xdr:rowOff>76201</xdr:rowOff>
    </xdr:to>
    <xdr:sp macro="" textlink="">
      <xdr:nvSpPr>
        <xdr:cNvPr id="68" name="Fluxograma: Atraso 67">
          <a:extLst>
            <a:ext uri="{FF2B5EF4-FFF2-40B4-BE49-F238E27FC236}">
              <a16:creationId xmlns:a16="http://schemas.microsoft.com/office/drawing/2014/main" id="{2AA538AA-2E34-4ADF-92C1-0F9D49A7AB64}"/>
            </a:ext>
          </a:extLst>
        </xdr:cNvPr>
        <xdr:cNvSpPr/>
      </xdr:nvSpPr>
      <xdr:spPr>
        <a:xfrm>
          <a:off x="6230505" y="1392383"/>
          <a:ext cx="249381" cy="263236"/>
        </a:xfrm>
        <a:prstGeom prst="flowChartDelay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38</xdr:col>
      <xdr:colOff>120650</xdr:colOff>
      <xdr:row>10</xdr:row>
      <xdr:rowOff>76202</xdr:rowOff>
    </xdr:from>
    <xdr:to>
      <xdr:col>50</xdr:col>
      <xdr:colOff>120650</xdr:colOff>
      <xdr:row>12</xdr:row>
      <xdr:rowOff>76202</xdr:rowOff>
    </xdr:to>
    <xdr:sp macro="" textlink="">
      <xdr:nvSpPr>
        <xdr:cNvPr id="69" name="Retângulo 68">
          <a:extLst>
            <a:ext uri="{FF2B5EF4-FFF2-40B4-BE49-F238E27FC236}">
              <a16:creationId xmlns:a16="http://schemas.microsoft.com/office/drawing/2014/main" id="{621776D7-EB3A-4125-9B8D-65E173805C23}"/>
            </a:ext>
          </a:extLst>
        </xdr:cNvPr>
        <xdr:cNvSpPr/>
      </xdr:nvSpPr>
      <xdr:spPr>
        <a:xfrm>
          <a:off x="4858905" y="1392384"/>
          <a:ext cx="1496290" cy="263236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400" b="1">
              <a:solidFill>
                <a:srgbClr val="F58220"/>
              </a:solidFill>
              <a:latin typeface="Roboto" panose="02000000000000000000"/>
            </a:rPr>
            <a:t> Produção</a:t>
          </a:r>
        </a:p>
      </xdr:txBody>
    </xdr:sp>
    <xdr:clientData/>
  </xdr:twoCellAnchor>
  <xdr:twoCellAnchor>
    <xdr:from>
      <xdr:col>15</xdr:col>
      <xdr:colOff>62345</xdr:colOff>
      <xdr:row>19</xdr:row>
      <xdr:rowOff>20782</xdr:rowOff>
    </xdr:from>
    <xdr:to>
      <xdr:col>35</xdr:col>
      <xdr:colOff>25400</xdr:colOff>
      <xdr:row>31</xdr:row>
      <xdr:rowOff>88900</xdr:rowOff>
    </xdr:to>
    <xdr:sp macro="" textlink="">
      <xdr:nvSpPr>
        <xdr:cNvPr id="21" name="Forma Livre: Forma 20">
          <a:extLst>
            <a:ext uri="{FF2B5EF4-FFF2-40B4-BE49-F238E27FC236}">
              <a16:creationId xmlns:a16="http://schemas.microsoft.com/office/drawing/2014/main" id="{5F20BEC1-40F6-40B4-B2EB-EDD057D0B86B}"/>
            </a:ext>
          </a:extLst>
        </xdr:cNvPr>
        <xdr:cNvSpPr/>
      </xdr:nvSpPr>
      <xdr:spPr>
        <a:xfrm>
          <a:off x="1932709" y="2521527"/>
          <a:ext cx="2456873" cy="1647537"/>
        </a:xfrm>
        <a:custGeom>
          <a:avLst/>
          <a:gdLst>
            <a:gd name="connsiteX0" fmla="*/ 0 w 241300"/>
            <a:gd name="connsiteY0" fmla="*/ 0 h 1441450"/>
            <a:gd name="connsiteX1" fmla="*/ 0 w 241300"/>
            <a:gd name="connsiteY1" fmla="*/ 1441450 h 1441450"/>
            <a:gd name="connsiteX2" fmla="*/ 241300 w 241300"/>
            <a:gd name="connsiteY2" fmla="*/ 1441450 h 14414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41300" h="1441450">
              <a:moveTo>
                <a:pt x="0" y="0"/>
              </a:moveTo>
              <a:lnTo>
                <a:pt x="0" y="1441450"/>
              </a:lnTo>
              <a:lnTo>
                <a:pt x="241300" y="1441450"/>
              </a:lnTo>
            </a:path>
          </a:pathLst>
        </a:custGeom>
        <a:solidFill>
          <a:srgbClr val="F9F9F9"/>
        </a:solidFill>
        <a:ln w="19050">
          <a:solidFill>
            <a:schemeClr val="bg1">
              <a:lumMod val="85000"/>
            </a:schemeClr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15</xdr:col>
      <xdr:colOff>90055</xdr:colOff>
      <xdr:row>21</xdr:row>
      <xdr:rowOff>0</xdr:rowOff>
    </xdr:from>
    <xdr:to>
      <xdr:col>35</xdr:col>
      <xdr:colOff>120651</xdr:colOff>
      <xdr:row>31</xdr:row>
      <xdr:rowOff>31750</xdr:rowOff>
    </xdr:to>
    <xdr:graphicFrame macro="">
      <xdr:nvGraphicFramePr>
        <xdr:cNvPr id="73" name="Gráfico 72">
          <a:extLst>
            <a:ext uri="{FF2B5EF4-FFF2-40B4-BE49-F238E27FC236}">
              <a16:creationId xmlns:a16="http://schemas.microsoft.com/office/drawing/2014/main" id="{EA9001F3-3AC1-41C1-B48E-42F02A2F03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39</xdr:col>
      <xdr:colOff>82550</xdr:colOff>
      <xdr:row>16</xdr:row>
      <xdr:rowOff>48472</xdr:rowOff>
    </xdr:from>
    <xdr:to>
      <xdr:col>43</xdr:col>
      <xdr:colOff>78550</xdr:colOff>
      <xdr:row>20</xdr:row>
      <xdr:rowOff>44472</xdr:rowOff>
    </xdr:to>
    <xdr:pic>
      <xdr:nvPicPr>
        <xdr:cNvPr id="30" name="Gráfico 29" descr="Combustível com preenchimento sólido">
          <a:extLst>
            <a:ext uri="{FF2B5EF4-FFF2-40B4-BE49-F238E27FC236}">
              <a16:creationId xmlns:a16="http://schemas.microsoft.com/office/drawing/2014/main" id="{120B19DF-FDA9-4120-A2BE-5C353E4D4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>
          <a:off x="4210050" y="2080472"/>
          <a:ext cx="419333" cy="504000"/>
        </a:xfrm>
        <a:prstGeom prst="rect">
          <a:avLst/>
        </a:prstGeom>
      </xdr:spPr>
    </xdr:pic>
    <xdr:clientData/>
  </xdr:twoCellAnchor>
  <xdr:twoCellAnchor editAs="oneCell">
    <xdr:from>
      <xdr:col>39</xdr:col>
      <xdr:colOff>6350</xdr:colOff>
      <xdr:row>25</xdr:row>
      <xdr:rowOff>22516</xdr:rowOff>
    </xdr:from>
    <xdr:to>
      <xdr:col>43</xdr:col>
      <xdr:colOff>2350</xdr:colOff>
      <xdr:row>29</xdr:row>
      <xdr:rowOff>13899</xdr:rowOff>
    </xdr:to>
    <xdr:pic>
      <xdr:nvPicPr>
        <xdr:cNvPr id="35" name="Gráfico 34" descr="Sementes com preenchimento sólido">
          <a:extLst>
            <a:ext uri="{FF2B5EF4-FFF2-40B4-BE49-F238E27FC236}">
              <a16:creationId xmlns:a16="http://schemas.microsoft.com/office/drawing/2014/main" id="{B7F57831-15C9-4EC0-B326-A682EFE34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3"/>
            </a:ext>
          </a:extLst>
        </a:blip>
        <a:stretch>
          <a:fillRect/>
        </a:stretch>
      </xdr:blipFill>
      <xdr:spPr>
        <a:xfrm>
          <a:off x="4835525" y="3356266"/>
          <a:ext cx="491300" cy="524783"/>
        </a:xfrm>
        <a:prstGeom prst="rect">
          <a:avLst/>
        </a:prstGeom>
      </xdr:spPr>
    </xdr:pic>
    <xdr:clientData/>
  </xdr:twoCellAnchor>
  <xdr:twoCellAnchor>
    <xdr:from>
      <xdr:col>43</xdr:col>
      <xdr:colOff>22412</xdr:colOff>
      <xdr:row>14</xdr:row>
      <xdr:rowOff>130924</xdr:rowOff>
    </xdr:from>
    <xdr:to>
      <xdr:col>66</xdr:col>
      <xdr:colOff>0</xdr:colOff>
      <xdr:row>14</xdr:row>
      <xdr:rowOff>130924</xdr:rowOff>
    </xdr:to>
    <xdr:cxnSp macro="">
      <xdr:nvCxnSpPr>
        <xdr:cNvPr id="90" name="Conector reto 89">
          <a:extLst>
            <a:ext uri="{FF2B5EF4-FFF2-40B4-BE49-F238E27FC236}">
              <a16:creationId xmlns:a16="http://schemas.microsoft.com/office/drawing/2014/main" id="{708D87F2-D858-4F34-9290-1C4D8EF6F5F3}"/>
            </a:ext>
          </a:extLst>
        </xdr:cNvPr>
        <xdr:cNvCxnSpPr/>
      </xdr:nvCxnSpPr>
      <xdr:spPr>
        <a:xfrm flipH="1">
          <a:off x="5346887" y="1997824"/>
          <a:ext cx="2825563" cy="0"/>
        </a:xfrm>
        <a:prstGeom prst="line">
          <a:avLst/>
        </a:prstGeom>
        <a:ln w="9525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24192</xdr:colOff>
      <xdr:row>23</xdr:row>
      <xdr:rowOff>111737</xdr:rowOff>
    </xdr:from>
    <xdr:to>
      <xdr:col>68</xdr:col>
      <xdr:colOff>15320</xdr:colOff>
      <xdr:row>23</xdr:row>
      <xdr:rowOff>111737</xdr:rowOff>
    </xdr:to>
    <xdr:cxnSp macro="">
      <xdr:nvCxnSpPr>
        <xdr:cNvPr id="102" name="Conector reto 101">
          <a:extLst>
            <a:ext uri="{FF2B5EF4-FFF2-40B4-BE49-F238E27FC236}">
              <a16:creationId xmlns:a16="http://schemas.microsoft.com/office/drawing/2014/main" id="{7C1AB615-B737-451A-99EE-B5940E4368AA}"/>
            </a:ext>
          </a:extLst>
        </xdr:cNvPr>
        <xdr:cNvCxnSpPr/>
      </xdr:nvCxnSpPr>
      <xdr:spPr>
        <a:xfrm flipH="1">
          <a:off x="4922763" y="3032737"/>
          <a:ext cx="2494843" cy="0"/>
        </a:xfrm>
        <a:prstGeom prst="line">
          <a:avLst/>
        </a:prstGeom>
        <a:ln w="9525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43</xdr:col>
      <xdr:colOff>22412</xdr:colOff>
      <xdr:row>27</xdr:row>
      <xdr:rowOff>68324</xdr:rowOff>
    </xdr:from>
    <xdr:to>
      <xdr:col>66</xdr:col>
      <xdr:colOff>0</xdr:colOff>
      <xdr:row>27</xdr:row>
      <xdr:rowOff>68324</xdr:rowOff>
    </xdr:to>
    <xdr:cxnSp macro="">
      <xdr:nvCxnSpPr>
        <xdr:cNvPr id="103" name="Conector reto 102">
          <a:extLst>
            <a:ext uri="{FF2B5EF4-FFF2-40B4-BE49-F238E27FC236}">
              <a16:creationId xmlns:a16="http://schemas.microsoft.com/office/drawing/2014/main" id="{0B063173-0F99-4CB0-80AF-6E78A5F038D6}"/>
            </a:ext>
          </a:extLst>
        </xdr:cNvPr>
        <xdr:cNvCxnSpPr/>
      </xdr:nvCxnSpPr>
      <xdr:spPr>
        <a:xfrm flipH="1">
          <a:off x="5346887" y="3668774"/>
          <a:ext cx="2825563" cy="0"/>
        </a:xfrm>
        <a:prstGeom prst="line">
          <a:avLst/>
        </a:prstGeom>
        <a:ln w="9525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57</xdr:col>
      <xdr:colOff>1</xdr:colOff>
      <xdr:row>12</xdr:row>
      <xdr:rowOff>46762</xdr:rowOff>
    </xdr:from>
    <xdr:to>
      <xdr:col>67</xdr:col>
      <xdr:colOff>1</xdr:colOff>
      <xdr:row>15</xdr:row>
      <xdr:rowOff>46762</xdr:rowOff>
    </xdr:to>
    <xdr:sp macro="" textlink="Pivots!D61">
      <xdr:nvSpPr>
        <xdr:cNvPr id="1139" name="Retângulo 103">
          <a:extLst>
            <a:ext uri="{FF2B5EF4-FFF2-40B4-BE49-F238E27FC236}">
              <a16:creationId xmlns:a16="http://schemas.microsoft.com/office/drawing/2014/main" id="{7CACA79C-ADD9-4832-9CAD-51AFF145310F}"/>
            </a:ext>
          </a:extLst>
        </xdr:cNvPr>
        <xdr:cNvSpPr/>
      </xdr:nvSpPr>
      <xdr:spPr>
        <a:xfrm>
          <a:off x="6712528" y="1626180"/>
          <a:ext cx="1177637" cy="39485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fld id="{10234029-10E8-4CF0-8E3F-D252BCC76C34}" type="TxLink">
            <a:rPr lang="en-US" sz="2000" b="1" i="0" u="none" strike="noStrike">
              <a:solidFill>
                <a:srgbClr val="4B4F55"/>
              </a:solidFill>
              <a:latin typeface="Roboto"/>
              <a:ea typeface="Roboto"/>
              <a:cs typeface="Roboto"/>
            </a:rPr>
            <a:pPr algn="r"/>
            <a:t> 85 </a:t>
          </a:fld>
          <a:endParaRPr lang="pt-BR" sz="4400" b="1">
            <a:solidFill>
              <a:srgbClr val="4B4F55"/>
            </a:solidFill>
          </a:endParaRPr>
        </a:p>
      </xdr:txBody>
    </xdr:sp>
    <xdr:clientData/>
  </xdr:twoCellAnchor>
  <xdr:twoCellAnchor>
    <xdr:from>
      <xdr:col>45</xdr:col>
      <xdr:colOff>46420</xdr:colOff>
      <xdr:row>14</xdr:row>
      <xdr:rowOff>76390</xdr:rowOff>
    </xdr:from>
    <xdr:to>
      <xdr:col>55</xdr:col>
      <xdr:colOff>72567</xdr:colOff>
      <xdr:row>16</xdr:row>
      <xdr:rowOff>115984</xdr:rowOff>
    </xdr:to>
    <xdr:sp macro="" textlink="">
      <xdr:nvSpPr>
        <xdr:cNvPr id="105" name="Retângulo 104">
          <a:extLst>
            <a:ext uri="{FF2B5EF4-FFF2-40B4-BE49-F238E27FC236}">
              <a16:creationId xmlns:a16="http://schemas.microsoft.com/office/drawing/2014/main" id="{33E1C2A7-041E-42E6-B57A-667E7528971C}"/>
            </a:ext>
          </a:extLst>
        </xdr:cNvPr>
        <xdr:cNvSpPr/>
      </xdr:nvSpPr>
      <xdr:spPr>
        <a:xfrm>
          <a:off x="4944991" y="1854390"/>
          <a:ext cx="1114719" cy="29359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000" b="0" i="0" u="none" strike="noStrike">
              <a:solidFill>
                <a:schemeClr val="bg1">
                  <a:lumMod val="50000"/>
                </a:schemeClr>
              </a:solidFill>
              <a:latin typeface="Roboto"/>
            </a:rPr>
            <a:t>(mil toneladas)</a:t>
          </a:r>
        </a:p>
      </xdr:txBody>
    </xdr:sp>
    <xdr:clientData/>
  </xdr:twoCellAnchor>
  <xdr:twoCellAnchor>
    <xdr:from>
      <xdr:col>44</xdr:col>
      <xdr:colOff>103575</xdr:colOff>
      <xdr:row>18</xdr:row>
      <xdr:rowOff>21268</xdr:rowOff>
    </xdr:from>
    <xdr:to>
      <xdr:col>53</xdr:col>
      <xdr:colOff>61952</xdr:colOff>
      <xdr:row>20</xdr:row>
      <xdr:rowOff>60861</xdr:rowOff>
    </xdr:to>
    <xdr:sp macro="" textlink="">
      <xdr:nvSpPr>
        <xdr:cNvPr id="106" name="Retângulo 105">
          <a:extLst>
            <a:ext uri="{FF2B5EF4-FFF2-40B4-BE49-F238E27FC236}">
              <a16:creationId xmlns:a16="http://schemas.microsoft.com/office/drawing/2014/main" id="{F0C874C7-F3ED-4452-8A50-408911A5C89B}"/>
            </a:ext>
          </a:extLst>
        </xdr:cNvPr>
        <xdr:cNvSpPr/>
      </xdr:nvSpPr>
      <xdr:spPr>
        <a:xfrm>
          <a:off x="4893289" y="2307268"/>
          <a:ext cx="938092" cy="29359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000" b="0" i="0" u="none" strike="noStrike">
              <a:solidFill>
                <a:schemeClr val="bg1">
                  <a:lumMod val="50000"/>
                </a:schemeClr>
              </a:solidFill>
              <a:latin typeface="Roboto"/>
            </a:rPr>
            <a:t>(mil m³)</a:t>
          </a:r>
        </a:p>
      </xdr:txBody>
    </xdr:sp>
    <xdr:clientData/>
  </xdr:twoCellAnchor>
  <xdr:twoCellAnchor>
    <xdr:from>
      <xdr:col>44</xdr:col>
      <xdr:colOff>97224</xdr:colOff>
      <xdr:row>23</xdr:row>
      <xdr:rowOff>46369</xdr:rowOff>
    </xdr:from>
    <xdr:to>
      <xdr:col>53</xdr:col>
      <xdr:colOff>55601</xdr:colOff>
      <xdr:row>25</xdr:row>
      <xdr:rowOff>85962</xdr:rowOff>
    </xdr:to>
    <xdr:sp macro="" textlink="">
      <xdr:nvSpPr>
        <xdr:cNvPr id="1121" name="Retângulo 106">
          <a:extLst>
            <a:ext uri="{FF2B5EF4-FFF2-40B4-BE49-F238E27FC236}">
              <a16:creationId xmlns:a16="http://schemas.microsoft.com/office/drawing/2014/main" id="{D178BEEE-D365-4CB1-8342-307FEF25C47A}"/>
            </a:ext>
          </a:extLst>
        </xdr:cNvPr>
        <xdr:cNvSpPr/>
      </xdr:nvSpPr>
      <xdr:spPr>
        <a:xfrm>
          <a:off x="4699106" y="2967369"/>
          <a:ext cx="899671" cy="29359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000" b="0" i="0" u="none" strike="noStrike">
              <a:solidFill>
                <a:schemeClr val="bg1">
                  <a:lumMod val="50000"/>
                </a:schemeClr>
              </a:solidFill>
              <a:latin typeface="Roboto"/>
            </a:rPr>
            <a:t>(GWh)</a:t>
          </a:r>
        </a:p>
      </xdr:txBody>
    </xdr:sp>
    <xdr:clientData/>
  </xdr:twoCellAnchor>
  <xdr:twoCellAnchor>
    <xdr:from>
      <xdr:col>44</xdr:col>
      <xdr:colOff>54073</xdr:colOff>
      <xdr:row>27</xdr:row>
      <xdr:rowOff>24725</xdr:rowOff>
    </xdr:from>
    <xdr:to>
      <xdr:col>55</xdr:col>
      <xdr:colOff>77046</xdr:colOff>
      <xdr:row>29</xdr:row>
      <xdr:rowOff>59702</xdr:rowOff>
    </xdr:to>
    <xdr:sp macro="" textlink="">
      <xdr:nvSpPr>
        <xdr:cNvPr id="108" name="Retângulo 107">
          <a:extLst>
            <a:ext uri="{FF2B5EF4-FFF2-40B4-BE49-F238E27FC236}">
              <a16:creationId xmlns:a16="http://schemas.microsoft.com/office/drawing/2014/main" id="{C838ECC2-9C9D-4B36-B7B0-7ED0E9853C73}"/>
            </a:ext>
          </a:extLst>
        </xdr:cNvPr>
        <xdr:cNvSpPr/>
      </xdr:nvSpPr>
      <xdr:spPr>
        <a:xfrm>
          <a:off x="4843787" y="3453725"/>
          <a:ext cx="1220402" cy="28897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000" b="0" i="0" u="none" strike="noStrike">
              <a:solidFill>
                <a:schemeClr val="bg1">
                  <a:lumMod val="50000"/>
                </a:schemeClr>
              </a:solidFill>
              <a:latin typeface="Roboto"/>
            </a:rPr>
            <a:t>(mil toneladas)</a:t>
          </a:r>
        </a:p>
      </xdr:txBody>
    </xdr:sp>
    <xdr:clientData/>
  </xdr:twoCellAnchor>
  <xdr:twoCellAnchor>
    <xdr:from>
      <xdr:col>58</xdr:col>
      <xdr:colOff>101384</xdr:colOff>
      <xdr:row>18</xdr:row>
      <xdr:rowOff>48926</xdr:rowOff>
    </xdr:from>
    <xdr:to>
      <xdr:col>64</xdr:col>
      <xdr:colOff>49790</xdr:colOff>
      <xdr:row>19</xdr:row>
      <xdr:rowOff>121807</xdr:rowOff>
    </xdr:to>
    <xdr:sp macro="" textlink="">
      <xdr:nvSpPr>
        <xdr:cNvPr id="110" name="Retângulo: Cantos Diagonais Arredondados 109">
          <a:extLst>
            <a:ext uri="{FF2B5EF4-FFF2-40B4-BE49-F238E27FC236}">
              <a16:creationId xmlns:a16="http://schemas.microsoft.com/office/drawing/2014/main" id="{49F3ACED-065D-4789-B5E9-FB79645C6E8C}"/>
            </a:ext>
          </a:extLst>
        </xdr:cNvPr>
        <xdr:cNvSpPr/>
      </xdr:nvSpPr>
      <xdr:spPr>
        <a:xfrm>
          <a:off x="6730784" y="2334926"/>
          <a:ext cx="634206" cy="199881"/>
        </a:xfrm>
        <a:prstGeom prst="round2DiagRect">
          <a:avLst>
            <a:gd name="adj1" fmla="val 0"/>
            <a:gd name="adj2" fmla="val 0"/>
          </a:avLst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900" b="0">
              <a:solidFill>
                <a:schemeClr val="bg1">
                  <a:lumMod val="50000"/>
                </a:schemeClr>
              </a:solidFill>
              <a:latin typeface="Roboto" panose="02000000000000000000"/>
            </a:rPr>
            <a:t>Anidro</a:t>
          </a:r>
        </a:p>
      </xdr:txBody>
    </xdr:sp>
    <xdr:clientData/>
  </xdr:twoCellAnchor>
  <xdr:twoCellAnchor>
    <xdr:from>
      <xdr:col>57</xdr:col>
      <xdr:colOff>91722</xdr:colOff>
      <xdr:row>19</xdr:row>
      <xdr:rowOff>98064</xdr:rowOff>
    </xdr:from>
    <xdr:to>
      <xdr:col>65</xdr:col>
      <xdr:colOff>32328</xdr:colOff>
      <xdr:row>21</xdr:row>
      <xdr:rowOff>56443</xdr:rowOff>
    </xdr:to>
    <xdr:sp macro="" textlink="">
      <xdr:nvSpPr>
        <xdr:cNvPr id="111" name="Retângulo: Cantos Diagonais Arredondados 110">
          <a:extLst>
            <a:ext uri="{FF2B5EF4-FFF2-40B4-BE49-F238E27FC236}">
              <a16:creationId xmlns:a16="http://schemas.microsoft.com/office/drawing/2014/main" id="{ADE117CD-0C1F-4D6B-92E5-F468856C17C3}"/>
            </a:ext>
          </a:extLst>
        </xdr:cNvPr>
        <xdr:cNvSpPr/>
      </xdr:nvSpPr>
      <xdr:spPr>
        <a:xfrm>
          <a:off x="6124222" y="2511064"/>
          <a:ext cx="787273" cy="212379"/>
        </a:xfrm>
        <a:prstGeom prst="round2DiagRect">
          <a:avLst>
            <a:gd name="adj1" fmla="val 0"/>
            <a:gd name="adj2" fmla="val 0"/>
          </a:avLst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900" b="0">
              <a:solidFill>
                <a:schemeClr val="bg1">
                  <a:lumMod val="50000"/>
                </a:schemeClr>
              </a:solidFill>
              <a:latin typeface="Roboto" panose="02000000000000000000"/>
            </a:rPr>
            <a:t>Hidratado</a:t>
          </a:r>
        </a:p>
      </xdr:txBody>
    </xdr:sp>
    <xdr:clientData/>
  </xdr:twoCellAnchor>
  <xdr:twoCellAnchor>
    <xdr:from>
      <xdr:col>57</xdr:col>
      <xdr:colOff>0</xdr:colOff>
      <xdr:row>15</xdr:row>
      <xdr:rowOff>99589</xdr:rowOff>
    </xdr:from>
    <xdr:to>
      <xdr:col>67</xdr:col>
      <xdr:colOff>0</xdr:colOff>
      <xdr:row>18</xdr:row>
      <xdr:rowOff>99590</xdr:rowOff>
    </xdr:to>
    <xdr:sp macro="" textlink="Pivots!E70">
      <xdr:nvSpPr>
        <xdr:cNvPr id="1135" name="Retângulo 111">
          <a:extLst>
            <a:ext uri="{FF2B5EF4-FFF2-40B4-BE49-F238E27FC236}">
              <a16:creationId xmlns:a16="http://schemas.microsoft.com/office/drawing/2014/main" id="{CBF7A1CB-807F-4317-99F3-72AFEA587BB6}"/>
            </a:ext>
          </a:extLst>
        </xdr:cNvPr>
        <xdr:cNvSpPr/>
      </xdr:nvSpPr>
      <xdr:spPr>
        <a:xfrm>
          <a:off x="6712527" y="2073862"/>
          <a:ext cx="1177637" cy="39485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fld id="{C946BF14-60C7-4DEB-BD02-8D605130779E}" type="TxLink">
            <a:rPr lang="en-US" sz="2000" b="1" i="0" u="none" strike="noStrike">
              <a:solidFill>
                <a:srgbClr val="4B4F55"/>
              </a:solidFill>
              <a:latin typeface="Roboto"/>
              <a:ea typeface="Roboto"/>
              <a:cs typeface="Roboto"/>
            </a:rPr>
            <a:pPr algn="r"/>
            <a:t>76</a:t>
          </a:fld>
          <a:endParaRPr lang="pt-BR" sz="2000" b="1">
            <a:solidFill>
              <a:srgbClr val="4B4F55"/>
            </a:solidFill>
          </a:endParaRPr>
        </a:p>
      </xdr:txBody>
    </xdr:sp>
    <xdr:clientData/>
  </xdr:twoCellAnchor>
  <xdr:twoCellAnchor>
    <xdr:from>
      <xdr:col>48</xdr:col>
      <xdr:colOff>78983</xdr:colOff>
      <xdr:row>18</xdr:row>
      <xdr:rowOff>61479</xdr:rowOff>
    </xdr:from>
    <xdr:to>
      <xdr:col>66</xdr:col>
      <xdr:colOff>41177</xdr:colOff>
      <xdr:row>21</xdr:row>
      <xdr:rowOff>38100</xdr:rowOff>
    </xdr:to>
    <xdr:sp macro="" textlink="">
      <xdr:nvSpPr>
        <xdr:cNvPr id="109" name="Forma Livre: Forma 108">
          <a:extLst>
            <a:ext uri="{FF2B5EF4-FFF2-40B4-BE49-F238E27FC236}">
              <a16:creationId xmlns:a16="http://schemas.microsoft.com/office/drawing/2014/main" id="{E6BFC86E-D81C-41FF-90F4-49C4026459C5}"/>
            </a:ext>
          </a:extLst>
        </xdr:cNvPr>
        <xdr:cNvSpPr/>
      </xdr:nvSpPr>
      <xdr:spPr>
        <a:xfrm>
          <a:off x="5158983" y="2347479"/>
          <a:ext cx="1867194" cy="357621"/>
        </a:xfrm>
        <a:custGeom>
          <a:avLst/>
          <a:gdLst>
            <a:gd name="connsiteX0" fmla="*/ 0 w 2317750"/>
            <a:gd name="connsiteY0" fmla="*/ 0 h 381000"/>
            <a:gd name="connsiteX1" fmla="*/ 914400 w 2317750"/>
            <a:gd name="connsiteY1" fmla="*/ 0 h 381000"/>
            <a:gd name="connsiteX2" fmla="*/ 1060450 w 2317750"/>
            <a:gd name="connsiteY2" fmla="*/ 146050 h 381000"/>
            <a:gd name="connsiteX3" fmla="*/ 1295400 w 2317750"/>
            <a:gd name="connsiteY3" fmla="*/ 381000 h 381000"/>
            <a:gd name="connsiteX4" fmla="*/ 2317750 w 2317750"/>
            <a:gd name="connsiteY4" fmla="*/ 381000 h 381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2317750" h="381000">
              <a:moveTo>
                <a:pt x="0" y="0"/>
              </a:moveTo>
              <a:lnTo>
                <a:pt x="914400" y="0"/>
              </a:lnTo>
              <a:lnTo>
                <a:pt x="1060450" y="146050"/>
              </a:lnTo>
              <a:lnTo>
                <a:pt x="1295400" y="381000"/>
              </a:lnTo>
              <a:lnTo>
                <a:pt x="2317750" y="381000"/>
              </a:lnTo>
            </a:path>
          </a:pathLst>
        </a:custGeom>
        <a:noFill/>
        <a:ln w="635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59</xdr:col>
      <xdr:colOff>85436</xdr:colOff>
      <xdr:row>19</xdr:row>
      <xdr:rowOff>116031</xdr:rowOff>
    </xdr:from>
    <xdr:to>
      <xdr:col>66</xdr:col>
      <xdr:colOff>85436</xdr:colOff>
      <xdr:row>21</xdr:row>
      <xdr:rowOff>47912</xdr:rowOff>
    </xdr:to>
    <xdr:sp macro="" textlink="Pivots!D71">
      <xdr:nvSpPr>
        <xdr:cNvPr id="116" name="Retângulo 115">
          <a:extLst>
            <a:ext uri="{FF2B5EF4-FFF2-40B4-BE49-F238E27FC236}">
              <a16:creationId xmlns:a16="http://schemas.microsoft.com/office/drawing/2014/main" id="{3FCEA1EC-3AC7-4C9F-98F7-3C020871735D}"/>
            </a:ext>
          </a:extLst>
        </xdr:cNvPr>
        <xdr:cNvSpPr/>
      </xdr:nvSpPr>
      <xdr:spPr>
        <a:xfrm>
          <a:off x="6829136" y="2468706"/>
          <a:ext cx="800100" cy="17953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fld id="{24BC382F-A072-45E0-A147-4F51A32C6A25}" type="TxLink">
            <a:rPr lang="en-US" sz="900" b="0" i="0" u="none" strike="noStrike">
              <a:solidFill>
                <a:schemeClr val="bg1">
                  <a:lumMod val="50000"/>
                </a:schemeClr>
              </a:solidFill>
              <a:latin typeface="Roboto"/>
            </a:rPr>
            <a:pPr algn="r"/>
            <a:t> 49 </a:t>
          </a:fld>
          <a:endParaRPr lang="pt-BR" sz="1800" b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>
    <xdr:from>
      <xdr:col>59</xdr:col>
      <xdr:colOff>85436</xdr:colOff>
      <xdr:row>18</xdr:row>
      <xdr:rowOff>50803</xdr:rowOff>
    </xdr:from>
    <xdr:to>
      <xdr:col>66</xdr:col>
      <xdr:colOff>85436</xdr:colOff>
      <xdr:row>19</xdr:row>
      <xdr:rowOff>118921</xdr:rowOff>
    </xdr:to>
    <xdr:sp macro="" textlink="Pivots!D85">
      <xdr:nvSpPr>
        <xdr:cNvPr id="117" name="Retângulo 116">
          <a:extLst>
            <a:ext uri="{FF2B5EF4-FFF2-40B4-BE49-F238E27FC236}">
              <a16:creationId xmlns:a16="http://schemas.microsoft.com/office/drawing/2014/main" id="{CE03BFC1-F1DE-4FD9-BC4B-FF24563F6149}"/>
            </a:ext>
          </a:extLst>
        </xdr:cNvPr>
        <xdr:cNvSpPr/>
      </xdr:nvSpPr>
      <xdr:spPr>
        <a:xfrm>
          <a:off x="6829136" y="2279653"/>
          <a:ext cx="800100" cy="19194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fld id="{9AD38D06-7B66-47A1-9C4C-0E2D7CFF5672}" type="TxLink">
            <a:rPr lang="en-US" sz="900" b="0" i="0" u="none" strike="noStrike">
              <a:solidFill>
                <a:schemeClr val="bg1">
                  <a:lumMod val="50000"/>
                </a:schemeClr>
              </a:solidFill>
              <a:latin typeface="Roboto"/>
            </a:rPr>
            <a:pPr algn="r"/>
            <a:t> 27 </a:t>
          </a:fld>
          <a:endParaRPr lang="pt-BR" sz="1600" b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>
    <xdr:from>
      <xdr:col>46</xdr:col>
      <xdr:colOff>99217</xdr:colOff>
      <xdr:row>18</xdr:row>
      <xdr:rowOff>53116</xdr:rowOff>
    </xdr:from>
    <xdr:to>
      <xdr:col>55</xdr:col>
      <xdr:colOff>64201</xdr:colOff>
      <xdr:row>18</xdr:row>
      <xdr:rowOff>53116</xdr:rowOff>
    </xdr:to>
    <xdr:cxnSp macro="">
      <xdr:nvCxnSpPr>
        <xdr:cNvPr id="121" name="Conector reto 120">
          <a:extLst>
            <a:ext uri="{FF2B5EF4-FFF2-40B4-BE49-F238E27FC236}">
              <a16:creationId xmlns:a16="http://schemas.microsoft.com/office/drawing/2014/main" id="{62DB85ED-6EBF-4D1F-9531-8A29CAD6C8DE}"/>
            </a:ext>
          </a:extLst>
        </xdr:cNvPr>
        <xdr:cNvCxnSpPr/>
      </xdr:nvCxnSpPr>
      <xdr:spPr>
        <a:xfrm flipH="1">
          <a:off x="5795167" y="2453416"/>
          <a:ext cx="1079409" cy="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76198</xdr:colOff>
      <xdr:row>21</xdr:row>
      <xdr:rowOff>47914</xdr:rowOff>
    </xdr:from>
    <xdr:to>
      <xdr:col>66</xdr:col>
      <xdr:colOff>76198</xdr:colOff>
      <xdr:row>24</xdr:row>
      <xdr:rowOff>47915</xdr:rowOff>
    </xdr:to>
    <xdr:sp macro="" textlink="Pivots!D95">
      <xdr:nvSpPr>
        <xdr:cNvPr id="1151" name="Retângulo 121">
          <a:extLst>
            <a:ext uri="{FF2B5EF4-FFF2-40B4-BE49-F238E27FC236}">
              <a16:creationId xmlns:a16="http://schemas.microsoft.com/office/drawing/2014/main" id="{2AB2145C-A5AE-4332-8AE6-8011E0ACA2B4}"/>
            </a:ext>
          </a:extLst>
        </xdr:cNvPr>
        <xdr:cNvSpPr/>
      </xdr:nvSpPr>
      <xdr:spPr>
        <a:xfrm>
          <a:off x="6670962" y="2811896"/>
          <a:ext cx="1177636" cy="39485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fld id="{AA03FF3C-54A3-4545-92F7-D479C473FEA6}" type="TxLink">
            <a:rPr lang="en-US" sz="2000" b="1" i="0" u="none" strike="noStrike">
              <a:solidFill>
                <a:srgbClr val="4B4F55"/>
              </a:solidFill>
              <a:latin typeface="Roboto"/>
              <a:ea typeface="Roboto"/>
              <a:cs typeface="Roboto"/>
            </a:rPr>
            <a:pPr algn="r"/>
            <a:t> 18 </a:t>
          </a:fld>
          <a:endParaRPr lang="pt-BR" sz="4800" b="1">
            <a:solidFill>
              <a:srgbClr val="4B4F55"/>
            </a:solidFill>
          </a:endParaRPr>
        </a:p>
      </xdr:txBody>
    </xdr:sp>
    <xdr:clientData/>
  </xdr:twoCellAnchor>
  <xdr:twoCellAnchor>
    <xdr:from>
      <xdr:col>53</xdr:col>
      <xdr:colOff>10968</xdr:colOff>
      <xdr:row>25</xdr:row>
      <xdr:rowOff>6354</xdr:rowOff>
    </xdr:from>
    <xdr:to>
      <xdr:col>66</xdr:col>
      <xdr:colOff>80818</xdr:colOff>
      <xdr:row>28</xdr:row>
      <xdr:rowOff>6355</xdr:rowOff>
    </xdr:to>
    <xdr:sp macro="" textlink="Pivots!D106">
      <xdr:nvSpPr>
        <xdr:cNvPr id="123" name="Retângulo 122">
          <a:extLst>
            <a:ext uri="{FF2B5EF4-FFF2-40B4-BE49-F238E27FC236}">
              <a16:creationId xmlns:a16="http://schemas.microsoft.com/office/drawing/2014/main" id="{A8F2C0BF-54C9-4FD6-8AF2-8BB4E60AE84C}"/>
            </a:ext>
          </a:extLst>
        </xdr:cNvPr>
        <xdr:cNvSpPr/>
      </xdr:nvSpPr>
      <xdr:spPr>
        <a:xfrm>
          <a:off x="5554144" y="3181354"/>
          <a:ext cx="1429498" cy="38100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r"/>
          <a:fld id="{B9F45331-A05F-4171-89F0-72418032D0D9}" type="TxLink">
            <a:rPr lang="en-US" sz="2000" b="1" i="0" u="none" strike="noStrike">
              <a:solidFill>
                <a:srgbClr val="4B4F55"/>
              </a:solidFill>
              <a:latin typeface="Roboto"/>
              <a:ea typeface="+mn-ea"/>
              <a:cs typeface="+mn-cs"/>
            </a:rPr>
            <a:pPr marL="0" indent="0" algn="r"/>
            <a:t> 46 </a:t>
          </a:fld>
          <a:endParaRPr lang="pt-BR" sz="2000" b="1" i="0" u="none" strike="noStrike">
            <a:solidFill>
              <a:srgbClr val="4B4F55"/>
            </a:solidFill>
            <a:latin typeface="Roboto"/>
            <a:ea typeface="+mn-ea"/>
            <a:cs typeface="+mn-cs"/>
          </a:endParaRPr>
        </a:p>
      </xdr:txBody>
    </xdr:sp>
    <xdr:clientData/>
  </xdr:twoCellAnchor>
  <xdr:twoCellAnchor>
    <xdr:from>
      <xdr:col>70</xdr:col>
      <xdr:colOff>31750</xdr:colOff>
      <xdr:row>14</xdr:row>
      <xdr:rowOff>21167</xdr:rowOff>
    </xdr:from>
    <xdr:to>
      <xdr:col>93</xdr:col>
      <xdr:colOff>31750</xdr:colOff>
      <xdr:row>29</xdr:row>
      <xdr:rowOff>21167</xdr:rowOff>
    </xdr:to>
    <xdr:sp macro="" textlink="">
      <xdr:nvSpPr>
        <xdr:cNvPr id="131" name="Retângulo: Cantos Arredondados 130">
          <a:extLst>
            <a:ext uri="{FF2B5EF4-FFF2-40B4-BE49-F238E27FC236}">
              <a16:creationId xmlns:a16="http://schemas.microsoft.com/office/drawing/2014/main" id="{D2E0EC3A-BC46-401B-A70A-602B019BD23A}"/>
            </a:ext>
          </a:extLst>
        </xdr:cNvPr>
        <xdr:cNvSpPr/>
      </xdr:nvSpPr>
      <xdr:spPr>
        <a:xfrm>
          <a:off x="7440083" y="1799167"/>
          <a:ext cx="2434167" cy="1905000"/>
        </a:xfrm>
        <a:prstGeom prst="roundRect">
          <a:avLst>
            <a:gd name="adj" fmla="val 8432"/>
          </a:avLst>
        </a:prstGeom>
        <a:solidFill>
          <a:srgbClr val="D9D9D9">
            <a:alpha val="50196"/>
          </a:srgbClr>
        </a:solidFill>
        <a:ln w="381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69</xdr:col>
      <xdr:colOff>0</xdr:colOff>
      <xdr:row>11</xdr:row>
      <xdr:rowOff>0</xdr:rowOff>
    </xdr:from>
    <xdr:to>
      <xdr:col>81</xdr:col>
      <xdr:colOff>0</xdr:colOff>
      <xdr:row>21</xdr:row>
      <xdr:rowOff>0</xdr:rowOff>
    </xdr:to>
    <xdr:sp macro="" textlink="">
      <xdr:nvSpPr>
        <xdr:cNvPr id="128" name="Retângulo: Único Canto Arredondado 127">
          <a:extLst>
            <a:ext uri="{FF2B5EF4-FFF2-40B4-BE49-F238E27FC236}">
              <a16:creationId xmlns:a16="http://schemas.microsoft.com/office/drawing/2014/main" id="{145D48F2-C46D-42E0-8C3A-013A1CB0B033}"/>
            </a:ext>
          </a:extLst>
        </xdr:cNvPr>
        <xdr:cNvSpPr/>
      </xdr:nvSpPr>
      <xdr:spPr>
        <a:xfrm rot="16200000">
          <a:off x="8075543" y="1292087"/>
          <a:ext cx="1242392" cy="1391478"/>
        </a:xfrm>
        <a:prstGeom prst="round1Rect">
          <a:avLst>
            <a:gd name="adj" fmla="val 19445"/>
          </a:avLst>
        </a:prstGeom>
        <a:solidFill>
          <a:schemeClr val="bg1"/>
        </a:solidFill>
        <a:ln>
          <a:solidFill>
            <a:schemeClr val="bg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82</xdr:col>
      <xdr:colOff>0</xdr:colOff>
      <xdr:row>11</xdr:row>
      <xdr:rowOff>0</xdr:rowOff>
    </xdr:from>
    <xdr:to>
      <xdr:col>94</xdr:col>
      <xdr:colOff>0</xdr:colOff>
      <xdr:row>21</xdr:row>
      <xdr:rowOff>0</xdr:rowOff>
    </xdr:to>
    <xdr:sp macro="" textlink="">
      <xdr:nvSpPr>
        <xdr:cNvPr id="130" name="Retângulo: Único Canto Arredondado 129">
          <a:extLst>
            <a:ext uri="{FF2B5EF4-FFF2-40B4-BE49-F238E27FC236}">
              <a16:creationId xmlns:a16="http://schemas.microsoft.com/office/drawing/2014/main" id="{A992F40E-C988-4B02-A2A4-FA3BE49AB697}"/>
            </a:ext>
          </a:extLst>
        </xdr:cNvPr>
        <xdr:cNvSpPr/>
      </xdr:nvSpPr>
      <xdr:spPr>
        <a:xfrm rot="5400000" flipH="1">
          <a:off x="8678333" y="1397000"/>
          <a:ext cx="1270000" cy="1270000"/>
        </a:xfrm>
        <a:prstGeom prst="round1Rect">
          <a:avLst>
            <a:gd name="adj" fmla="val 19445"/>
          </a:avLst>
        </a:prstGeom>
        <a:solidFill>
          <a:schemeClr val="bg1"/>
        </a:solidFill>
        <a:ln>
          <a:solidFill>
            <a:schemeClr val="bg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69</xdr:col>
      <xdr:colOff>0</xdr:colOff>
      <xdr:row>11</xdr:row>
      <xdr:rowOff>63500</xdr:rowOff>
    </xdr:from>
    <xdr:to>
      <xdr:col>79</xdr:col>
      <xdr:colOff>0</xdr:colOff>
      <xdr:row>13</xdr:row>
      <xdr:rowOff>101600</xdr:rowOff>
    </xdr:to>
    <xdr:sp macro="" textlink="">
      <xdr:nvSpPr>
        <xdr:cNvPr id="132" name="Retângulo: Cantos Diagonais Arredondados 131">
          <a:extLst>
            <a:ext uri="{FF2B5EF4-FFF2-40B4-BE49-F238E27FC236}">
              <a16:creationId xmlns:a16="http://schemas.microsoft.com/office/drawing/2014/main" id="{8DD7D7E4-FE56-4155-9510-AE534A50668C}"/>
            </a:ext>
          </a:extLst>
        </xdr:cNvPr>
        <xdr:cNvSpPr/>
      </xdr:nvSpPr>
      <xdr:spPr>
        <a:xfrm>
          <a:off x="8001000" y="1430130"/>
          <a:ext cx="1159565" cy="286579"/>
        </a:xfrm>
        <a:prstGeom prst="round2DiagRect">
          <a:avLst>
            <a:gd name="adj1" fmla="val 38596"/>
            <a:gd name="adj2" fmla="val 0"/>
          </a:avLst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rgbClr val="4B4F55"/>
              </a:solidFill>
              <a:latin typeface="Roboto" panose="02000000000000000000"/>
            </a:rPr>
            <a:t>ATR</a:t>
          </a:r>
        </a:p>
      </xdr:txBody>
    </xdr:sp>
    <xdr:clientData/>
  </xdr:twoCellAnchor>
  <xdr:twoCellAnchor>
    <xdr:from>
      <xdr:col>84</xdr:col>
      <xdr:colOff>0</xdr:colOff>
      <xdr:row>11</xdr:row>
      <xdr:rowOff>63500</xdr:rowOff>
    </xdr:from>
    <xdr:to>
      <xdr:col>94</xdr:col>
      <xdr:colOff>0</xdr:colOff>
      <xdr:row>13</xdr:row>
      <xdr:rowOff>101600</xdr:rowOff>
    </xdr:to>
    <xdr:sp macro="" textlink="">
      <xdr:nvSpPr>
        <xdr:cNvPr id="133" name="Retângulo: Cantos Diagonais Arredondados 132">
          <a:extLst>
            <a:ext uri="{FF2B5EF4-FFF2-40B4-BE49-F238E27FC236}">
              <a16:creationId xmlns:a16="http://schemas.microsoft.com/office/drawing/2014/main" id="{CC8A5653-91F2-475D-8C38-AEAEB1D46C3A}"/>
            </a:ext>
          </a:extLst>
        </xdr:cNvPr>
        <xdr:cNvSpPr/>
      </xdr:nvSpPr>
      <xdr:spPr>
        <a:xfrm flipH="1">
          <a:off x="9740348" y="1430130"/>
          <a:ext cx="1159565" cy="286579"/>
        </a:xfrm>
        <a:prstGeom prst="round2DiagRect">
          <a:avLst>
            <a:gd name="adj1" fmla="val 38596"/>
            <a:gd name="adj2" fmla="val 0"/>
          </a:avLst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pt-BR" sz="1100" b="1">
              <a:solidFill>
                <a:srgbClr val="4B4F55"/>
              </a:solidFill>
              <a:latin typeface="Roboto" panose="02000000000000000000"/>
            </a:rPr>
            <a:t>TCH</a:t>
          </a:r>
        </a:p>
      </xdr:txBody>
    </xdr:sp>
    <xdr:clientData/>
  </xdr:twoCellAnchor>
  <xdr:twoCellAnchor>
    <xdr:from>
      <xdr:col>69</xdr:col>
      <xdr:colOff>0</xdr:colOff>
      <xdr:row>12</xdr:row>
      <xdr:rowOff>82551</xdr:rowOff>
    </xdr:from>
    <xdr:to>
      <xdr:col>78</xdr:col>
      <xdr:colOff>84667</xdr:colOff>
      <xdr:row>16</xdr:row>
      <xdr:rowOff>1</xdr:rowOff>
    </xdr:to>
    <xdr:sp macro="" textlink="">
      <xdr:nvSpPr>
        <xdr:cNvPr id="137" name="Retângulo 136">
          <a:extLst>
            <a:ext uri="{FF2B5EF4-FFF2-40B4-BE49-F238E27FC236}">
              <a16:creationId xmlns:a16="http://schemas.microsoft.com/office/drawing/2014/main" id="{1B55E4A0-A00D-4F8B-80A8-2934D5DE9FEA}"/>
            </a:ext>
          </a:extLst>
        </xdr:cNvPr>
        <xdr:cNvSpPr/>
      </xdr:nvSpPr>
      <xdr:spPr>
        <a:xfrm>
          <a:off x="7302500" y="1606551"/>
          <a:ext cx="1037167" cy="425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000" b="0" i="0" u="none" strike="noStrike">
              <a:solidFill>
                <a:schemeClr val="bg1">
                  <a:lumMod val="50000"/>
                </a:schemeClr>
              </a:solidFill>
              <a:latin typeface="Roboto"/>
            </a:rPr>
            <a:t>(kg / tons</a:t>
          </a:r>
          <a:r>
            <a:rPr lang="en-US" sz="1000" b="0" i="0" u="none" strike="noStrike" baseline="0">
              <a:solidFill>
                <a:schemeClr val="bg1">
                  <a:lumMod val="50000"/>
                </a:schemeClr>
              </a:solidFill>
              <a:latin typeface="Roboto"/>
            </a:rPr>
            <a:t> de cana</a:t>
          </a:r>
          <a:r>
            <a:rPr lang="en-US" sz="1000" b="0" i="0" u="none" strike="noStrike">
              <a:solidFill>
                <a:schemeClr val="bg1">
                  <a:lumMod val="50000"/>
                </a:schemeClr>
              </a:solidFill>
              <a:latin typeface="Roboto"/>
            </a:rPr>
            <a:t>)</a:t>
          </a:r>
        </a:p>
      </xdr:txBody>
    </xdr:sp>
    <xdr:clientData/>
  </xdr:twoCellAnchor>
  <xdr:twoCellAnchor>
    <xdr:from>
      <xdr:col>83</xdr:col>
      <xdr:colOff>76200</xdr:colOff>
      <xdr:row>12</xdr:row>
      <xdr:rowOff>82550</xdr:rowOff>
    </xdr:from>
    <xdr:to>
      <xdr:col>94</xdr:col>
      <xdr:colOff>3735</xdr:colOff>
      <xdr:row>15</xdr:row>
      <xdr:rowOff>120650</xdr:rowOff>
    </xdr:to>
    <xdr:sp macro="" textlink="">
      <xdr:nvSpPr>
        <xdr:cNvPr id="140" name="Retângulo 139">
          <a:extLst>
            <a:ext uri="{FF2B5EF4-FFF2-40B4-BE49-F238E27FC236}">
              <a16:creationId xmlns:a16="http://schemas.microsoft.com/office/drawing/2014/main" id="{2050D329-D591-44ED-9768-A4CADD34968D}"/>
            </a:ext>
          </a:extLst>
        </xdr:cNvPr>
        <xdr:cNvSpPr/>
      </xdr:nvSpPr>
      <xdr:spPr>
        <a:xfrm>
          <a:off x="9563100" y="1568450"/>
          <a:ext cx="1184835" cy="4095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en-US" sz="1000" b="0" i="0" u="none" strike="noStrike">
              <a:solidFill>
                <a:schemeClr val="bg1">
                  <a:lumMod val="50000"/>
                </a:schemeClr>
              </a:solidFill>
              <a:latin typeface="Roboto"/>
            </a:rPr>
            <a:t>(tons de cana / ha)</a:t>
          </a:r>
        </a:p>
      </xdr:txBody>
    </xdr:sp>
    <xdr:clientData/>
  </xdr:twoCellAnchor>
  <xdr:twoCellAnchor>
    <xdr:from>
      <xdr:col>69</xdr:col>
      <xdr:colOff>19050</xdr:colOff>
      <xdr:row>16</xdr:row>
      <xdr:rowOff>103868</xdr:rowOff>
    </xdr:from>
    <xdr:to>
      <xdr:col>81</xdr:col>
      <xdr:colOff>22224</xdr:colOff>
      <xdr:row>19</xdr:row>
      <xdr:rowOff>21318</xdr:rowOff>
    </xdr:to>
    <xdr:sp macro="" textlink="Pivots!E150">
      <xdr:nvSpPr>
        <xdr:cNvPr id="141" name="Retângulo 140">
          <a:extLst>
            <a:ext uri="{FF2B5EF4-FFF2-40B4-BE49-F238E27FC236}">
              <a16:creationId xmlns:a16="http://schemas.microsoft.com/office/drawing/2014/main" id="{1EC54F6E-56BD-4E51-97F5-EE5070286BFE}"/>
            </a:ext>
          </a:extLst>
        </xdr:cNvPr>
        <xdr:cNvSpPr/>
      </xdr:nvSpPr>
      <xdr:spPr>
        <a:xfrm>
          <a:off x="8020050" y="2091694"/>
          <a:ext cx="1394652" cy="29016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63DDA053-5127-4122-A0EF-F4E5374034CA}" type="TxLink">
            <a:rPr lang="en-US" sz="2000" b="1" i="0" u="none" strike="noStrike">
              <a:solidFill>
                <a:srgbClr val="4B4F55"/>
              </a:solidFill>
              <a:latin typeface="Roboto" panose="02000000000000000000"/>
              <a:cs typeface="Calibri"/>
            </a:rPr>
            <a:pPr algn="ctr"/>
            <a:t> 10,3 </a:t>
          </a:fld>
          <a:endParaRPr lang="pt-BR" sz="2000" b="1">
            <a:solidFill>
              <a:srgbClr val="4B4F55"/>
            </a:solidFill>
            <a:latin typeface="Roboto" panose="02000000000000000000"/>
          </a:endParaRPr>
        </a:p>
      </xdr:txBody>
    </xdr:sp>
    <xdr:clientData/>
  </xdr:twoCellAnchor>
  <xdr:twoCellAnchor>
    <xdr:from>
      <xdr:col>82</xdr:col>
      <xdr:colOff>38100</xdr:colOff>
      <xdr:row>16</xdr:row>
      <xdr:rowOff>107950</xdr:rowOff>
    </xdr:from>
    <xdr:to>
      <xdr:col>94</xdr:col>
      <xdr:colOff>33654</xdr:colOff>
      <xdr:row>19</xdr:row>
      <xdr:rowOff>25400</xdr:rowOff>
    </xdr:to>
    <xdr:sp macro="" textlink="Pivots!E148">
      <xdr:nvSpPr>
        <xdr:cNvPr id="142" name="Retângulo 141">
          <a:extLst>
            <a:ext uri="{FF2B5EF4-FFF2-40B4-BE49-F238E27FC236}">
              <a16:creationId xmlns:a16="http://schemas.microsoft.com/office/drawing/2014/main" id="{45D4CE42-14C9-47B7-932A-0C53CBF41826}"/>
            </a:ext>
          </a:extLst>
        </xdr:cNvPr>
        <xdr:cNvSpPr/>
      </xdr:nvSpPr>
      <xdr:spPr>
        <a:xfrm>
          <a:off x="8716433" y="2139950"/>
          <a:ext cx="1265554" cy="298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F599E098-F152-49E3-8854-DECB7DC03211}" type="TxLink">
            <a:rPr lang="en-US" sz="2000" b="1" i="0" u="none" strike="noStrike">
              <a:solidFill>
                <a:srgbClr val="4B4F55"/>
              </a:solidFill>
              <a:latin typeface="Roboto" panose="02000000000000000000"/>
              <a:cs typeface="Calibri"/>
            </a:rPr>
            <a:pPr algn="ctr"/>
            <a:t> 91,6 </a:t>
          </a:fld>
          <a:endParaRPr lang="pt-BR" sz="2000" b="1">
            <a:solidFill>
              <a:srgbClr val="4B4F55"/>
            </a:solidFill>
            <a:latin typeface="Roboto" panose="02000000000000000000"/>
          </a:endParaRPr>
        </a:p>
      </xdr:txBody>
    </xdr:sp>
    <xdr:clientData/>
  </xdr:twoCellAnchor>
  <xdr:twoCellAnchor>
    <xdr:from>
      <xdr:col>72</xdr:col>
      <xdr:colOff>61686</xdr:colOff>
      <xdr:row>14</xdr:row>
      <xdr:rowOff>123372</xdr:rowOff>
    </xdr:from>
    <xdr:to>
      <xdr:col>78</xdr:col>
      <xdr:colOff>101600</xdr:colOff>
      <xdr:row>20</xdr:row>
      <xdr:rowOff>90715</xdr:rowOff>
    </xdr:to>
    <xdr:sp macro="" textlink="">
      <xdr:nvSpPr>
        <xdr:cNvPr id="150" name="Igual a 149">
          <a:extLst>
            <a:ext uri="{FF2B5EF4-FFF2-40B4-BE49-F238E27FC236}">
              <a16:creationId xmlns:a16="http://schemas.microsoft.com/office/drawing/2014/main" id="{A5FDAF86-259C-4EE1-942B-E27DB8E5B771}"/>
            </a:ext>
          </a:extLst>
        </xdr:cNvPr>
        <xdr:cNvSpPr/>
      </xdr:nvSpPr>
      <xdr:spPr>
        <a:xfrm>
          <a:off x="9205686" y="1901372"/>
          <a:ext cx="801914" cy="729343"/>
        </a:xfrm>
        <a:prstGeom prst="mathEqual">
          <a:avLst>
            <a:gd name="adj1" fmla="val 0"/>
            <a:gd name="adj2" fmla="val 42087"/>
          </a:avLst>
        </a:prstGeom>
        <a:solidFill>
          <a:srgbClr val="007960"/>
        </a:solidFill>
        <a:ln w="9525"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  <xdr:twoCellAnchor>
    <xdr:from>
      <xdr:col>85</xdr:col>
      <xdr:colOff>115661</xdr:colOff>
      <xdr:row>15</xdr:row>
      <xdr:rowOff>15875</xdr:rowOff>
    </xdr:from>
    <xdr:to>
      <xdr:col>91</xdr:col>
      <xdr:colOff>47625</xdr:colOff>
      <xdr:row>20</xdr:row>
      <xdr:rowOff>116568</xdr:rowOff>
    </xdr:to>
    <xdr:sp macro="" textlink="">
      <xdr:nvSpPr>
        <xdr:cNvPr id="151" name="Igual a 150">
          <a:extLst>
            <a:ext uri="{FF2B5EF4-FFF2-40B4-BE49-F238E27FC236}">
              <a16:creationId xmlns:a16="http://schemas.microsoft.com/office/drawing/2014/main" id="{5A8FDACA-CE8D-45F4-9B01-21DDB37A1026}"/>
            </a:ext>
          </a:extLst>
        </xdr:cNvPr>
        <xdr:cNvSpPr/>
      </xdr:nvSpPr>
      <xdr:spPr>
        <a:xfrm>
          <a:off x="10640786" y="2016125"/>
          <a:ext cx="674914" cy="767443"/>
        </a:xfrm>
        <a:prstGeom prst="mathEqual">
          <a:avLst>
            <a:gd name="adj1" fmla="val 0"/>
            <a:gd name="adj2" fmla="val 42087"/>
          </a:avLst>
        </a:prstGeom>
        <a:solidFill>
          <a:srgbClr val="007960"/>
        </a:solidFill>
        <a:ln w="9525"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  <xdr:twoCellAnchor>
    <xdr:from>
      <xdr:col>12</xdr:col>
      <xdr:colOff>89496</xdr:colOff>
      <xdr:row>34</xdr:row>
      <xdr:rowOff>47825</xdr:rowOff>
    </xdr:from>
    <xdr:to>
      <xdr:col>28</xdr:col>
      <xdr:colOff>59746</xdr:colOff>
      <xdr:row>36</xdr:row>
      <xdr:rowOff>12266</xdr:rowOff>
    </xdr:to>
    <xdr:sp macro="" textlink="">
      <xdr:nvSpPr>
        <xdr:cNvPr id="276" name="Retângulo: Cantos Diagonais Arredondados 155">
          <a:extLst>
            <a:ext uri="{FF2B5EF4-FFF2-40B4-BE49-F238E27FC236}">
              <a16:creationId xmlns:a16="http://schemas.microsoft.com/office/drawing/2014/main" id="{A3E25F36-ECD5-4F88-8FD2-9CEE0F3FDEEF}"/>
            </a:ext>
          </a:extLst>
        </xdr:cNvPr>
        <xdr:cNvSpPr/>
      </xdr:nvSpPr>
      <xdr:spPr>
        <a:xfrm>
          <a:off x="1359496" y="4365825"/>
          <a:ext cx="1663583" cy="218441"/>
        </a:xfrm>
        <a:prstGeom prst="round2DiagRect">
          <a:avLst>
            <a:gd name="adj1" fmla="val 0"/>
            <a:gd name="adj2" fmla="val 27500"/>
          </a:avLst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800" b="1" i="1">
              <a:solidFill>
                <a:srgbClr val="4B4F55"/>
              </a:solidFill>
              <a:latin typeface="Roboto" panose="02000000000000000000"/>
            </a:rPr>
            <a:t>Breakdown</a:t>
          </a:r>
          <a:r>
            <a:rPr lang="pt-BR" sz="800" b="1" i="1" baseline="0">
              <a:solidFill>
                <a:srgbClr val="4B4F55"/>
              </a:solidFill>
              <a:latin typeface="Roboto" panose="02000000000000000000"/>
            </a:rPr>
            <a:t> </a:t>
          </a:r>
          <a:r>
            <a:rPr lang="pt-BR" sz="800" b="1" baseline="0">
              <a:solidFill>
                <a:srgbClr val="4B4F55"/>
              </a:solidFill>
              <a:latin typeface="Roboto" panose="02000000000000000000"/>
            </a:rPr>
            <a:t>por produto</a:t>
          </a:r>
          <a:endParaRPr lang="pt-BR" sz="800" b="1">
            <a:solidFill>
              <a:srgbClr val="4B4F55"/>
            </a:solidFill>
            <a:latin typeface="Roboto" panose="02000000000000000000"/>
          </a:endParaRPr>
        </a:p>
      </xdr:txBody>
    </xdr:sp>
    <xdr:clientData/>
  </xdr:twoCellAnchor>
  <xdr:twoCellAnchor>
    <xdr:from>
      <xdr:col>23</xdr:col>
      <xdr:colOff>44070</xdr:colOff>
      <xdr:row>34</xdr:row>
      <xdr:rowOff>55124</xdr:rowOff>
    </xdr:from>
    <xdr:to>
      <xdr:col>28</xdr:col>
      <xdr:colOff>98529</xdr:colOff>
      <xdr:row>36</xdr:row>
      <xdr:rowOff>28095</xdr:rowOff>
    </xdr:to>
    <xdr:sp macro="" textlink="">
      <xdr:nvSpPr>
        <xdr:cNvPr id="292" name="Retângulo 154">
          <a:extLst>
            <a:ext uri="{FF2B5EF4-FFF2-40B4-BE49-F238E27FC236}">
              <a16:creationId xmlns:a16="http://schemas.microsoft.com/office/drawing/2014/main" id="{6A1ABFE0-A6E1-4902-BDB2-04A566AC4C81}"/>
            </a:ext>
          </a:extLst>
        </xdr:cNvPr>
        <xdr:cNvSpPr/>
      </xdr:nvSpPr>
      <xdr:spPr>
        <a:xfrm>
          <a:off x="2478237" y="4373124"/>
          <a:ext cx="583625" cy="22697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600" b="0" i="0" u="none" strike="noStrike">
              <a:solidFill>
                <a:schemeClr val="bg1">
                  <a:lumMod val="50000"/>
                </a:schemeClr>
              </a:solidFill>
              <a:latin typeface="Roboto"/>
            </a:rPr>
            <a:t>(R$ mm)</a:t>
          </a:r>
        </a:p>
      </xdr:txBody>
    </xdr:sp>
    <xdr:clientData/>
  </xdr:twoCellAnchor>
  <xdr:twoCellAnchor>
    <xdr:from>
      <xdr:col>1</xdr:col>
      <xdr:colOff>13080</xdr:colOff>
      <xdr:row>34</xdr:row>
      <xdr:rowOff>40185</xdr:rowOff>
    </xdr:from>
    <xdr:to>
      <xdr:col>12</xdr:col>
      <xdr:colOff>63496</xdr:colOff>
      <xdr:row>36</xdr:row>
      <xdr:rowOff>35276</xdr:rowOff>
    </xdr:to>
    <xdr:sp macro="" textlink="">
      <xdr:nvSpPr>
        <xdr:cNvPr id="257" name="Retângulo 156">
          <a:extLst>
            <a:ext uri="{FF2B5EF4-FFF2-40B4-BE49-F238E27FC236}">
              <a16:creationId xmlns:a16="http://schemas.microsoft.com/office/drawing/2014/main" id="{D6F252DF-08D5-45D6-8A5D-BF424DE9144F}"/>
            </a:ext>
          </a:extLst>
        </xdr:cNvPr>
        <xdr:cNvSpPr/>
      </xdr:nvSpPr>
      <xdr:spPr>
        <a:xfrm>
          <a:off x="118913" y="4358185"/>
          <a:ext cx="1214583" cy="249091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rgbClr val="F58220"/>
              </a:solidFill>
              <a:latin typeface="Roboto" panose="02000000000000000000"/>
            </a:rPr>
            <a:t>Receita Líquida</a:t>
          </a:r>
        </a:p>
      </xdr:txBody>
    </xdr:sp>
    <xdr:clientData/>
  </xdr:twoCellAnchor>
  <xdr:twoCellAnchor editAs="oneCell">
    <xdr:from>
      <xdr:col>9</xdr:col>
      <xdr:colOff>2313</xdr:colOff>
      <xdr:row>36</xdr:row>
      <xdr:rowOff>72274</xdr:rowOff>
    </xdr:from>
    <xdr:to>
      <xdr:col>10</xdr:col>
      <xdr:colOff>89440</xdr:colOff>
      <xdr:row>38</xdr:row>
      <xdr:rowOff>44321</xdr:rowOff>
    </xdr:to>
    <xdr:pic>
      <xdr:nvPicPr>
        <xdr:cNvPr id="460" name="Gráfico 161" descr="Dinheiro com preenchimento sólido">
          <a:extLst>
            <a:ext uri="{FF2B5EF4-FFF2-40B4-BE49-F238E27FC236}">
              <a16:creationId xmlns:a16="http://schemas.microsoft.com/office/drawing/2014/main" id="{041C123B-38CB-4757-89CE-21C9731CE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1062186" y="4810529"/>
          <a:ext cx="201427" cy="226047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38</xdr:row>
      <xdr:rowOff>121228</xdr:rowOff>
    </xdr:from>
    <xdr:to>
      <xdr:col>10</xdr:col>
      <xdr:colOff>103909</xdr:colOff>
      <xdr:row>42</xdr:row>
      <xdr:rowOff>68696</xdr:rowOff>
    </xdr:to>
    <xdr:sp macro="" textlink="">
      <xdr:nvSpPr>
        <xdr:cNvPr id="372" name="Retângulo: Cantos Diagonais Arredondados 169">
          <a:extLst>
            <a:ext uri="{FF2B5EF4-FFF2-40B4-BE49-F238E27FC236}">
              <a16:creationId xmlns:a16="http://schemas.microsoft.com/office/drawing/2014/main" id="{2A198611-D28D-4969-9134-83616FF934B4}"/>
            </a:ext>
          </a:extLst>
        </xdr:cNvPr>
        <xdr:cNvSpPr/>
      </xdr:nvSpPr>
      <xdr:spPr>
        <a:xfrm>
          <a:off x="76200" y="5122719"/>
          <a:ext cx="1205345" cy="473941"/>
        </a:xfrm>
        <a:prstGeom prst="round2DiagRect">
          <a:avLst>
            <a:gd name="adj1" fmla="val 0"/>
            <a:gd name="adj2" fmla="val 0"/>
          </a:avLst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900" b="0" i="0">
              <a:solidFill>
                <a:srgbClr val="4B4F55"/>
              </a:solidFill>
              <a:latin typeface="Roboto" panose="02000000000000000000"/>
            </a:rPr>
            <a:t>Receita líquida / moagem</a:t>
          </a:r>
        </a:p>
      </xdr:txBody>
    </xdr:sp>
    <xdr:clientData/>
  </xdr:twoCellAnchor>
  <xdr:twoCellAnchor>
    <xdr:from>
      <xdr:col>5</xdr:col>
      <xdr:colOff>30144</xdr:colOff>
      <xdr:row>41</xdr:row>
      <xdr:rowOff>89264</xdr:rowOff>
    </xdr:from>
    <xdr:to>
      <xdr:col>11</xdr:col>
      <xdr:colOff>21166</xdr:colOff>
      <xdr:row>43</xdr:row>
      <xdr:rowOff>77612</xdr:rowOff>
    </xdr:to>
    <xdr:sp macro="" textlink="Pivots!E174">
      <xdr:nvSpPr>
        <xdr:cNvPr id="417" name="Retângulo 170">
          <a:extLst>
            <a:ext uri="{FF2B5EF4-FFF2-40B4-BE49-F238E27FC236}">
              <a16:creationId xmlns:a16="http://schemas.microsoft.com/office/drawing/2014/main" id="{9C0FDC09-FD1C-4346-A27F-B70356593EBF}"/>
            </a:ext>
          </a:extLst>
        </xdr:cNvPr>
        <xdr:cNvSpPr/>
      </xdr:nvSpPr>
      <xdr:spPr>
        <a:xfrm>
          <a:off x="559311" y="5296264"/>
          <a:ext cx="626022" cy="24234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D55D2459-29AD-4ABB-B30A-A8E50E190BF6}" type="TxLink">
            <a:rPr lang="en-US" sz="1200" b="1" i="0" u="none" strike="noStrike">
              <a:solidFill>
                <a:srgbClr val="007960"/>
              </a:solidFill>
              <a:latin typeface="Roboto"/>
              <a:ea typeface="Roboto"/>
              <a:cs typeface="Roboto"/>
            </a:rPr>
            <a:pPr algn="ctr"/>
            <a:t> 196,7 </a:t>
          </a:fld>
          <a:endParaRPr lang="pt-BR" sz="8800" b="1">
            <a:solidFill>
              <a:srgbClr val="007960"/>
            </a:solidFill>
          </a:endParaRPr>
        </a:p>
      </xdr:txBody>
    </xdr:sp>
    <xdr:clientData/>
  </xdr:twoCellAnchor>
  <xdr:twoCellAnchor editAs="oneCell">
    <xdr:from>
      <xdr:col>3</xdr:col>
      <xdr:colOff>26554</xdr:colOff>
      <xdr:row>41</xdr:row>
      <xdr:rowOff>37810</xdr:rowOff>
    </xdr:from>
    <xdr:to>
      <xdr:col>6</xdr:col>
      <xdr:colOff>5195</xdr:colOff>
      <xdr:row>44</xdr:row>
      <xdr:rowOff>19914</xdr:rowOff>
    </xdr:to>
    <xdr:pic>
      <xdr:nvPicPr>
        <xdr:cNvPr id="418" name="Gráfico 172" descr="Seta: curva ligeira com preenchimento sólido">
          <a:extLst>
            <a:ext uri="{FF2B5EF4-FFF2-40B4-BE49-F238E27FC236}">
              <a16:creationId xmlns:a16="http://schemas.microsoft.com/office/drawing/2014/main" id="{7BC444FC-34F7-4FDF-B40D-499C48AB7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379845" y="5434155"/>
          <a:ext cx="321541" cy="363104"/>
        </a:xfrm>
        <a:prstGeom prst="rect">
          <a:avLst/>
        </a:prstGeom>
      </xdr:spPr>
    </xdr:pic>
    <xdr:clientData/>
  </xdr:twoCellAnchor>
  <xdr:twoCellAnchor>
    <xdr:from>
      <xdr:col>31</xdr:col>
      <xdr:colOff>32340</xdr:colOff>
      <xdr:row>33</xdr:row>
      <xdr:rowOff>117362</xdr:rowOff>
    </xdr:from>
    <xdr:to>
      <xdr:col>40</xdr:col>
      <xdr:colOff>79011</xdr:colOff>
      <xdr:row>46</xdr:row>
      <xdr:rowOff>3050</xdr:rowOff>
    </xdr:to>
    <xdr:sp macro="" textlink="">
      <xdr:nvSpPr>
        <xdr:cNvPr id="992" name="Forma Livre: Forma 177">
          <a:extLst>
            <a:ext uri="{FF2B5EF4-FFF2-40B4-BE49-F238E27FC236}">
              <a16:creationId xmlns:a16="http://schemas.microsoft.com/office/drawing/2014/main" id="{5F9C4C12-0261-422A-AB3E-78CDDF3637A2}"/>
            </a:ext>
          </a:extLst>
        </xdr:cNvPr>
        <xdr:cNvSpPr/>
      </xdr:nvSpPr>
      <xdr:spPr>
        <a:xfrm>
          <a:off x="3455818" y="4308362"/>
          <a:ext cx="1040584" cy="1536688"/>
        </a:xfrm>
        <a:custGeom>
          <a:avLst/>
          <a:gdLst>
            <a:gd name="connsiteX0" fmla="*/ 273539 w 1006231"/>
            <a:gd name="connsiteY0" fmla="*/ 1025770 h 1035539"/>
            <a:gd name="connsiteX1" fmla="*/ 0 w 1006231"/>
            <a:gd name="connsiteY1" fmla="*/ 0 h 1035539"/>
            <a:gd name="connsiteX2" fmla="*/ 1006231 w 1006231"/>
            <a:gd name="connsiteY2" fmla="*/ 0 h 1035539"/>
            <a:gd name="connsiteX3" fmla="*/ 1006231 w 1006231"/>
            <a:gd name="connsiteY3" fmla="*/ 1035539 h 1035539"/>
            <a:gd name="connsiteX4" fmla="*/ 273539 w 1006231"/>
            <a:gd name="connsiteY4" fmla="*/ 1025770 h 103553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006231" h="1035539">
              <a:moveTo>
                <a:pt x="273539" y="1025770"/>
              </a:moveTo>
              <a:lnTo>
                <a:pt x="0" y="0"/>
              </a:lnTo>
              <a:lnTo>
                <a:pt x="1006231" y="0"/>
              </a:lnTo>
              <a:lnTo>
                <a:pt x="1006231" y="1035539"/>
              </a:lnTo>
              <a:lnTo>
                <a:pt x="273539" y="1025770"/>
              </a:lnTo>
              <a:close/>
            </a:path>
          </a:pathLst>
        </a:custGeom>
        <a:solidFill>
          <a:srgbClr val="FFFFFF">
            <a:alpha val="8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31</xdr:col>
      <xdr:colOff>42335</xdr:colOff>
      <xdr:row>34</xdr:row>
      <xdr:rowOff>21296</xdr:rowOff>
    </xdr:from>
    <xdr:to>
      <xdr:col>40</xdr:col>
      <xdr:colOff>88899</xdr:colOff>
      <xdr:row>38</xdr:row>
      <xdr:rowOff>27069</xdr:rowOff>
    </xdr:to>
    <xdr:sp macro="" textlink="">
      <xdr:nvSpPr>
        <xdr:cNvPr id="989" name="Retângulo 174">
          <a:extLst>
            <a:ext uri="{FF2B5EF4-FFF2-40B4-BE49-F238E27FC236}">
              <a16:creationId xmlns:a16="http://schemas.microsoft.com/office/drawing/2014/main" id="{58975281-58EE-4826-983B-629AE90BD435}"/>
            </a:ext>
          </a:extLst>
        </xdr:cNvPr>
        <xdr:cNvSpPr/>
      </xdr:nvSpPr>
      <xdr:spPr>
        <a:xfrm>
          <a:off x="3323168" y="4339296"/>
          <a:ext cx="999064" cy="51377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rgbClr val="F58220"/>
              </a:solidFill>
              <a:latin typeface="Roboto" panose="02000000000000000000"/>
            </a:rPr>
            <a:t> Indicadores </a:t>
          </a:r>
        </a:p>
        <a:p>
          <a:pPr algn="l"/>
          <a:r>
            <a:rPr lang="pt-BR" sz="1100" b="1">
              <a:solidFill>
                <a:srgbClr val="F58220"/>
              </a:solidFill>
              <a:latin typeface="Roboto" panose="02000000000000000000"/>
            </a:rPr>
            <a:t>  financeiros</a:t>
          </a:r>
        </a:p>
      </xdr:txBody>
    </xdr:sp>
    <xdr:clientData/>
  </xdr:twoCellAnchor>
  <xdr:twoCellAnchor editAs="oneCell">
    <xdr:from>
      <xdr:col>33</xdr:col>
      <xdr:colOff>103906</xdr:colOff>
      <xdr:row>38</xdr:row>
      <xdr:rowOff>6927</xdr:rowOff>
    </xdr:from>
    <xdr:to>
      <xdr:col>39</xdr:col>
      <xdr:colOff>55418</xdr:colOff>
      <xdr:row>43</xdr:row>
      <xdr:rowOff>84217</xdr:rowOff>
    </xdr:to>
    <xdr:pic>
      <xdr:nvPicPr>
        <xdr:cNvPr id="987" name="Gráfico 180" descr="Gráfico de barras com tendência ascendente com preenchimento sólido">
          <a:extLst>
            <a:ext uri="{FF2B5EF4-FFF2-40B4-BE49-F238E27FC236}">
              <a16:creationId xmlns:a16="http://schemas.microsoft.com/office/drawing/2014/main" id="{DBA2FE03-8D68-4262-B4F5-FCB604E07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3990106" y="5008418"/>
          <a:ext cx="637312" cy="712290"/>
        </a:xfrm>
        <a:prstGeom prst="rect">
          <a:avLst/>
        </a:prstGeom>
      </xdr:spPr>
    </xdr:pic>
    <xdr:clientData/>
  </xdr:twoCellAnchor>
  <xdr:twoCellAnchor>
    <xdr:from>
      <xdr:col>40</xdr:col>
      <xdr:colOff>114298</xdr:colOff>
      <xdr:row>35</xdr:row>
      <xdr:rowOff>31750</xdr:rowOff>
    </xdr:from>
    <xdr:to>
      <xdr:col>47</xdr:col>
      <xdr:colOff>106728</xdr:colOff>
      <xdr:row>39</xdr:row>
      <xdr:rowOff>0</xdr:rowOff>
    </xdr:to>
    <xdr:sp macro="" textlink="">
      <xdr:nvSpPr>
        <xdr:cNvPr id="1278" name="Retângulo 181">
          <a:extLst>
            <a:ext uri="{FF2B5EF4-FFF2-40B4-BE49-F238E27FC236}">
              <a16:creationId xmlns:a16="http://schemas.microsoft.com/office/drawing/2014/main" id="{43BF66EA-2D75-4987-94BB-25640EB7DF6F}"/>
            </a:ext>
          </a:extLst>
        </xdr:cNvPr>
        <xdr:cNvSpPr/>
      </xdr:nvSpPr>
      <xdr:spPr>
        <a:xfrm>
          <a:off x="4824843" y="4638386"/>
          <a:ext cx="816776" cy="49472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000" b="1">
              <a:solidFill>
                <a:srgbClr val="4B4F55"/>
              </a:solidFill>
              <a:latin typeface="Roboto" panose="02000000000000000000"/>
            </a:rPr>
            <a:t>Dívida</a:t>
          </a:r>
          <a:r>
            <a:rPr lang="pt-BR" sz="1000" b="1" baseline="0">
              <a:solidFill>
                <a:srgbClr val="4B4F55"/>
              </a:solidFill>
              <a:latin typeface="Roboto" panose="02000000000000000000"/>
            </a:rPr>
            <a:t> líquida</a:t>
          </a:r>
          <a:endParaRPr lang="pt-BR" sz="1000" b="1">
            <a:solidFill>
              <a:srgbClr val="4B4F55"/>
            </a:solidFill>
            <a:latin typeface="Roboto" panose="02000000000000000000"/>
          </a:endParaRPr>
        </a:p>
      </xdr:txBody>
    </xdr:sp>
    <xdr:clientData/>
  </xdr:twoCellAnchor>
  <xdr:twoCellAnchor>
    <xdr:from>
      <xdr:col>40</xdr:col>
      <xdr:colOff>110835</xdr:colOff>
      <xdr:row>39</xdr:row>
      <xdr:rowOff>114878</xdr:rowOff>
    </xdr:from>
    <xdr:to>
      <xdr:col>47</xdr:col>
      <xdr:colOff>109326</xdr:colOff>
      <xdr:row>42</xdr:row>
      <xdr:rowOff>41564</xdr:rowOff>
    </xdr:to>
    <xdr:sp macro="" textlink="">
      <xdr:nvSpPr>
        <xdr:cNvPr id="1292" name="Retângulo 182">
          <a:extLst>
            <a:ext uri="{FF2B5EF4-FFF2-40B4-BE49-F238E27FC236}">
              <a16:creationId xmlns:a16="http://schemas.microsoft.com/office/drawing/2014/main" id="{82ACD5BF-921C-4F38-9D20-44897380A161}"/>
            </a:ext>
          </a:extLst>
        </xdr:cNvPr>
        <xdr:cNvSpPr/>
      </xdr:nvSpPr>
      <xdr:spPr>
        <a:xfrm>
          <a:off x="4821380" y="5247987"/>
          <a:ext cx="822837" cy="32154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000" b="1">
              <a:solidFill>
                <a:srgbClr val="4B4F55"/>
              </a:solidFill>
              <a:latin typeface="Roboto" panose="02000000000000000000"/>
            </a:rPr>
            <a:t>EBITDA</a:t>
          </a:r>
        </a:p>
      </xdr:txBody>
    </xdr:sp>
    <xdr:clientData/>
  </xdr:twoCellAnchor>
  <xdr:twoCellAnchor>
    <xdr:from>
      <xdr:col>52</xdr:col>
      <xdr:colOff>59265</xdr:colOff>
      <xdr:row>37</xdr:row>
      <xdr:rowOff>13662</xdr:rowOff>
    </xdr:from>
    <xdr:to>
      <xdr:col>62</xdr:col>
      <xdr:colOff>77066</xdr:colOff>
      <xdr:row>41</xdr:row>
      <xdr:rowOff>101601</xdr:rowOff>
    </xdr:to>
    <xdr:sp macro="" textlink="">
      <xdr:nvSpPr>
        <xdr:cNvPr id="1183" name="Retângulo: Cantos Diagonais Arredondados 183">
          <a:extLst>
            <a:ext uri="{FF2B5EF4-FFF2-40B4-BE49-F238E27FC236}">
              <a16:creationId xmlns:a16="http://schemas.microsoft.com/office/drawing/2014/main" id="{7A3A4624-C59A-493B-A2F7-F0259B81EE4C}"/>
            </a:ext>
          </a:extLst>
        </xdr:cNvPr>
        <xdr:cNvSpPr/>
      </xdr:nvSpPr>
      <xdr:spPr>
        <a:xfrm>
          <a:off x="5782732" y="4712662"/>
          <a:ext cx="1118467" cy="595939"/>
        </a:xfrm>
        <a:prstGeom prst="round2DiagRect">
          <a:avLst>
            <a:gd name="adj1" fmla="val 0"/>
            <a:gd name="adj2" fmla="val 0"/>
          </a:avLst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900" b="0" i="0">
              <a:solidFill>
                <a:srgbClr val="4B4F55"/>
              </a:solidFill>
              <a:latin typeface="Roboto" panose="02000000000000000000"/>
            </a:rPr>
            <a:t>Dívida líquida / EBITDA</a:t>
          </a:r>
        </a:p>
      </xdr:txBody>
    </xdr:sp>
    <xdr:clientData/>
  </xdr:twoCellAnchor>
  <xdr:twoCellAnchor>
    <xdr:from>
      <xdr:col>55</xdr:col>
      <xdr:colOff>77931</xdr:colOff>
      <xdr:row>40</xdr:row>
      <xdr:rowOff>54085</xdr:rowOff>
    </xdr:from>
    <xdr:to>
      <xdr:col>60</xdr:col>
      <xdr:colOff>33482</xdr:colOff>
      <xdr:row>42</xdr:row>
      <xdr:rowOff>66293</xdr:rowOff>
    </xdr:to>
    <xdr:sp macro="" textlink="Pivots!E186">
      <xdr:nvSpPr>
        <xdr:cNvPr id="837" name="Retângulo 184">
          <a:extLst>
            <a:ext uri="{FF2B5EF4-FFF2-40B4-BE49-F238E27FC236}">
              <a16:creationId xmlns:a16="http://schemas.microsoft.com/office/drawing/2014/main" id="{427FEFBE-37D2-4011-9DE6-ACB556F5A900}"/>
            </a:ext>
          </a:extLst>
        </xdr:cNvPr>
        <xdr:cNvSpPr/>
      </xdr:nvSpPr>
      <xdr:spPr>
        <a:xfrm>
          <a:off x="6131598" y="5134085"/>
          <a:ext cx="505884" cy="26620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42F6339E-D509-4377-A621-BCB6BA4F3EB7}" type="TxLink">
            <a:rPr lang="en-US" sz="1200" b="1" i="0" u="none" strike="noStrike">
              <a:solidFill>
                <a:srgbClr val="007960"/>
              </a:solidFill>
              <a:latin typeface="Roboto"/>
              <a:ea typeface="Roboto"/>
              <a:cs typeface="Roboto"/>
            </a:rPr>
            <a:pPr algn="ctr"/>
            <a:t>2,4x</a:t>
          </a:fld>
          <a:endParaRPr lang="pt-BR" sz="13800" b="1">
            <a:solidFill>
              <a:srgbClr val="007960"/>
            </a:solidFill>
          </a:endParaRPr>
        </a:p>
      </xdr:txBody>
    </xdr:sp>
    <xdr:clientData/>
  </xdr:twoCellAnchor>
  <xdr:twoCellAnchor editAs="oneCell">
    <xdr:from>
      <xdr:col>53</xdr:col>
      <xdr:colOff>109104</xdr:colOff>
      <xdr:row>40</xdr:row>
      <xdr:rowOff>51861</xdr:rowOff>
    </xdr:from>
    <xdr:to>
      <xdr:col>56</xdr:col>
      <xdr:colOff>87745</xdr:colOff>
      <xdr:row>43</xdr:row>
      <xdr:rowOff>27615</xdr:rowOff>
    </xdr:to>
    <xdr:pic>
      <xdr:nvPicPr>
        <xdr:cNvPr id="839" name="Gráfico 185" descr="Seta: curva ligeira com preenchimento sólido">
          <a:extLst>
            <a:ext uri="{FF2B5EF4-FFF2-40B4-BE49-F238E27FC236}">
              <a16:creationId xmlns:a16="http://schemas.microsoft.com/office/drawing/2014/main" id="{CFE95B9C-7B7C-4EF6-9F61-7411E50DA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5942637" y="5131861"/>
          <a:ext cx="308841" cy="356754"/>
        </a:xfrm>
        <a:prstGeom prst="rect">
          <a:avLst/>
        </a:prstGeom>
      </xdr:spPr>
    </xdr:pic>
    <xdr:clientData/>
  </xdr:twoCellAnchor>
  <xdr:twoCellAnchor>
    <xdr:from>
      <xdr:col>39</xdr:col>
      <xdr:colOff>70971</xdr:colOff>
      <xdr:row>38</xdr:row>
      <xdr:rowOff>30629</xdr:rowOff>
    </xdr:from>
    <xdr:to>
      <xdr:col>50</xdr:col>
      <xdr:colOff>0</xdr:colOff>
      <xdr:row>38</xdr:row>
      <xdr:rowOff>30629</xdr:rowOff>
    </xdr:to>
    <xdr:cxnSp macro="">
      <xdr:nvCxnSpPr>
        <xdr:cNvPr id="187" name="Conector reto 186">
          <a:extLst>
            <a:ext uri="{FF2B5EF4-FFF2-40B4-BE49-F238E27FC236}">
              <a16:creationId xmlns:a16="http://schemas.microsoft.com/office/drawing/2014/main" id="{9D32A0CF-DF55-4CA3-A305-D4ED7D4DCCCE}"/>
            </a:ext>
          </a:extLst>
        </xdr:cNvPr>
        <xdr:cNvCxnSpPr/>
      </xdr:nvCxnSpPr>
      <xdr:spPr>
        <a:xfrm flipH="1">
          <a:off x="4900146" y="5097929"/>
          <a:ext cx="1291104" cy="0"/>
        </a:xfrm>
        <a:prstGeom prst="line">
          <a:avLst/>
        </a:prstGeom>
        <a:ln w="9525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39</xdr:col>
      <xdr:colOff>61446</xdr:colOff>
      <xdr:row>41</xdr:row>
      <xdr:rowOff>94129</xdr:rowOff>
    </xdr:from>
    <xdr:to>
      <xdr:col>49</xdr:col>
      <xdr:colOff>114300</xdr:colOff>
      <xdr:row>41</xdr:row>
      <xdr:rowOff>94129</xdr:rowOff>
    </xdr:to>
    <xdr:cxnSp macro="">
      <xdr:nvCxnSpPr>
        <xdr:cNvPr id="189" name="Conector reto 188">
          <a:extLst>
            <a:ext uri="{FF2B5EF4-FFF2-40B4-BE49-F238E27FC236}">
              <a16:creationId xmlns:a16="http://schemas.microsoft.com/office/drawing/2014/main" id="{4CA821F2-5ED7-4944-8BDA-D049CFAAAB1E}"/>
            </a:ext>
          </a:extLst>
        </xdr:cNvPr>
        <xdr:cNvCxnSpPr/>
      </xdr:nvCxnSpPr>
      <xdr:spPr>
        <a:xfrm flipH="1">
          <a:off x="4890621" y="5561479"/>
          <a:ext cx="1291104" cy="0"/>
        </a:xfrm>
        <a:prstGeom prst="line">
          <a:avLst/>
        </a:prstGeom>
        <a:ln w="9525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43</xdr:col>
      <xdr:colOff>39992</xdr:colOff>
      <xdr:row>35</xdr:row>
      <xdr:rowOff>58914</xdr:rowOff>
    </xdr:from>
    <xdr:to>
      <xdr:col>53</xdr:col>
      <xdr:colOff>39993</xdr:colOff>
      <xdr:row>38</xdr:row>
      <xdr:rowOff>58914</xdr:rowOff>
    </xdr:to>
    <xdr:sp macro="" textlink="Pivots!E184">
      <xdr:nvSpPr>
        <xdr:cNvPr id="1186" name="Retângulo 192">
          <a:extLst>
            <a:ext uri="{FF2B5EF4-FFF2-40B4-BE49-F238E27FC236}">
              <a16:creationId xmlns:a16="http://schemas.microsoft.com/office/drawing/2014/main" id="{B0F3187F-3BD8-4CE4-9FA3-8A7A44172E5F}"/>
            </a:ext>
          </a:extLst>
        </xdr:cNvPr>
        <xdr:cNvSpPr/>
      </xdr:nvSpPr>
      <xdr:spPr>
        <a:xfrm>
          <a:off x="4772859" y="4503914"/>
          <a:ext cx="1100667" cy="381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fld id="{75AF8641-A032-4FE1-8FF3-81AE11F7E934}" type="TxLink">
            <a:rPr lang="en-US" sz="1600" b="1" i="0" u="none" strike="noStrike">
              <a:solidFill>
                <a:srgbClr val="4B4F55"/>
              </a:solidFill>
              <a:latin typeface="Roboto"/>
              <a:ea typeface="Roboto"/>
              <a:cs typeface="Roboto"/>
            </a:rPr>
            <a:pPr algn="r"/>
            <a:t> 1.588,5 </a:t>
          </a:fld>
          <a:endParaRPr lang="pt-BR" sz="1600" b="1">
            <a:solidFill>
              <a:srgbClr val="4B4F55"/>
            </a:solidFill>
          </a:endParaRPr>
        </a:p>
      </xdr:txBody>
    </xdr:sp>
    <xdr:clientData/>
  </xdr:twoCellAnchor>
  <xdr:twoCellAnchor>
    <xdr:from>
      <xdr:col>40</xdr:col>
      <xdr:colOff>115744</xdr:colOff>
      <xdr:row>41</xdr:row>
      <xdr:rowOff>77628</xdr:rowOff>
    </xdr:from>
    <xdr:to>
      <xdr:col>48</xdr:col>
      <xdr:colOff>100726</xdr:colOff>
      <xdr:row>43</xdr:row>
      <xdr:rowOff>52151</xdr:rowOff>
    </xdr:to>
    <xdr:sp macro="" textlink="">
      <xdr:nvSpPr>
        <xdr:cNvPr id="1287" name="Retângulo 193">
          <a:extLst>
            <a:ext uri="{FF2B5EF4-FFF2-40B4-BE49-F238E27FC236}">
              <a16:creationId xmlns:a16="http://schemas.microsoft.com/office/drawing/2014/main" id="{90EAE792-9A09-4F01-ABC7-8262734E0661}"/>
            </a:ext>
          </a:extLst>
        </xdr:cNvPr>
        <xdr:cNvSpPr/>
      </xdr:nvSpPr>
      <xdr:spPr>
        <a:xfrm>
          <a:off x="4826289" y="5473973"/>
          <a:ext cx="927092" cy="23776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800" b="0" i="0" u="none" strike="noStrike">
              <a:solidFill>
                <a:schemeClr val="bg1">
                  <a:lumMod val="50000"/>
                </a:schemeClr>
              </a:solidFill>
              <a:latin typeface="Roboto"/>
            </a:rPr>
            <a:t>(R$ mm)</a:t>
          </a:r>
        </a:p>
      </xdr:txBody>
    </xdr:sp>
    <xdr:clientData/>
  </xdr:twoCellAnchor>
  <xdr:twoCellAnchor>
    <xdr:from>
      <xdr:col>40</xdr:col>
      <xdr:colOff>114304</xdr:colOff>
      <xdr:row>38</xdr:row>
      <xdr:rowOff>27708</xdr:rowOff>
    </xdr:from>
    <xdr:to>
      <xdr:col>48</xdr:col>
      <xdr:colOff>102461</xdr:colOff>
      <xdr:row>39</xdr:row>
      <xdr:rowOff>129231</xdr:rowOff>
    </xdr:to>
    <xdr:sp macro="" textlink="">
      <xdr:nvSpPr>
        <xdr:cNvPr id="1282" name="Retângulo 194">
          <a:extLst>
            <a:ext uri="{FF2B5EF4-FFF2-40B4-BE49-F238E27FC236}">
              <a16:creationId xmlns:a16="http://schemas.microsoft.com/office/drawing/2014/main" id="{E4E50B60-B3C0-4752-BD54-40531045CED2}"/>
            </a:ext>
          </a:extLst>
        </xdr:cNvPr>
        <xdr:cNvSpPr/>
      </xdr:nvSpPr>
      <xdr:spPr>
        <a:xfrm>
          <a:off x="4824849" y="5029199"/>
          <a:ext cx="930267" cy="23314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800" b="0" i="0" u="none" strike="noStrike">
              <a:solidFill>
                <a:schemeClr val="bg1">
                  <a:lumMod val="50000"/>
                </a:schemeClr>
              </a:solidFill>
              <a:latin typeface="Roboto"/>
            </a:rPr>
            <a:t>(R$ mm)</a:t>
          </a:r>
        </a:p>
      </xdr:txBody>
    </xdr:sp>
    <xdr:clientData/>
  </xdr:twoCellAnchor>
  <xdr:twoCellAnchor>
    <xdr:from>
      <xdr:col>42</xdr:col>
      <xdr:colOff>23797</xdr:colOff>
      <xdr:row>39</xdr:row>
      <xdr:rowOff>69497</xdr:rowOff>
    </xdr:from>
    <xdr:to>
      <xdr:col>52</xdr:col>
      <xdr:colOff>23797</xdr:colOff>
      <xdr:row>42</xdr:row>
      <xdr:rowOff>69497</xdr:rowOff>
    </xdr:to>
    <xdr:sp macro="" textlink="Pivots!E185">
      <xdr:nvSpPr>
        <xdr:cNvPr id="1295" name="Retângulo 195">
          <a:extLst>
            <a:ext uri="{FF2B5EF4-FFF2-40B4-BE49-F238E27FC236}">
              <a16:creationId xmlns:a16="http://schemas.microsoft.com/office/drawing/2014/main" id="{43936847-DB5D-4336-BB2C-F39A0BE0C121}"/>
            </a:ext>
          </a:extLst>
        </xdr:cNvPr>
        <xdr:cNvSpPr/>
      </xdr:nvSpPr>
      <xdr:spPr>
        <a:xfrm>
          <a:off x="4468797" y="5022497"/>
          <a:ext cx="1058333" cy="381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fld id="{8A51F9CE-3A93-48F3-85F8-7C071DB38D60}" type="TxLink">
            <a:rPr lang="en-US" sz="1600" b="1" i="0" u="none" strike="noStrike">
              <a:solidFill>
                <a:srgbClr val="4B4F55"/>
              </a:solidFill>
              <a:latin typeface="Roboto"/>
              <a:ea typeface="Roboto"/>
              <a:cs typeface="Roboto"/>
            </a:rPr>
            <a:pPr algn="r"/>
            <a:t> 665,6 </a:t>
          </a:fld>
          <a:endParaRPr lang="pt-BR" sz="1600" b="1">
            <a:solidFill>
              <a:srgbClr val="4B4F55"/>
            </a:solidFill>
          </a:endParaRPr>
        </a:p>
      </xdr:txBody>
    </xdr:sp>
    <xdr:clientData/>
  </xdr:twoCellAnchor>
  <xdr:twoCellAnchor>
    <xdr:from>
      <xdr:col>50</xdr:col>
      <xdr:colOff>71857</xdr:colOff>
      <xdr:row>33</xdr:row>
      <xdr:rowOff>120349</xdr:rowOff>
    </xdr:from>
    <xdr:to>
      <xdr:col>56</xdr:col>
      <xdr:colOff>13275</xdr:colOff>
      <xdr:row>45</xdr:row>
      <xdr:rowOff>83127</xdr:rowOff>
    </xdr:to>
    <xdr:sp macro="" textlink="">
      <xdr:nvSpPr>
        <xdr:cNvPr id="841" name="Seta: Divisa 196">
          <a:extLst>
            <a:ext uri="{FF2B5EF4-FFF2-40B4-BE49-F238E27FC236}">
              <a16:creationId xmlns:a16="http://schemas.microsoft.com/office/drawing/2014/main" id="{D22E9B0E-D2F5-42D2-A55C-5CB4F78B3A64}"/>
            </a:ext>
          </a:extLst>
        </xdr:cNvPr>
        <xdr:cNvSpPr/>
      </xdr:nvSpPr>
      <xdr:spPr>
        <a:xfrm>
          <a:off x="5960039" y="4463749"/>
          <a:ext cx="648000" cy="1542196"/>
        </a:xfrm>
        <a:prstGeom prst="chevron">
          <a:avLst/>
        </a:prstGeom>
        <a:solidFill>
          <a:srgbClr val="D9D9D9">
            <a:alpha val="2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  <xdr:twoCellAnchor>
    <xdr:from>
      <xdr:col>34</xdr:col>
      <xdr:colOff>15933</xdr:colOff>
      <xdr:row>44</xdr:row>
      <xdr:rowOff>123536</xdr:rowOff>
    </xdr:from>
    <xdr:to>
      <xdr:col>60</xdr:col>
      <xdr:colOff>69273</xdr:colOff>
      <xdr:row>46</xdr:row>
      <xdr:rowOff>0</xdr:rowOff>
    </xdr:to>
    <xdr:sp macro="" textlink="">
      <xdr:nvSpPr>
        <xdr:cNvPr id="599" name="Retângulo 178">
          <a:extLst>
            <a:ext uri="{FF2B5EF4-FFF2-40B4-BE49-F238E27FC236}">
              <a16:creationId xmlns:a16="http://schemas.microsoft.com/office/drawing/2014/main" id="{67F90D33-2D0B-4493-9347-0005E196A740}"/>
            </a:ext>
          </a:extLst>
        </xdr:cNvPr>
        <xdr:cNvSpPr/>
      </xdr:nvSpPr>
      <xdr:spPr>
        <a:xfrm>
          <a:off x="4019897" y="5914736"/>
          <a:ext cx="3115194" cy="1397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200">
              <a:solidFill>
                <a:srgbClr val="F9F9F9"/>
              </a:solidFill>
            </a:rPr>
            <a:t>&gt;&gt;&gt;&gt;&gt;&gt;&gt;&gt;&gt;&gt;&gt;&gt;&gt;&gt;&gt;&gt;&gt;&gt;&gt;&gt;&gt;&gt;&gt;&gt;&gt;&gt;&gt;&gt;&gt;&gt;&gt;&gt;&gt;&gt;&gt;&gt;&gt;&gt;&gt;&gt;&gt;&gt;&gt;&gt;&gt;&gt;&gt;&gt;&gt;&gt;&gt;&gt;</a:t>
          </a:r>
        </a:p>
      </xdr:txBody>
    </xdr:sp>
    <xdr:clientData/>
  </xdr:twoCellAnchor>
  <xdr:twoCellAnchor>
    <xdr:from>
      <xdr:col>61</xdr:col>
      <xdr:colOff>38962</xdr:colOff>
      <xdr:row>33</xdr:row>
      <xdr:rowOff>116523</xdr:rowOff>
    </xdr:from>
    <xdr:to>
      <xdr:col>61</xdr:col>
      <xdr:colOff>38962</xdr:colOff>
      <xdr:row>46</xdr:row>
      <xdr:rowOff>17405</xdr:rowOff>
    </xdr:to>
    <xdr:cxnSp macro="">
      <xdr:nvCxnSpPr>
        <xdr:cNvPr id="1093" name="Conector reto 199">
          <a:extLst>
            <a:ext uri="{FF2B5EF4-FFF2-40B4-BE49-F238E27FC236}">
              <a16:creationId xmlns:a16="http://schemas.microsoft.com/office/drawing/2014/main" id="{9D2D9DAB-DA94-49E3-8759-9BBEF49DBD45}"/>
            </a:ext>
          </a:extLst>
        </xdr:cNvPr>
        <xdr:cNvCxnSpPr/>
      </xdr:nvCxnSpPr>
      <xdr:spPr>
        <a:xfrm>
          <a:off x="7222544" y="4459923"/>
          <a:ext cx="0" cy="1611918"/>
        </a:xfrm>
        <a:prstGeom prst="line">
          <a:avLst/>
        </a:prstGeom>
        <a:ln w="28575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71</xdr:col>
      <xdr:colOff>47625</xdr:colOff>
      <xdr:row>34</xdr:row>
      <xdr:rowOff>38099</xdr:rowOff>
    </xdr:from>
    <xdr:to>
      <xdr:col>94</xdr:col>
      <xdr:colOff>90054</xdr:colOff>
      <xdr:row>45</xdr:row>
      <xdr:rowOff>124690</xdr:rowOff>
    </xdr:to>
    <xdr:graphicFrame macro="">
      <xdr:nvGraphicFramePr>
        <xdr:cNvPr id="719" name="Gráfico 201">
          <a:extLst>
            <a:ext uri="{FF2B5EF4-FFF2-40B4-BE49-F238E27FC236}">
              <a16:creationId xmlns:a16="http://schemas.microsoft.com/office/drawing/2014/main" id="{57646BA7-8AD6-45C7-A4F2-31CD332DCD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62</xdr:col>
      <xdr:colOff>30594</xdr:colOff>
      <xdr:row>34</xdr:row>
      <xdr:rowOff>74340</xdr:rowOff>
    </xdr:from>
    <xdr:to>
      <xdr:col>70</xdr:col>
      <xdr:colOff>60034</xdr:colOff>
      <xdr:row>36</xdr:row>
      <xdr:rowOff>77064</xdr:rowOff>
    </xdr:to>
    <xdr:sp macro="" textlink="">
      <xdr:nvSpPr>
        <xdr:cNvPr id="1065" name="Retângulo 202">
          <a:extLst>
            <a:ext uri="{FF2B5EF4-FFF2-40B4-BE49-F238E27FC236}">
              <a16:creationId xmlns:a16="http://schemas.microsoft.com/office/drawing/2014/main" id="{ACAC9D13-E672-46EC-A063-B5EEAEAA5E64}"/>
            </a:ext>
          </a:extLst>
        </xdr:cNvPr>
        <xdr:cNvSpPr/>
      </xdr:nvSpPr>
      <xdr:spPr>
        <a:xfrm>
          <a:off x="7331939" y="4549358"/>
          <a:ext cx="971550" cy="265961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rgbClr val="F58220"/>
              </a:solidFill>
              <a:latin typeface="Roboto" panose="02000000000000000000"/>
            </a:rPr>
            <a:t>Capex total</a:t>
          </a:r>
        </a:p>
      </xdr:txBody>
    </xdr:sp>
    <xdr:clientData/>
  </xdr:twoCellAnchor>
  <xdr:twoCellAnchor>
    <xdr:from>
      <xdr:col>65</xdr:col>
      <xdr:colOff>56312</xdr:colOff>
      <xdr:row>36</xdr:row>
      <xdr:rowOff>102666</xdr:rowOff>
    </xdr:from>
    <xdr:to>
      <xdr:col>77</xdr:col>
      <xdr:colOff>80847</xdr:colOff>
      <xdr:row>39</xdr:row>
      <xdr:rowOff>70424</xdr:rowOff>
    </xdr:to>
    <xdr:sp macro="" textlink="Pivots!D196">
      <xdr:nvSpPr>
        <xdr:cNvPr id="1067" name="Retângulo 203">
          <a:extLst>
            <a:ext uri="{FF2B5EF4-FFF2-40B4-BE49-F238E27FC236}">
              <a16:creationId xmlns:a16="http://schemas.microsoft.com/office/drawing/2014/main" id="{E8F3719B-4D31-41EE-B6E2-D53B5B876B23}"/>
            </a:ext>
          </a:extLst>
        </xdr:cNvPr>
        <xdr:cNvSpPr/>
      </xdr:nvSpPr>
      <xdr:spPr>
        <a:xfrm>
          <a:off x="6935479" y="4674666"/>
          <a:ext cx="1294535" cy="34875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fld id="{2813A59B-C41F-4A06-96A4-1CBA00585CA1}" type="TxLink">
            <a:rPr lang="en-US" sz="1400" b="1" i="0" u="none" strike="noStrike">
              <a:solidFill>
                <a:srgbClr val="4B4F55"/>
              </a:solidFill>
              <a:latin typeface="Roboto"/>
              <a:ea typeface="Roboto"/>
              <a:cs typeface="Roboto"/>
            </a:rPr>
            <a:pPr algn="l"/>
            <a:t> R$ 172,9 </a:t>
          </a:fld>
          <a:endParaRPr lang="pt-BR" sz="1400" b="1">
            <a:solidFill>
              <a:srgbClr val="4B4F55"/>
            </a:solidFill>
          </a:endParaRPr>
        </a:p>
      </xdr:txBody>
    </xdr:sp>
    <xdr:clientData/>
  </xdr:twoCellAnchor>
  <xdr:twoCellAnchor>
    <xdr:from>
      <xdr:col>67</xdr:col>
      <xdr:colOff>70422</xdr:colOff>
      <xdr:row>38</xdr:row>
      <xdr:rowOff>54735</xdr:rowOff>
    </xdr:from>
    <xdr:to>
      <xdr:col>72</xdr:col>
      <xdr:colOff>83123</xdr:colOff>
      <xdr:row>39</xdr:row>
      <xdr:rowOff>131616</xdr:rowOff>
    </xdr:to>
    <xdr:sp macro="" textlink="">
      <xdr:nvSpPr>
        <xdr:cNvPr id="1068" name="Retângulo 206">
          <a:extLst>
            <a:ext uri="{FF2B5EF4-FFF2-40B4-BE49-F238E27FC236}">
              <a16:creationId xmlns:a16="http://schemas.microsoft.com/office/drawing/2014/main" id="{091A9A41-3110-4BD6-B1A5-B1225BC1340F}"/>
            </a:ext>
          </a:extLst>
        </xdr:cNvPr>
        <xdr:cNvSpPr/>
      </xdr:nvSpPr>
      <xdr:spPr>
        <a:xfrm>
          <a:off x="7960586" y="5056226"/>
          <a:ext cx="601519" cy="20849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600" b="0" i="0" u="none" strike="noStrike">
              <a:solidFill>
                <a:schemeClr val="bg1">
                  <a:lumMod val="50000"/>
                </a:schemeClr>
              </a:solidFill>
              <a:latin typeface="Roboto"/>
            </a:rPr>
            <a:t>(R$ mm)</a:t>
          </a:r>
        </a:p>
      </xdr:txBody>
    </xdr:sp>
    <xdr:clientData/>
  </xdr:twoCellAnchor>
  <xdr:twoCellAnchor editAs="oneCell">
    <xdr:from>
      <xdr:col>62</xdr:col>
      <xdr:colOff>14718</xdr:colOff>
      <xdr:row>36</xdr:row>
      <xdr:rowOff>115738</xdr:rowOff>
    </xdr:from>
    <xdr:to>
      <xdr:col>65</xdr:col>
      <xdr:colOff>77611</xdr:colOff>
      <xdr:row>40</xdr:row>
      <xdr:rowOff>8945</xdr:rowOff>
    </xdr:to>
    <xdr:pic>
      <xdr:nvPicPr>
        <xdr:cNvPr id="1066" name="Gráfico 208" descr="Trator com preenchimento sólido">
          <a:extLst>
            <a:ext uri="{FF2B5EF4-FFF2-40B4-BE49-F238E27FC236}">
              <a16:creationId xmlns:a16="http://schemas.microsoft.com/office/drawing/2014/main" id="{F25AB5BC-0E13-4B34-89B5-1D3FA09C2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2"/>
            </a:ext>
          </a:extLst>
        </a:blip>
        <a:stretch>
          <a:fillRect/>
        </a:stretch>
      </xdr:blipFill>
      <xdr:spPr>
        <a:xfrm>
          <a:off x="6576385" y="4687738"/>
          <a:ext cx="380393" cy="401207"/>
        </a:xfrm>
        <a:prstGeom prst="rect">
          <a:avLst/>
        </a:prstGeom>
      </xdr:spPr>
    </xdr:pic>
    <xdr:clientData/>
  </xdr:twoCellAnchor>
  <xdr:twoCellAnchor>
    <xdr:from>
      <xdr:col>61</xdr:col>
      <xdr:colOff>114298</xdr:colOff>
      <xdr:row>39</xdr:row>
      <xdr:rowOff>114297</xdr:rowOff>
    </xdr:from>
    <xdr:to>
      <xdr:col>71</xdr:col>
      <xdr:colOff>6060</xdr:colOff>
      <xdr:row>43</xdr:row>
      <xdr:rowOff>11254</xdr:rowOff>
    </xdr:to>
    <xdr:sp macro="" textlink="">
      <xdr:nvSpPr>
        <xdr:cNvPr id="1087" name="Retângulo: Cantos Diagonais Arredondados 210">
          <a:extLst>
            <a:ext uri="{FF2B5EF4-FFF2-40B4-BE49-F238E27FC236}">
              <a16:creationId xmlns:a16="http://schemas.microsoft.com/office/drawing/2014/main" id="{88E94EB7-F1DC-4A8F-9D93-8FD417BDD9C2}"/>
            </a:ext>
          </a:extLst>
        </xdr:cNvPr>
        <xdr:cNvSpPr/>
      </xdr:nvSpPr>
      <xdr:spPr>
        <a:xfrm>
          <a:off x="7297880" y="5247406"/>
          <a:ext cx="1069398" cy="423430"/>
        </a:xfrm>
        <a:prstGeom prst="round2DiagRect">
          <a:avLst>
            <a:gd name="adj1" fmla="val 0"/>
            <a:gd name="adj2" fmla="val 0"/>
          </a:avLst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900" b="0" i="0">
              <a:solidFill>
                <a:srgbClr val="4B4F55"/>
              </a:solidFill>
              <a:latin typeface="Roboto" panose="02000000000000000000"/>
            </a:rPr>
            <a:t>Capex</a:t>
          </a:r>
          <a:r>
            <a:rPr lang="pt-BR" sz="900" b="0" i="0" baseline="0">
              <a:solidFill>
                <a:srgbClr val="4B4F55"/>
              </a:solidFill>
              <a:latin typeface="Roboto" panose="02000000000000000000"/>
            </a:rPr>
            <a:t> </a:t>
          </a:r>
          <a:r>
            <a:rPr lang="pt-BR" sz="900" b="0" i="0">
              <a:solidFill>
                <a:srgbClr val="4B4F55"/>
              </a:solidFill>
              <a:latin typeface="Roboto" panose="02000000000000000000"/>
            </a:rPr>
            <a:t>/ moagem</a:t>
          </a:r>
        </a:p>
      </xdr:txBody>
    </xdr:sp>
    <xdr:clientData/>
  </xdr:twoCellAnchor>
  <xdr:twoCellAnchor editAs="oneCell">
    <xdr:from>
      <xdr:col>64</xdr:col>
      <xdr:colOff>60035</xdr:colOff>
      <xdr:row>41</xdr:row>
      <xdr:rowOff>118340</xdr:rowOff>
    </xdr:from>
    <xdr:to>
      <xdr:col>67</xdr:col>
      <xdr:colOff>41851</xdr:colOff>
      <xdr:row>44</xdr:row>
      <xdr:rowOff>100445</xdr:rowOff>
    </xdr:to>
    <xdr:pic>
      <xdr:nvPicPr>
        <xdr:cNvPr id="1070" name="Gráfico 212" descr="Seta: curva ligeira com preenchimento sólido">
          <a:extLst>
            <a:ext uri="{FF2B5EF4-FFF2-40B4-BE49-F238E27FC236}">
              <a16:creationId xmlns:a16="http://schemas.microsoft.com/office/drawing/2014/main" id="{AD8486FF-D846-4D5D-961C-BAFB1DD81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7104302" y="5325340"/>
          <a:ext cx="312016" cy="363105"/>
        </a:xfrm>
        <a:prstGeom prst="rect">
          <a:avLst/>
        </a:prstGeom>
      </xdr:spPr>
    </xdr:pic>
    <xdr:clientData/>
  </xdr:twoCellAnchor>
  <xdr:twoCellAnchor>
    <xdr:from>
      <xdr:col>66</xdr:col>
      <xdr:colOff>60033</xdr:colOff>
      <xdr:row>42</xdr:row>
      <xdr:rowOff>492</xdr:rowOff>
    </xdr:from>
    <xdr:to>
      <xdr:col>72</xdr:col>
      <xdr:colOff>67732</xdr:colOff>
      <xdr:row>44</xdr:row>
      <xdr:rowOff>110068</xdr:rowOff>
    </xdr:to>
    <xdr:sp macro="" textlink="Pivots!G198">
      <xdr:nvSpPr>
        <xdr:cNvPr id="1069" name="Retângulo 146">
          <a:extLst>
            <a:ext uri="{FF2B5EF4-FFF2-40B4-BE49-F238E27FC236}">
              <a16:creationId xmlns:a16="http://schemas.microsoft.com/office/drawing/2014/main" id="{F18CF2EB-DC63-49FE-9BBA-CD13E4E72A87}"/>
            </a:ext>
          </a:extLst>
        </xdr:cNvPr>
        <xdr:cNvSpPr/>
      </xdr:nvSpPr>
      <xdr:spPr>
        <a:xfrm>
          <a:off x="7324433" y="5334492"/>
          <a:ext cx="668099" cy="36357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95A9D591-9FC4-40F1-9A90-A6839A3DB78A}" type="TxLink">
            <a:rPr lang="en-US" sz="1100" b="1" i="0" u="none" strike="noStrike">
              <a:solidFill>
                <a:srgbClr val="007058"/>
              </a:solidFill>
              <a:latin typeface="Roboto"/>
              <a:ea typeface="Roboto"/>
              <a:cs typeface="Roboto"/>
            </a:rPr>
            <a:pPr algn="ctr"/>
            <a:t>91,1 </a:t>
          </a:fld>
          <a:endParaRPr lang="pt-BR" sz="8800" b="1">
            <a:solidFill>
              <a:srgbClr val="007058"/>
            </a:solidFill>
          </a:endParaRPr>
        </a:p>
      </xdr:txBody>
    </xdr:sp>
    <xdr:clientData/>
  </xdr:twoCellAnchor>
  <xdr:twoCellAnchor editAs="oneCell">
    <xdr:from>
      <xdr:col>39</xdr:col>
      <xdr:colOff>69273</xdr:colOff>
      <xdr:row>13</xdr:row>
      <xdr:rowOff>34638</xdr:rowOff>
    </xdr:from>
    <xdr:to>
      <xdr:col>42</xdr:col>
      <xdr:colOff>96982</xdr:colOff>
      <xdr:row>16</xdr:row>
      <xdr:rowOff>20783</xdr:rowOff>
    </xdr:to>
    <xdr:pic>
      <xdr:nvPicPr>
        <xdr:cNvPr id="145" name="object 23" descr="Logotipo&#10;&#10;Descrição gerada automaticamente com confiança média">
          <a:extLst>
            <a:ext uri="{FF2B5EF4-FFF2-40B4-BE49-F238E27FC236}">
              <a16:creationId xmlns:a16="http://schemas.microsoft.com/office/drawing/2014/main" id="{E2F830C3-56A0-4A26-9D60-1725535A1FC6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196773" y="1685638"/>
          <a:ext cx="345209" cy="367145"/>
        </a:xfrm>
        <a:prstGeom prst="rect">
          <a:avLst/>
        </a:prstGeom>
      </xdr:spPr>
    </xdr:pic>
    <xdr:clientData/>
  </xdr:twoCellAnchor>
  <xdr:twoCellAnchor>
    <xdr:from>
      <xdr:col>39</xdr:col>
      <xdr:colOff>69273</xdr:colOff>
      <xdr:row>21</xdr:row>
      <xdr:rowOff>12991</xdr:rowOff>
    </xdr:from>
    <xdr:to>
      <xdr:col>43</xdr:col>
      <xdr:colOff>1</xdr:colOff>
      <xdr:row>24</xdr:row>
      <xdr:rowOff>68409</xdr:rowOff>
    </xdr:to>
    <xdr:grpSp>
      <xdr:nvGrpSpPr>
        <xdr:cNvPr id="1109" name="object 64">
          <a:extLst>
            <a:ext uri="{FF2B5EF4-FFF2-40B4-BE49-F238E27FC236}">
              <a16:creationId xmlns:a16="http://schemas.microsoft.com/office/drawing/2014/main" id="{D09C6704-CCFC-44AE-B002-9E79628986E1}"/>
            </a:ext>
          </a:extLst>
        </xdr:cNvPr>
        <xdr:cNvGrpSpPr/>
      </xdr:nvGrpSpPr>
      <xdr:grpSpPr>
        <a:xfrm>
          <a:off x="4196773" y="2679991"/>
          <a:ext cx="354061" cy="436418"/>
          <a:chOff x="4805872" y="7014883"/>
          <a:chExt cx="814705" cy="794194"/>
        </a:xfrm>
      </xdr:grpSpPr>
      <xdr:sp macro="" textlink="">
        <xdr:nvSpPr>
          <xdr:cNvPr id="1110" name="object 65">
            <a:extLst>
              <a:ext uri="{FF2B5EF4-FFF2-40B4-BE49-F238E27FC236}">
                <a16:creationId xmlns:a16="http://schemas.microsoft.com/office/drawing/2014/main" id="{28220860-850B-4CF9-BB10-5878FA7B2CFF}"/>
              </a:ext>
            </a:extLst>
          </xdr:cNvPr>
          <xdr:cNvSpPr/>
        </xdr:nvSpPr>
        <xdr:spPr>
          <a:xfrm>
            <a:off x="4805872" y="7014883"/>
            <a:ext cx="814705" cy="733425"/>
          </a:xfrm>
          <a:custGeom>
            <a:avLst/>
            <a:gdLst/>
            <a:ahLst/>
            <a:cxnLst/>
            <a:rect l="l" t="t" r="r" b="b"/>
            <a:pathLst>
              <a:path w="814704" h="733425">
                <a:moveTo>
                  <a:pt x="335468" y="0"/>
                </a:moveTo>
                <a:lnTo>
                  <a:pt x="291058" y="6883"/>
                </a:lnTo>
                <a:lnTo>
                  <a:pt x="248098" y="21205"/>
                </a:lnTo>
                <a:lnTo>
                  <a:pt x="207122" y="41976"/>
                </a:lnTo>
                <a:lnTo>
                  <a:pt x="168664" y="68209"/>
                </a:lnTo>
                <a:lnTo>
                  <a:pt x="133255" y="98915"/>
                </a:lnTo>
                <a:lnTo>
                  <a:pt x="101430" y="133108"/>
                </a:lnTo>
                <a:lnTo>
                  <a:pt x="73721" y="169799"/>
                </a:lnTo>
                <a:lnTo>
                  <a:pt x="46870" y="214724"/>
                </a:lnTo>
                <a:lnTo>
                  <a:pt x="25955" y="262236"/>
                </a:lnTo>
                <a:lnTo>
                  <a:pt x="11094" y="311758"/>
                </a:lnTo>
                <a:lnTo>
                  <a:pt x="2404" y="362713"/>
                </a:lnTo>
                <a:lnTo>
                  <a:pt x="0" y="414527"/>
                </a:lnTo>
                <a:lnTo>
                  <a:pt x="3998" y="466623"/>
                </a:lnTo>
                <a:lnTo>
                  <a:pt x="13513" y="520543"/>
                </a:lnTo>
                <a:lnTo>
                  <a:pt x="29149" y="573103"/>
                </a:lnTo>
                <a:lnTo>
                  <a:pt x="50782" y="621914"/>
                </a:lnTo>
                <a:lnTo>
                  <a:pt x="78289" y="664588"/>
                </a:lnTo>
                <a:lnTo>
                  <a:pt x="111545" y="698736"/>
                </a:lnTo>
                <a:lnTo>
                  <a:pt x="150429" y="721969"/>
                </a:lnTo>
                <a:lnTo>
                  <a:pt x="188284" y="731677"/>
                </a:lnTo>
                <a:lnTo>
                  <a:pt x="229943" y="732975"/>
                </a:lnTo>
                <a:lnTo>
                  <a:pt x="275150" y="727228"/>
                </a:lnTo>
                <a:lnTo>
                  <a:pt x="323648" y="715801"/>
                </a:lnTo>
                <a:lnTo>
                  <a:pt x="375184" y="700063"/>
                </a:lnTo>
                <a:lnTo>
                  <a:pt x="429501" y="681377"/>
                </a:lnTo>
                <a:lnTo>
                  <a:pt x="537498" y="642926"/>
                </a:lnTo>
                <a:lnTo>
                  <a:pt x="588726" y="624121"/>
                </a:lnTo>
                <a:lnTo>
                  <a:pt x="638412" y="604241"/>
                </a:lnTo>
                <a:lnTo>
                  <a:pt x="684940" y="582831"/>
                </a:lnTo>
                <a:lnTo>
                  <a:pt x="726694" y="559436"/>
                </a:lnTo>
                <a:lnTo>
                  <a:pt x="762057" y="533602"/>
                </a:lnTo>
                <a:lnTo>
                  <a:pt x="789413" y="504873"/>
                </a:lnTo>
                <a:lnTo>
                  <a:pt x="814323" y="436988"/>
                </a:lnTo>
                <a:lnTo>
                  <a:pt x="811532" y="398286"/>
                </a:lnTo>
                <a:lnTo>
                  <a:pt x="800007" y="357559"/>
                </a:lnTo>
                <a:lnTo>
                  <a:pt x="780984" y="315674"/>
                </a:lnTo>
                <a:lnTo>
                  <a:pt x="755699" y="273500"/>
                </a:lnTo>
                <a:lnTo>
                  <a:pt x="725386" y="231904"/>
                </a:lnTo>
                <a:lnTo>
                  <a:pt x="691281" y="191756"/>
                </a:lnTo>
                <a:lnTo>
                  <a:pt x="654619" y="153924"/>
                </a:lnTo>
                <a:lnTo>
                  <a:pt x="610981" y="114522"/>
                </a:lnTo>
                <a:lnTo>
                  <a:pt x="566088" y="79896"/>
                </a:lnTo>
                <a:lnTo>
                  <a:pt x="520302" y="50663"/>
                </a:lnTo>
                <a:lnTo>
                  <a:pt x="473985" y="27439"/>
                </a:lnTo>
                <a:lnTo>
                  <a:pt x="427498" y="10843"/>
                </a:lnTo>
                <a:lnTo>
                  <a:pt x="381206" y="1491"/>
                </a:lnTo>
                <a:lnTo>
                  <a:pt x="335468" y="0"/>
                </a:lnTo>
                <a:close/>
              </a:path>
            </a:pathLst>
          </a:custGeom>
          <a:solidFill>
            <a:srgbClr val="FACDA6"/>
          </a:solidFill>
        </xdr:spPr>
        <xdr:txBody>
          <a:bodyPr wrap="square" lIns="0" tIns="0" rIns="0" bIns="0" rtlCol="0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/>
          </a:p>
        </xdr:txBody>
      </xdr:sp>
      <xdr:sp macro="" textlink="">
        <xdr:nvSpPr>
          <xdr:cNvPr id="1111" name="object 66">
            <a:extLst>
              <a:ext uri="{FF2B5EF4-FFF2-40B4-BE49-F238E27FC236}">
                <a16:creationId xmlns:a16="http://schemas.microsoft.com/office/drawing/2014/main" id="{5868C49E-9114-46FE-A1BC-EE84E6C71639}"/>
              </a:ext>
            </a:extLst>
          </xdr:cNvPr>
          <xdr:cNvSpPr/>
        </xdr:nvSpPr>
        <xdr:spPr>
          <a:xfrm>
            <a:off x="5088127" y="7205827"/>
            <a:ext cx="250825" cy="603250"/>
          </a:xfrm>
          <a:custGeom>
            <a:avLst/>
            <a:gdLst/>
            <a:ahLst/>
            <a:cxnLst/>
            <a:rect l="l" t="t" r="r" b="b"/>
            <a:pathLst>
              <a:path w="250825" h="603250">
                <a:moveTo>
                  <a:pt x="111887" y="0"/>
                </a:moveTo>
                <a:lnTo>
                  <a:pt x="3556" y="42189"/>
                </a:lnTo>
                <a:lnTo>
                  <a:pt x="0" y="390563"/>
                </a:lnTo>
                <a:lnTo>
                  <a:pt x="33020" y="415239"/>
                </a:lnTo>
                <a:lnTo>
                  <a:pt x="105537" y="311061"/>
                </a:lnTo>
                <a:lnTo>
                  <a:pt x="60198" y="602386"/>
                </a:lnTo>
                <a:lnTo>
                  <a:pt x="60579" y="602881"/>
                </a:lnTo>
                <a:lnTo>
                  <a:pt x="250444" y="217055"/>
                </a:lnTo>
                <a:lnTo>
                  <a:pt x="213487" y="189166"/>
                </a:lnTo>
                <a:lnTo>
                  <a:pt x="88646" y="263728"/>
                </a:lnTo>
                <a:lnTo>
                  <a:pt x="168148" y="43065"/>
                </a:lnTo>
                <a:lnTo>
                  <a:pt x="111887" y="0"/>
                </a:lnTo>
                <a:close/>
              </a:path>
            </a:pathLst>
          </a:custGeom>
          <a:solidFill>
            <a:srgbClr val="BB550E"/>
          </a:solidFill>
        </xdr:spPr>
        <xdr:txBody>
          <a:bodyPr wrap="square" lIns="0" tIns="0" rIns="0" bIns="0" rtlCol="0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/>
          </a:p>
        </xdr:txBody>
      </xdr:sp>
      <xdr:sp macro="" textlink="">
        <xdr:nvSpPr>
          <xdr:cNvPr id="1112" name="object 67">
            <a:extLst>
              <a:ext uri="{FF2B5EF4-FFF2-40B4-BE49-F238E27FC236}">
                <a16:creationId xmlns:a16="http://schemas.microsoft.com/office/drawing/2014/main" id="{E898F3F1-B514-4473-8B25-3E4CE5C30719}"/>
              </a:ext>
            </a:extLst>
          </xdr:cNvPr>
          <xdr:cNvSpPr/>
        </xdr:nvSpPr>
        <xdr:spPr>
          <a:xfrm>
            <a:off x="5092699" y="7205891"/>
            <a:ext cx="164465" cy="96520"/>
          </a:xfrm>
          <a:custGeom>
            <a:avLst/>
            <a:gdLst/>
            <a:ahLst/>
            <a:cxnLst/>
            <a:rect l="l" t="t" r="r" b="b"/>
            <a:pathLst>
              <a:path w="164464" h="96520">
                <a:moveTo>
                  <a:pt x="107696" y="0"/>
                </a:moveTo>
                <a:lnTo>
                  <a:pt x="0" y="41808"/>
                </a:lnTo>
                <a:lnTo>
                  <a:pt x="71500" y="96367"/>
                </a:lnTo>
                <a:lnTo>
                  <a:pt x="158241" y="58712"/>
                </a:lnTo>
                <a:lnTo>
                  <a:pt x="164084" y="42621"/>
                </a:lnTo>
                <a:lnTo>
                  <a:pt x="107696" y="0"/>
                </a:lnTo>
                <a:close/>
              </a:path>
            </a:pathLst>
          </a:custGeom>
          <a:solidFill>
            <a:srgbClr val="EBAD84"/>
          </a:solidFill>
        </xdr:spPr>
        <xdr:txBody>
          <a:bodyPr wrap="square" lIns="0" tIns="0" rIns="0" bIns="0" rtlCol="0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/>
          </a:p>
        </xdr:txBody>
      </xdr:sp>
      <xdr:sp macro="" textlink="">
        <xdr:nvSpPr>
          <xdr:cNvPr id="1113" name="object 68">
            <a:extLst>
              <a:ext uri="{FF2B5EF4-FFF2-40B4-BE49-F238E27FC236}">
                <a16:creationId xmlns:a16="http://schemas.microsoft.com/office/drawing/2014/main" id="{1D7CF288-3072-40FD-B164-028419697BA7}"/>
              </a:ext>
            </a:extLst>
          </xdr:cNvPr>
          <xdr:cNvSpPr/>
        </xdr:nvSpPr>
        <xdr:spPr>
          <a:xfrm>
            <a:off x="5088509" y="7341743"/>
            <a:ext cx="250825" cy="327660"/>
          </a:xfrm>
          <a:custGeom>
            <a:avLst/>
            <a:gdLst/>
            <a:ahLst/>
            <a:cxnLst/>
            <a:rect l="l" t="t" r="r" b="b"/>
            <a:pathLst>
              <a:path w="250825" h="327659">
                <a:moveTo>
                  <a:pt x="52324" y="171272"/>
                </a:moveTo>
                <a:lnTo>
                  <a:pt x="1270" y="132499"/>
                </a:lnTo>
                <a:lnTo>
                  <a:pt x="0" y="255155"/>
                </a:lnTo>
                <a:lnTo>
                  <a:pt x="4953" y="258508"/>
                </a:lnTo>
                <a:lnTo>
                  <a:pt x="33528" y="279882"/>
                </a:lnTo>
                <a:lnTo>
                  <a:pt x="46228" y="261645"/>
                </a:lnTo>
                <a:lnTo>
                  <a:pt x="52324" y="171272"/>
                </a:lnTo>
                <a:close/>
              </a:path>
              <a:path w="250825" h="327659">
                <a:moveTo>
                  <a:pt x="59182" y="43192"/>
                </a:moveTo>
                <a:lnTo>
                  <a:pt x="2032" y="0"/>
                </a:lnTo>
                <a:lnTo>
                  <a:pt x="1651" y="69380"/>
                </a:lnTo>
                <a:lnTo>
                  <a:pt x="55499" y="110312"/>
                </a:lnTo>
                <a:lnTo>
                  <a:pt x="59182" y="43192"/>
                </a:lnTo>
                <a:close/>
              </a:path>
              <a:path w="250825" h="327659">
                <a:moveTo>
                  <a:pt x="149860" y="228485"/>
                </a:moveTo>
                <a:lnTo>
                  <a:pt x="102870" y="192951"/>
                </a:lnTo>
                <a:lnTo>
                  <a:pt x="86106" y="299618"/>
                </a:lnTo>
                <a:lnTo>
                  <a:pt x="123063" y="327507"/>
                </a:lnTo>
                <a:lnTo>
                  <a:pt x="149860" y="228485"/>
                </a:lnTo>
                <a:close/>
              </a:path>
              <a:path w="250825" h="327659">
                <a:moveTo>
                  <a:pt x="189484" y="138442"/>
                </a:moveTo>
                <a:lnTo>
                  <a:pt x="136525" y="98056"/>
                </a:lnTo>
                <a:lnTo>
                  <a:pt x="86868" y="127584"/>
                </a:lnTo>
                <a:lnTo>
                  <a:pt x="132842" y="162064"/>
                </a:lnTo>
                <a:lnTo>
                  <a:pt x="189484" y="138442"/>
                </a:lnTo>
                <a:close/>
              </a:path>
              <a:path w="250825" h="327659">
                <a:moveTo>
                  <a:pt x="250444" y="81648"/>
                </a:moveTo>
                <a:lnTo>
                  <a:pt x="212979" y="53682"/>
                </a:lnTo>
                <a:lnTo>
                  <a:pt x="177546" y="74968"/>
                </a:lnTo>
                <a:lnTo>
                  <a:pt x="233045" y="117017"/>
                </a:lnTo>
                <a:lnTo>
                  <a:pt x="250444" y="81648"/>
                </a:lnTo>
                <a:close/>
              </a:path>
            </a:pathLst>
          </a:custGeom>
          <a:solidFill>
            <a:srgbClr val="BB550E"/>
          </a:solidFill>
        </xdr:spPr>
        <xdr:txBody>
          <a:bodyPr wrap="square" lIns="0" tIns="0" rIns="0" bIns="0" rtlCol="0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/>
          </a:p>
        </xdr:txBody>
      </xdr:sp>
      <xdr:pic>
        <xdr:nvPicPr>
          <xdr:cNvPr id="1114" name="object 69">
            <a:extLst>
              <a:ext uri="{FF2B5EF4-FFF2-40B4-BE49-F238E27FC236}">
                <a16:creationId xmlns:a16="http://schemas.microsoft.com/office/drawing/2014/main" id="{CB11F33C-8B36-47F7-972B-16A75405F2AF}"/>
              </a:ext>
            </a:extLst>
          </xdr:cNvPr>
          <xdr:cNvPicPr/>
        </xdr:nvPicPr>
        <xdr:blipFill>
          <a:blip xmlns:r="http://schemas.openxmlformats.org/officeDocument/2006/relationships" r:embed="rId24" cstate="print"/>
          <a:stretch>
            <a:fillRect/>
          </a:stretch>
        </xdr:blipFill>
        <xdr:spPr>
          <a:xfrm>
            <a:off x="5121020" y="7248538"/>
            <a:ext cx="217931" cy="560196"/>
          </a:xfrm>
          <a:prstGeom prst="rect">
            <a:avLst/>
          </a:prstGeom>
        </xdr:spPr>
      </xdr:pic>
    </xdr:grpSp>
    <xdr:clientData/>
  </xdr:twoCellAnchor>
  <xdr:twoCellAnchor>
    <xdr:from>
      <xdr:col>43</xdr:col>
      <xdr:colOff>42108</xdr:colOff>
      <xdr:row>31</xdr:row>
      <xdr:rowOff>12156</xdr:rowOff>
    </xdr:from>
    <xdr:to>
      <xdr:col>66</xdr:col>
      <xdr:colOff>22005</xdr:colOff>
      <xdr:row>31</xdr:row>
      <xdr:rowOff>12156</xdr:rowOff>
    </xdr:to>
    <xdr:cxnSp macro="">
      <xdr:nvCxnSpPr>
        <xdr:cNvPr id="221" name="Conector reto 220">
          <a:extLst>
            <a:ext uri="{FF2B5EF4-FFF2-40B4-BE49-F238E27FC236}">
              <a16:creationId xmlns:a16="http://schemas.microsoft.com/office/drawing/2014/main" id="{F42A2B0C-A75C-4EED-B648-51D5DA5AB2CE}"/>
            </a:ext>
          </a:extLst>
        </xdr:cNvPr>
        <xdr:cNvCxnSpPr/>
      </xdr:nvCxnSpPr>
      <xdr:spPr>
        <a:xfrm flipH="1">
          <a:off x="5366583" y="4146006"/>
          <a:ext cx="2827872" cy="0"/>
        </a:xfrm>
        <a:prstGeom prst="line">
          <a:avLst/>
        </a:prstGeom>
        <a:ln w="9525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43</xdr:col>
      <xdr:colOff>43196</xdr:colOff>
      <xdr:row>18</xdr:row>
      <xdr:rowOff>47802</xdr:rowOff>
    </xdr:from>
    <xdr:to>
      <xdr:col>66</xdr:col>
      <xdr:colOff>20784</xdr:colOff>
      <xdr:row>18</xdr:row>
      <xdr:rowOff>47802</xdr:rowOff>
    </xdr:to>
    <xdr:cxnSp macro="">
      <xdr:nvCxnSpPr>
        <xdr:cNvPr id="222" name="Conector reto 221">
          <a:extLst>
            <a:ext uri="{FF2B5EF4-FFF2-40B4-BE49-F238E27FC236}">
              <a16:creationId xmlns:a16="http://schemas.microsoft.com/office/drawing/2014/main" id="{94D1973E-F9DC-47A1-BC91-14E80A3A0EF3}"/>
            </a:ext>
          </a:extLst>
        </xdr:cNvPr>
        <xdr:cNvCxnSpPr/>
      </xdr:nvCxnSpPr>
      <xdr:spPr>
        <a:xfrm flipH="1">
          <a:off x="5367671" y="2448102"/>
          <a:ext cx="2825563" cy="0"/>
        </a:xfrm>
        <a:prstGeom prst="line">
          <a:avLst/>
        </a:prstGeom>
        <a:ln w="9525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50569</xdr:colOff>
      <xdr:row>34</xdr:row>
      <xdr:rowOff>19629</xdr:rowOff>
    </xdr:from>
    <xdr:to>
      <xdr:col>60</xdr:col>
      <xdr:colOff>103909</xdr:colOff>
      <xdr:row>35</xdr:row>
      <xdr:rowOff>27711</xdr:rowOff>
    </xdr:to>
    <xdr:sp macro="" textlink="">
      <xdr:nvSpPr>
        <xdr:cNvPr id="651" name="Retângulo 22">
          <a:extLst>
            <a:ext uri="{FF2B5EF4-FFF2-40B4-BE49-F238E27FC236}">
              <a16:creationId xmlns:a16="http://schemas.microsoft.com/office/drawing/2014/main" id="{561240BD-0397-48B1-B839-5FDB3417CD3E}"/>
            </a:ext>
          </a:extLst>
        </xdr:cNvPr>
        <xdr:cNvSpPr/>
      </xdr:nvSpPr>
      <xdr:spPr>
        <a:xfrm>
          <a:off x="4054533" y="4494647"/>
          <a:ext cx="3115194" cy="1397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200">
              <a:solidFill>
                <a:srgbClr val="F9F9F9"/>
              </a:solidFill>
            </a:rPr>
            <a:t>&gt;&gt;&gt;&gt;&gt;&gt;&gt;&gt;&gt;&gt;&gt;&gt;&gt;&gt;&gt;&gt;&gt;&gt;&gt;&gt;&gt;&gt;&gt;&gt;&gt;&gt;&gt;&gt;&gt;&gt;&gt;&gt;&gt;&gt;&gt;&gt;&gt;&gt;&gt;&gt;&gt;&gt;&gt;&gt;&gt;&gt;&gt;&gt;&gt;&gt;&gt;&gt;</a:t>
          </a:r>
        </a:p>
      </xdr:txBody>
    </xdr:sp>
    <xdr:clientData/>
  </xdr:twoCellAnchor>
  <xdr:twoCellAnchor>
    <xdr:from>
      <xdr:col>47</xdr:col>
      <xdr:colOff>98777</xdr:colOff>
      <xdr:row>3</xdr:row>
      <xdr:rowOff>70555</xdr:rowOff>
    </xdr:from>
    <xdr:to>
      <xdr:col>55</xdr:col>
      <xdr:colOff>49389</xdr:colOff>
      <xdr:row>6</xdr:row>
      <xdr:rowOff>7055</xdr:rowOff>
    </xdr:to>
    <xdr:sp macro="" textlink="Pivots!D35">
      <xdr:nvSpPr>
        <xdr:cNvPr id="8" name="Retângulo 7">
          <a:extLst>
            <a:ext uri="{FF2B5EF4-FFF2-40B4-BE49-F238E27FC236}">
              <a16:creationId xmlns:a16="http://schemas.microsoft.com/office/drawing/2014/main" id="{6DB8DEDF-410E-47A7-893E-5E7C809D963B}"/>
            </a:ext>
          </a:extLst>
        </xdr:cNvPr>
        <xdr:cNvSpPr/>
      </xdr:nvSpPr>
      <xdr:spPr>
        <a:xfrm>
          <a:off x="5072944" y="451555"/>
          <a:ext cx="797278" cy="317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fld id="{4EF48045-93BE-4D11-A64E-BDA55E225838}" type="TxLink">
            <a:rPr lang="en-US" sz="2200" b="1" i="0" u="none" strike="noStrike">
              <a:solidFill>
                <a:srgbClr val="F58220"/>
              </a:solidFill>
              <a:latin typeface="Roboto"/>
              <a:ea typeface="Roboto"/>
              <a:cs typeface="Roboto"/>
            </a:rPr>
            <a:pPr marL="0" indent="0" algn="ctr"/>
            <a:t> 325 </a:t>
          </a:fld>
          <a:endParaRPr lang="pt-BR" sz="2200" b="1" i="0" u="none" strike="noStrike">
            <a:solidFill>
              <a:srgbClr val="F58220"/>
            </a:solidFill>
            <a:latin typeface="Roboto"/>
            <a:ea typeface="+mn-ea"/>
            <a:cs typeface="Calibri"/>
          </a:endParaRPr>
        </a:p>
      </xdr:txBody>
    </xdr:sp>
    <xdr:clientData/>
  </xdr:twoCellAnchor>
  <xdr:twoCellAnchor>
    <xdr:from>
      <xdr:col>61</xdr:col>
      <xdr:colOff>91723</xdr:colOff>
      <xdr:row>3</xdr:row>
      <xdr:rowOff>84666</xdr:rowOff>
    </xdr:from>
    <xdr:to>
      <xdr:col>68</xdr:col>
      <xdr:colOff>91722</xdr:colOff>
      <xdr:row>6</xdr:row>
      <xdr:rowOff>21166</xdr:rowOff>
    </xdr:to>
    <xdr:sp macro="" textlink="Pivots!D36">
      <xdr:nvSpPr>
        <xdr:cNvPr id="14" name="Retângulo 13">
          <a:extLst>
            <a:ext uri="{FF2B5EF4-FFF2-40B4-BE49-F238E27FC236}">
              <a16:creationId xmlns:a16="http://schemas.microsoft.com/office/drawing/2014/main" id="{7459B611-0A5C-4F8F-956A-E0D23630552F}"/>
            </a:ext>
          </a:extLst>
        </xdr:cNvPr>
        <xdr:cNvSpPr/>
      </xdr:nvSpPr>
      <xdr:spPr>
        <a:xfrm>
          <a:off x="6547556" y="465666"/>
          <a:ext cx="740833" cy="317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fld id="{33F0B55B-F026-466F-AE15-5244F2E1B114}" type="TxLink">
            <a:rPr lang="en-US" sz="2200" b="1" i="0" u="none" strike="noStrike">
              <a:solidFill>
                <a:srgbClr val="F58220"/>
              </a:solidFill>
              <a:latin typeface="Roboto"/>
              <a:ea typeface="Roboto"/>
              <a:cs typeface="Roboto"/>
            </a:rPr>
            <a:pPr marL="0" indent="0" algn="ctr"/>
            <a:t> 315 </a:t>
          </a:fld>
          <a:endParaRPr lang="pt-BR" sz="2200" b="1" i="0" u="none" strike="noStrike">
            <a:solidFill>
              <a:srgbClr val="F58220"/>
            </a:solidFill>
            <a:latin typeface="Roboto"/>
            <a:ea typeface="+mn-ea"/>
            <a:cs typeface="Calibri"/>
          </a:endParaRPr>
        </a:p>
      </xdr:txBody>
    </xdr:sp>
    <xdr:clientData/>
  </xdr:twoCellAnchor>
  <xdr:twoCellAnchor>
    <xdr:from>
      <xdr:col>0</xdr:col>
      <xdr:colOff>70556</xdr:colOff>
      <xdr:row>36</xdr:row>
      <xdr:rowOff>84666</xdr:rowOff>
    </xdr:from>
    <xdr:to>
      <xdr:col>9</xdr:col>
      <xdr:colOff>91722</xdr:colOff>
      <xdr:row>39</xdr:row>
      <xdr:rowOff>84666</xdr:rowOff>
    </xdr:to>
    <xdr:sp macro="" textlink="Pivots!F172">
      <xdr:nvSpPr>
        <xdr:cNvPr id="18" name="Retângulo 192">
          <a:extLst>
            <a:ext uri="{FF2B5EF4-FFF2-40B4-BE49-F238E27FC236}">
              <a16:creationId xmlns:a16="http://schemas.microsoft.com/office/drawing/2014/main" id="{21F5E76D-D135-447D-B2AC-5382C94AFBDA}"/>
            </a:ext>
          </a:extLst>
        </xdr:cNvPr>
        <xdr:cNvSpPr/>
      </xdr:nvSpPr>
      <xdr:spPr>
        <a:xfrm>
          <a:off x="70556" y="4656666"/>
          <a:ext cx="973666" cy="381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fld id="{13A1FA37-BFA3-4EE0-9414-659D9154BF80}" type="TxLink">
            <a:rPr lang="en-US" sz="1200" b="1" i="0" u="none" strike="noStrike">
              <a:solidFill>
                <a:srgbClr val="4B4F55"/>
              </a:solidFill>
              <a:latin typeface="Roboto"/>
              <a:ea typeface="Roboto"/>
              <a:cs typeface="Roboto"/>
            </a:rPr>
            <a:pPr algn="l"/>
            <a:t> R$373,3 </a:t>
          </a:fld>
          <a:endParaRPr lang="pt-BR" sz="1200" b="1">
            <a:solidFill>
              <a:srgbClr val="4B4F55"/>
            </a:solidFill>
          </a:endParaRPr>
        </a:p>
      </xdr:txBody>
    </xdr:sp>
    <xdr:clientData/>
  </xdr:twoCellAnchor>
  <xdr:twoCellAnchor>
    <xdr:from>
      <xdr:col>69</xdr:col>
      <xdr:colOff>7055</xdr:colOff>
      <xdr:row>21</xdr:row>
      <xdr:rowOff>77620</xdr:rowOff>
    </xdr:from>
    <xdr:to>
      <xdr:col>93</xdr:col>
      <xdr:colOff>98777</xdr:colOff>
      <xdr:row>31</xdr:row>
      <xdr:rowOff>105841</xdr:rowOff>
    </xdr:to>
    <xdr:sp macro="" textlink="">
      <xdr:nvSpPr>
        <xdr:cNvPr id="17" name="Retângulo: Cantos Arredondados 16">
          <a:extLst>
            <a:ext uri="{FF2B5EF4-FFF2-40B4-BE49-F238E27FC236}">
              <a16:creationId xmlns:a16="http://schemas.microsoft.com/office/drawing/2014/main" id="{8C357160-8CBC-4D15-3B67-9C3F632A210F}"/>
            </a:ext>
          </a:extLst>
        </xdr:cNvPr>
        <xdr:cNvSpPr/>
      </xdr:nvSpPr>
      <xdr:spPr>
        <a:xfrm>
          <a:off x="7309555" y="2744620"/>
          <a:ext cx="2631722" cy="1298221"/>
        </a:xfrm>
        <a:prstGeom prst="roundRect">
          <a:avLst/>
        </a:prstGeom>
        <a:solidFill>
          <a:schemeClr val="bg1"/>
        </a:solidFill>
        <a:ln>
          <a:solidFill>
            <a:schemeClr val="bg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76</xdr:col>
      <xdr:colOff>7057</xdr:colOff>
      <xdr:row>22</xdr:row>
      <xdr:rowOff>85375</xdr:rowOff>
    </xdr:from>
    <xdr:to>
      <xdr:col>86</xdr:col>
      <xdr:colOff>95956</xdr:colOff>
      <xdr:row>26</xdr:row>
      <xdr:rowOff>40925</xdr:rowOff>
    </xdr:to>
    <xdr:sp macro="" textlink="">
      <xdr:nvSpPr>
        <xdr:cNvPr id="134" name="Retângulo: Cantos Diagonais Arredondados 133">
          <a:extLst>
            <a:ext uri="{FF2B5EF4-FFF2-40B4-BE49-F238E27FC236}">
              <a16:creationId xmlns:a16="http://schemas.microsoft.com/office/drawing/2014/main" id="{B16A4755-02DE-4A84-B018-D904EA835768}"/>
            </a:ext>
          </a:extLst>
        </xdr:cNvPr>
        <xdr:cNvSpPr/>
      </xdr:nvSpPr>
      <xdr:spPr>
        <a:xfrm>
          <a:off x="8280200" y="2879375"/>
          <a:ext cx="1177470" cy="463550"/>
        </a:xfrm>
        <a:prstGeom prst="round2DiagRect">
          <a:avLst>
            <a:gd name="adj1" fmla="val 0"/>
            <a:gd name="adj2" fmla="val 0"/>
          </a:avLst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rgbClr val="4B4F55"/>
              </a:solidFill>
              <a:latin typeface="Roboto" panose="02000000000000000000"/>
            </a:rPr>
            <a:t>Idade média do canavial</a:t>
          </a:r>
        </a:p>
      </xdr:txBody>
    </xdr:sp>
    <xdr:clientData/>
  </xdr:twoCellAnchor>
  <xdr:twoCellAnchor>
    <xdr:from>
      <xdr:col>78</xdr:col>
      <xdr:colOff>77612</xdr:colOff>
      <xdr:row>25</xdr:row>
      <xdr:rowOff>33081</xdr:rowOff>
    </xdr:from>
    <xdr:to>
      <xdr:col>87</xdr:col>
      <xdr:colOff>39014</xdr:colOff>
      <xdr:row>27</xdr:row>
      <xdr:rowOff>72675</xdr:rowOff>
    </xdr:to>
    <xdr:sp macro="" textlink="">
      <xdr:nvSpPr>
        <xdr:cNvPr id="138" name="Retângulo 137">
          <a:extLst>
            <a:ext uri="{FF2B5EF4-FFF2-40B4-BE49-F238E27FC236}">
              <a16:creationId xmlns:a16="http://schemas.microsoft.com/office/drawing/2014/main" id="{C15AB09C-034E-47EC-B5EB-8F45D553BF08}"/>
            </a:ext>
          </a:extLst>
        </xdr:cNvPr>
        <xdr:cNvSpPr/>
      </xdr:nvSpPr>
      <xdr:spPr>
        <a:xfrm>
          <a:off x="8332612" y="3208081"/>
          <a:ext cx="913902" cy="29359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000" b="0" i="0" u="none" strike="noStrike">
              <a:solidFill>
                <a:schemeClr val="bg1">
                  <a:lumMod val="50000"/>
                </a:schemeClr>
              </a:solidFill>
              <a:latin typeface="Roboto"/>
            </a:rPr>
            <a:t>(anos)</a:t>
          </a:r>
        </a:p>
      </xdr:txBody>
    </xdr:sp>
    <xdr:clientData/>
  </xdr:twoCellAnchor>
  <xdr:twoCellAnchor>
    <xdr:from>
      <xdr:col>77</xdr:col>
      <xdr:colOff>105832</xdr:colOff>
      <xdr:row>18</xdr:row>
      <xdr:rowOff>33161</xdr:rowOff>
    </xdr:from>
    <xdr:to>
      <xdr:col>84</xdr:col>
      <xdr:colOff>105832</xdr:colOff>
      <xdr:row>23</xdr:row>
      <xdr:rowOff>1411</xdr:rowOff>
    </xdr:to>
    <xdr:sp macro="" textlink="">
      <xdr:nvSpPr>
        <xdr:cNvPr id="72" name="Retângulo: Cantos Arredondados 71">
          <a:extLst>
            <a:ext uri="{FF2B5EF4-FFF2-40B4-BE49-F238E27FC236}">
              <a16:creationId xmlns:a16="http://schemas.microsoft.com/office/drawing/2014/main" id="{0E320813-8A68-47C2-8086-C52EFC0B730D}"/>
            </a:ext>
          </a:extLst>
        </xdr:cNvPr>
        <xdr:cNvSpPr/>
      </xdr:nvSpPr>
      <xdr:spPr>
        <a:xfrm>
          <a:off x="8254999" y="2319161"/>
          <a:ext cx="740833" cy="603250"/>
        </a:xfrm>
        <a:prstGeom prst="roundRect">
          <a:avLst>
            <a:gd name="adj" fmla="val 50000"/>
          </a:avLst>
        </a:prstGeom>
        <a:solidFill>
          <a:srgbClr val="4B4F55"/>
        </a:solidFill>
        <a:ln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400" b="1" i="1">
              <a:solidFill>
                <a:srgbClr val="F58220"/>
              </a:solidFill>
              <a:latin typeface="Roboto" panose="02000000000000000000"/>
            </a:rPr>
            <a:t> KPI</a:t>
          </a:r>
          <a:r>
            <a:rPr lang="pt-BR" sz="1400" b="1">
              <a:solidFill>
                <a:srgbClr val="F58220"/>
              </a:solidFill>
              <a:latin typeface="Roboto" panose="02000000000000000000"/>
            </a:rPr>
            <a:t>s</a:t>
          </a:r>
        </a:p>
        <a:p>
          <a:pPr algn="ctr"/>
          <a:endParaRPr lang="pt-BR" sz="1400" b="1">
            <a:solidFill>
              <a:srgbClr val="F58220"/>
            </a:solidFill>
            <a:latin typeface="Roboto" panose="02000000000000000000"/>
          </a:endParaRPr>
        </a:p>
      </xdr:txBody>
    </xdr:sp>
    <xdr:clientData/>
  </xdr:twoCellAnchor>
  <xdr:twoCellAnchor>
    <xdr:from>
      <xdr:col>77</xdr:col>
      <xdr:colOff>14111</xdr:colOff>
      <xdr:row>19</xdr:row>
      <xdr:rowOff>74078</xdr:rowOff>
    </xdr:from>
    <xdr:to>
      <xdr:col>86</xdr:col>
      <xdr:colOff>20461</xdr:colOff>
      <xdr:row>21</xdr:row>
      <xdr:rowOff>93128</xdr:rowOff>
    </xdr:to>
    <xdr:sp macro="" textlink="Pivots!D11">
      <xdr:nvSpPr>
        <xdr:cNvPr id="136" name="Retângulo 135">
          <a:extLst>
            <a:ext uri="{FF2B5EF4-FFF2-40B4-BE49-F238E27FC236}">
              <a16:creationId xmlns:a16="http://schemas.microsoft.com/office/drawing/2014/main" id="{3C5F7057-B7B6-4FCE-BC7A-CB358D59AB09}"/>
            </a:ext>
          </a:extLst>
        </xdr:cNvPr>
        <xdr:cNvSpPr/>
      </xdr:nvSpPr>
      <xdr:spPr>
        <a:xfrm>
          <a:off x="8163278" y="2487078"/>
          <a:ext cx="958850" cy="2730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7AF1DAAE-3318-41DB-BE16-584C21D8AC59}" type="TxLink">
            <a:rPr lang="en-US" sz="800" b="0" i="0" u="none" strike="noStrike">
              <a:solidFill>
                <a:schemeClr val="bg1"/>
              </a:solidFill>
              <a:latin typeface="Roboto"/>
            </a:rPr>
            <a:pPr algn="ctr"/>
            <a:t>SAFRA 24/25</a:t>
          </a:fld>
          <a:endParaRPr lang="pt-BR" sz="800" b="0">
            <a:solidFill>
              <a:schemeClr val="bg1"/>
            </a:solidFill>
          </a:endParaRPr>
        </a:p>
      </xdr:txBody>
    </xdr:sp>
    <xdr:clientData/>
  </xdr:twoCellAnchor>
  <xdr:twoCellAnchor>
    <xdr:from>
      <xdr:col>78</xdr:col>
      <xdr:colOff>69490</xdr:colOff>
      <xdr:row>26</xdr:row>
      <xdr:rowOff>8468</xdr:rowOff>
    </xdr:from>
    <xdr:to>
      <xdr:col>83</xdr:col>
      <xdr:colOff>56350</xdr:colOff>
      <xdr:row>31</xdr:row>
      <xdr:rowOff>102811</xdr:rowOff>
    </xdr:to>
    <xdr:sp macro="" textlink="">
      <xdr:nvSpPr>
        <xdr:cNvPr id="153" name="Igual a 152">
          <a:extLst>
            <a:ext uri="{FF2B5EF4-FFF2-40B4-BE49-F238E27FC236}">
              <a16:creationId xmlns:a16="http://schemas.microsoft.com/office/drawing/2014/main" id="{5A9FEC6E-A10F-4ED0-8A89-6C873E09A0B9}"/>
            </a:ext>
          </a:extLst>
        </xdr:cNvPr>
        <xdr:cNvSpPr/>
      </xdr:nvSpPr>
      <xdr:spPr>
        <a:xfrm>
          <a:off x="8489590" y="3310468"/>
          <a:ext cx="526610" cy="729343"/>
        </a:xfrm>
        <a:prstGeom prst="mathEqual">
          <a:avLst>
            <a:gd name="adj1" fmla="val 0"/>
            <a:gd name="adj2" fmla="val 42087"/>
          </a:avLst>
        </a:prstGeom>
        <a:solidFill>
          <a:srgbClr val="007960"/>
        </a:solidFill>
        <a:ln w="9525"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  <xdr:twoCellAnchor>
    <xdr:from>
      <xdr:col>44</xdr:col>
      <xdr:colOff>63905</xdr:colOff>
      <xdr:row>30</xdr:row>
      <xdr:rowOff>103233</xdr:rowOff>
    </xdr:from>
    <xdr:to>
      <xdr:col>53</xdr:col>
      <xdr:colOff>13852</xdr:colOff>
      <xdr:row>33</xdr:row>
      <xdr:rowOff>15827</xdr:rowOff>
    </xdr:to>
    <xdr:sp macro="" textlink="">
      <xdr:nvSpPr>
        <xdr:cNvPr id="219" name="Retângulo 218">
          <a:extLst>
            <a:ext uri="{FF2B5EF4-FFF2-40B4-BE49-F238E27FC236}">
              <a16:creationId xmlns:a16="http://schemas.microsoft.com/office/drawing/2014/main" id="{ED781447-9340-4969-969A-9239A475E03C}"/>
            </a:ext>
          </a:extLst>
        </xdr:cNvPr>
        <xdr:cNvSpPr/>
      </xdr:nvSpPr>
      <xdr:spPr>
        <a:xfrm>
          <a:off x="4813705" y="3913233"/>
          <a:ext cx="921497" cy="29359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000" b="0" i="0" u="none" strike="noStrike">
              <a:solidFill>
                <a:schemeClr val="bg1">
                  <a:lumMod val="50000"/>
                </a:schemeClr>
              </a:solidFill>
              <a:latin typeface="Roboto"/>
            </a:rPr>
            <a:t>(mil</a:t>
          </a:r>
          <a:r>
            <a:rPr lang="en-US" sz="1000" b="0" i="0" u="none" strike="noStrike" baseline="0">
              <a:solidFill>
                <a:schemeClr val="bg1">
                  <a:lumMod val="50000"/>
                </a:schemeClr>
              </a:solidFill>
              <a:latin typeface="Roboto"/>
            </a:rPr>
            <a:t> sacas</a:t>
          </a:r>
          <a:r>
            <a:rPr lang="en-US" sz="1000" b="0" i="0" u="none" strike="noStrike">
              <a:solidFill>
                <a:schemeClr val="bg1">
                  <a:lumMod val="50000"/>
                </a:schemeClr>
              </a:solidFill>
              <a:latin typeface="Roboto"/>
            </a:rPr>
            <a:t>)</a:t>
          </a:r>
        </a:p>
      </xdr:txBody>
    </xdr:sp>
    <xdr:clientData/>
  </xdr:twoCellAnchor>
  <xdr:twoCellAnchor>
    <xdr:from>
      <xdr:col>53</xdr:col>
      <xdr:colOff>19050</xdr:colOff>
      <xdr:row>28</xdr:row>
      <xdr:rowOff>82550</xdr:rowOff>
    </xdr:from>
    <xdr:to>
      <xdr:col>66</xdr:col>
      <xdr:colOff>88900</xdr:colOff>
      <xdr:row>31</xdr:row>
      <xdr:rowOff>82551</xdr:rowOff>
    </xdr:to>
    <xdr:sp macro="" textlink="Pivots!C124">
      <xdr:nvSpPr>
        <xdr:cNvPr id="28" name="Retângulo 27">
          <a:extLst>
            <a:ext uri="{FF2B5EF4-FFF2-40B4-BE49-F238E27FC236}">
              <a16:creationId xmlns:a16="http://schemas.microsoft.com/office/drawing/2014/main" id="{BF119391-F0DE-4A24-8346-99827B091AE8}"/>
            </a:ext>
          </a:extLst>
        </xdr:cNvPr>
        <xdr:cNvSpPr/>
      </xdr:nvSpPr>
      <xdr:spPr>
        <a:xfrm>
          <a:off x="5740400" y="3638550"/>
          <a:ext cx="1473200" cy="38100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r"/>
          <a:fld id="{887B49EB-54B2-4FC9-95D5-1B28576E034F}" type="TxLink">
            <a:rPr lang="en-US" sz="2000" b="1" i="0" u="none" strike="noStrike">
              <a:solidFill>
                <a:srgbClr val="4B4F55"/>
              </a:solidFill>
              <a:latin typeface="Roboto"/>
              <a:ea typeface="+mn-ea"/>
              <a:cs typeface="+mn-cs"/>
            </a:rPr>
            <a:pPr marL="0" indent="0" algn="r"/>
            <a:t> 87 </a:t>
          </a:fld>
          <a:endParaRPr lang="pt-BR" sz="2000" b="1" i="0" u="none" strike="noStrike">
            <a:solidFill>
              <a:srgbClr val="4B4F55"/>
            </a:solidFill>
            <a:latin typeface="Roboto"/>
            <a:ea typeface="+mn-ea"/>
            <a:cs typeface="+mn-cs"/>
          </a:endParaRPr>
        </a:p>
      </xdr:txBody>
    </xdr:sp>
    <xdr:clientData/>
  </xdr:twoCellAnchor>
  <xdr:twoCellAnchor editAs="oneCell">
    <xdr:from>
      <xdr:col>39</xdr:col>
      <xdr:colOff>59639</xdr:colOff>
      <xdr:row>29</xdr:row>
      <xdr:rowOff>44698</xdr:rowOff>
    </xdr:from>
    <xdr:to>
      <xdr:col>43</xdr:col>
      <xdr:colOff>0</xdr:colOff>
      <xdr:row>32</xdr:row>
      <xdr:rowOff>22412</xdr:rowOff>
    </xdr:to>
    <xdr:pic>
      <xdr:nvPicPr>
        <xdr:cNvPr id="32" name="Imagem 31" descr="Uma imagem contendo flor, medidor, relógio&#10;&#10;Descrição gerada automaticamente">
          <a:extLst>
            <a:ext uri="{FF2B5EF4-FFF2-40B4-BE49-F238E27FC236}">
              <a16:creationId xmlns:a16="http://schemas.microsoft.com/office/drawing/2014/main" id="{2B6EF4E3-56DA-B7D1-2E75-F780B8CA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8580" y="3727698"/>
          <a:ext cx="358714" cy="358714"/>
        </a:xfrm>
        <a:prstGeom prst="rect">
          <a:avLst/>
        </a:prstGeom>
      </xdr:spPr>
    </xdr:pic>
    <xdr:clientData/>
  </xdr:twoCellAnchor>
  <xdr:twoCellAnchor>
    <xdr:from>
      <xdr:col>75</xdr:col>
      <xdr:colOff>37354</xdr:colOff>
      <xdr:row>27</xdr:row>
      <xdr:rowOff>104589</xdr:rowOff>
    </xdr:from>
    <xdr:to>
      <xdr:col>87</xdr:col>
      <xdr:colOff>40529</xdr:colOff>
      <xdr:row>30</xdr:row>
      <xdr:rowOff>22039</xdr:rowOff>
    </xdr:to>
    <xdr:sp macro="" textlink="Pivots!E150">
      <xdr:nvSpPr>
        <xdr:cNvPr id="20" name="Retângulo 19">
          <a:extLst>
            <a:ext uri="{FF2B5EF4-FFF2-40B4-BE49-F238E27FC236}">
              <a16:creationId xmlns:a16="http://schemas.microsoft.com/office/drawing/2014/main" id="{8589A2A2-8EAC-4C91-A1F2-C85C9114D1AA}"/>
            </a:ext>
          </a:extLst>
        </xdr:cNvPr>
        <xdr:cNvSpPr/>
      </xdr:nvSpPr>
      <xdr:spPr>
        <a:xfrm>
          <a:off x="7881472" y="3533589"/>
          <a:ext cx="1258233" cy="298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 b="1">
              <a:solidFill>
                <a:srgbClr val="4B4F55"/>
              </a:solidFill>
              <a:latin typeface="Roboto" panose="02000000000000000000"/>
            </a:rPr>
            <a:t>3,1</a:t>
          </a:r>
        </a:p>
      </xdr:txBody>
    </xdr:sp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OnLoad="1" refreshedBy="Thiago da Silveira Leal" refreshedDate="45518.737734374998" missingItemsLimit="0" createdVersion="6" refreshedVersion="8" minRefreshableVersion="3" recordCount="272" xr:uid="{3A0FA65B-9F7F-400D-91A9-A6B1264EDFC0}">
  <cacheSource type="worksheet">
    <worksheetSource name="Tabela14"/>
  </cacheSource>
  <cacheFields count="8">
    <cacheField name="Aba" numFmtId="0">
      <sharedItems containsBlank="1" count="8">
        <s v="Performance"/>
        <m/>
        <s v="Agrícola"/>
        <s v="Dados operacionais (produção)"/>
        <s v="Capacidades"/>
        <s v="Capex"/>
        <s v="Endividamento"/>
        <s v="Apresentação Inst."/>
      </sharedItems>
    </cacheField>
    <cacheField name="Tema" numFmtId="0">
      <sharedItems containsBlank="1" count="18">
        <s v="Receita Líquida"/>
        <m/>
        <s v="Rendimentos Agrícolas"/>
        <s v="Biomassa"/>
        <s v="Origem da Cana Moída"/>
        <s v="Moagem"/>
        <s v="Capex"/>
        <s v="Período de Safra"/>
        <s v="Dívida Sênior"/>
        <s v="EBITDA"/>
        <s v="Área de corte - cana própria"/>
        <s v="Cogeração de energia"/>
        <s v="Visão Geral das Operações"/>
        <s v="Capacidade de produção"/>
        <s v="Açúcar Total"/>
        <s v="Anidro"/>
        <s v="Hidratado"/>
        <s v="Soja"/>
      </sharedItems>
    </cacheField>
    <cacheField name="Descrição" numFmtId="0">
      <sharedItems containsBlank="1" count="33">
        <s v="Açúcar (Mercado doméstico)"/>
        <s v="Açúcar (Mercado externo)"/>
        <m/>
        <s v="Outros"/>
        <s v="ATR Kg/Ton."/>
        <s v="Biomassa"/>
        <s v="Cana de fornecedores (terceiros)"/>
        <s v="Cana Própria"/>
        <s v="Capacidade de moagem média por safra"/>
        <s v="Capex total"/>
        <s v="Data de final de Safra"/>
        <s v="Data de início de Safra"/>
        <s v="Dias de Safra"/>
        <s v="Dívida líquida"/>
        <s v="EBITDA"/>
        <s v="Energia Elétrica"/>
        <s v="Etanol anidro"/>
        <s v="Etanol hidratado"/>
        <s v="Idade Média do Canavial"/>
        <s v="Manutenção"/>
        <s v="Melhoria Operacional"/>
        <s v="Modernização/Expansão"/>
        <s v="Potência Instalada"/>
        <s v="Processamento Total de Cana - Própria"/>
        <s v="Processamento Total de Cana - Terceirizada"/>
        <s v="Processamento Total de Cana - Total"/>
        <s v="Produção de açúcar"/>
        <s v="Produção de etanol"/>
        <s v="Produção total na safra"/>
        <s v="Rendimento Agrícola - Média"/>
        <s v="Total de ATR / ha"/>
        <s v="Total de energia exportada"/>
        <s v="Produção total de Soja na safra"/>
      </sharedItems>
    </cacheField>
    <cacheField name="Unidades" numFmtId="0">
      <sharedItems containsBlank="1"/>
    </cacheField>
    <cacheField name="Safra" numFmtId="0">
      <sharedItems containsBlank="1" count="8">
        <s v="18/19"/>
        <s v="19/20"/>
        <s v="20/21"/>
        <s v="21/22"/>
        <s v="22/23"/>
        <m/>
        <s v="23/24"/>
        <s v="24/25"/>
      </sharedItems>
    </cacheField>
    <cacheField name="Valores2" numFmtId="0">
      <sharedItems containsDate="1" containsString="0" containsBlank="1" containsMixedTypes="1" minDate="1899-12-31T00:00:00" maxDate="1900-01-02T13:57:05"/>
    </cacheField>
    <cacheField name="Check" numFmtId="0">
      <sharedItems containsBlank="1"/>
    </cacheField>
    <cacheField name="Coluna1" numFmtId="165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 pivotCacheId="867442086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2B05AA5-E405-4B59-91F7-EF8D69FEC5DB}" name="Tabela dinâmica13" cacheId="7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outline="1" outlineData="1" multipleFieldFilters="0">
  <location ref="B59:C61" firstHeaderRow="1" firstDataRow="2" firstDataCol="1" rowPageCount="2" colPageCount="1"/>
  <pivotFields count="8">
    <pivotField axis="axisPage" multipleItemSelectionAllowed="1" showAll="0">
      <items count="9">
        <item h="1" x="2"/>
        <item h="1" x="7"/>
        <item h="1" x="4"/>
        <item h="1" x="6"/>
        <item h="1" x="5"/>
        <item h="1" x="0"/>
        <item x="3"/>
        <item h="1" x="1"/>
        <item t="default"/>
      </items>
    </pivotField>
    <pivotField axis="axisPage" showAll="0">
      <items count="19">
        <item x="14"/>
        <item x="15"/>
        <item x="10"/>
        <item x="13"/>
        <item x="11"/>
        <item x="16"/>
        <item x="5"/>
        <item x="4"/>
        <item x="7"/>
        <item x="2"/>
        <item x="12"/>
        <item x="0"/>
        <item x="9"/>
        <item x="8"/>
        <item x="6"/>
        <item x="3"/>
        <item x="17"/>
        <item x="1"/>
        <item t="default"/>
      </items>
    </pivotField>
    <pivotField axis="axisRow" showAll="0">
      <items count="34">
        <item h="1" x="4"/>
        <item h="1" x="5"/>
        <item h="1" x="6"/>
        <item h="1" x="8"/>
        <item h="1" x="10"/>
        <item h="1" x="11"/>
        <item h="1" x="22"/>
        <item h="1" x="12"/>
        <item h="1" x="18"/>
        <item x="28"/>
        <item h="1" x="23"/>
        <item h="1" x="24"/>
        <item h="1" x="25"/>
        <item h="1" x="29"/>
        <item h="1" x="30"/>
        <item h="1" x="31"/>
        <item h="1" x="26"/>
        <item h="1" x="27"/>
        <item h="1" x="0"/>
        <item h="1" x="1"/>
        <item h="1" x="16"/>
        <item h="1" x="17"/>
        <item h="1" x="15"/>
        <item h="1" x="3"/>
        <item h="1" x="14"/>
        <item h="1" x="13"/>
        <item h="1" x="9"/>
        <item h="1" x="7"/>
        <item h="1" x="19"/>
        <item h="1" x="20"/>
        <item h="1" x="21"/>
        <item h="1" x="2"/>
        <item h="1" x="32"/>
        <item t="default"/>
      </items>
    </pivotField>
    <pivotField showAll="0"/>
    <pivotField axis="axisCol" showAll="0">
      <items count="9">
        <item h="1" x="1"/>
        <item h="1" x="0"/>
        <item h="1" x="2"/>
        <item h="1" x="3"/>
        <item h="1" x="4"/>
        <item h="1" x="6"/>
        <item h="1" x="5"/>
        <item x="7"/>
        <item t="default"/>
      </items>
    </pivotField>
    <pivotField dataField="1" showAll="0"/>
    <pivotField showAll="0"/>
    <pivotField showAll="0"/>
  </pivotFields>
  <rowFields count="1">
    <field x="2"/>
  </rowFields>
  <rowItems count="1">
    <i>
      <x v="9"/>
    </i>
  </rowItems>
  <colFields count="1">
    <field x="4"/>
  </colFields>
  <colItems count="1">
    <i>
      <x v="7"/>
    </i>
  </colItems>
  <pageFields count="2">
    <pageField fld="0" hier="-1"/>
    <pageField fld="1" item="0" hier="-1"/>
  </pageFields>
  <dataFields count="1">
    <dataField name="Soma de Valores2" fld="5" baseField="2" baseItem="56" numFmtId="167"/>
  </dataFields>
  <formats count="15">
    <format dxfId="306">
      <pivotArea outline="0" collapsedLevelsAreSubtotals="1" fieldPosition="0"/>
    </format>
    <format dxfId="305">
      <pivotArea type="all" dataOnly="0" outline="0" fieldPosition="0"/>
    </format>
    <format dxfId="304">
      <pivotArea outline="0" collapsedLevelsAreSubtotals="1" fieldPosition="0"/>
    </format>
    <format dxfId="303">
      <pivotArea type="origin" dataOnly="0" labelOnly="1" outline="0" fieldPosition="0"/>
    </format>
    <format dxfId="302">
      <pivotArea field="4" type="button" dataOnly="0" labelOnly="1" outline="0" axis="axisCol" fieldPosition="0"/>
    </format>
    <format dxfId="301">
      <pivotArea field="2" type="button" dataOnly="0" labelOnly="1" outline="0" axis="axisRow" fieldPosition="0"/>
    </format>
    <format dxfId="300">
      <pivotArea dataOnly="0" labelOnly="1" fieldPosition="0">
        <references count="1">
          <reference field="2" count="0"/>
        </references>
      </pivotArea>
    </format>
    <format dxfId="299">
      <pivotArea dataOnly="0" labelOnly="1" fieldPosition="0">
        <references count="1">
          <reference field="4" count="0"/>
        </references>
      </pivotArea>
    </format>
    <format dxfId="298">
      <pivotArea type="all" dataOnly="0" outline="0" fieldPosition="0"/>
    </format>
    <format dxfId="297">
      <pivotArea outline="0" collapsedLevelsAreSubtotals="1" fieldPosition="0"/>
    </format>
    <format dxfId="296">
      <pivotArea type="origin" dataOnly="0" labelOnly="1" outline="0" fieldPosition="0"/>
    </format>
    <format dxfId="295">
      <pivotArea field="4" type="button" dataOnly="0" labelOnly="1" outline="0" axis="axisCol" fieldPosition="0"/>
    </format>
    <format dxfId="294">
      <pivotArea field="2" type="button" dataOnly="0" labelOnly="1" outline="0" axis="axisRow" fieldPosition="0"/>
    </format>
    <format dxfId="293">
      <pivotArea dataOnly="0" labelOnly="1" fieldPosition="0">
        <references count="1">
          <reference field="2" count="0"/>
        </references>
      </pivotArea>
    </format>
    <format dxfId="292">
      <pivotArea dataOnly="0" labelOnly="1" fieldPosition="0">
        <references count="1">
          <reference field="4" count="0"/>
        </references>
      </pivotArea>
    </format>
  </formats>
  <pivotTableStyleInfo name="PivotStyleLight1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3311825-9357-4DC3-931D-D3162697CA8A}" name=" Etanol Anidro (m³)" cacheId="7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outline="1" outlineData="1" multipleFieldFilters="0">
  <location ref="B83:C85" firstHeaderRow="1" firstDataRow="2" firstDataCol="1" rowPageCount="2" colPageCount="1"/>
  <pivotFields count="8">
    <pivotField axis="axisPage" multipleItemSelectionAllowed="1" showAll="0">
      <items count="9">
        <item h="1" x="2"/>
        <item h="1" x="7"/>
        <item h="1" x="4"/>
        <item h="1" x="6"/>
        <item h="1" x="5"/>
        <item h="1" x="0"/>
        <item x="3"/>
        <item h="1" x="1"/>
        <item t="default"/>
      </items>
    </pivotField>
    <pivotField axis="axisPage" showAll="0">
      <items count="19">
        <item x="14"/>
        <item x="15"/>
        <item x="10"/>
        <item x="13"/>
        <item x="11"/>
        <item x="16"/>
        <item x="5"/>
        <item x="4"/>
        <item x="7"/>
        <item x="2"/>
        <item x="12"/>
        <item x="0"/>
        <item x="9"/>
        <item x="8"/>
        <item x="6"/>
        <item x="3"/>
        <item x="17"/>
        <item x="1"/>
        <item t="default"/>
      </items>
    </pivotField>
    <pivotField axis="axisRow" showAll="0">
      <items count="34">
        <item h="1" x="4"/>
        <item h="1" x="5"/>
        <item h="1" x="6"/>
        <item h="1" x="8"/>
        <item h="1" x="10"/>
        <item h="1" x="11"/>
        <item h="1" x="22"/>
        <item h="1" x="12"/>
        <item h="1" x="18"/>
        <item x="28"/>
        <item h="1" x="23"/>
        <item h="1" x="24"/>
        <item h="1" x="25"/>
        <item h="1" x="29"/>
        <item h="1" x="30"/>
        <item h="1" x="31"/>
        <item h="1" x="26"/>
        <item h="1" x="27"/>
        <item h="1" x="0"/>
        <item h="1" x="1"/>
        <item h="1" x="16"/>
        <item h="1" x="17"/>
        <item h="1" x="15"/>
        <item h="1" x="3"/>
        <item h="1" x="14"/>
        <item h="1" x="13"/>
        <item h="1" x="9"/>
        <item h="1" x="7"/>
        <item h="1" x="19"/>
        <item h="1" x="20"/>
        <item h="1" x="21"/>
        <item h="1" x="2"/>
        <item h="1" x="32"/>
        <item t="default"/>
      </items>
    </pivotField>
    <pivotField showAll="0"/>
    <pivotField axis="axisCol" showAll="0">
      <items count="9">
        <item h="1" x="1"/>
        <item h="1" x="0"/>
        <item h="1" x="2"/>
        <item h="1" x="3"/>
        <item h="1" x="4"/>
        <item h="1" x="6"/>
        <item h="1" x="5"/>
        <item x="7"/>
        <item t="default"/>
      </items>
    </pivotField>
    <pivotField dataField="1" showAll="0"/>
    <pivotField showAll="0"/>
    <pivotField showAll="0"/>
  </pivotFields>
  <rowFields count="1">
    <field x="2"/>
  </rowFields>
  <rowItems count="1">
    <i>
      <x v="9"/>
    </i>
  </rowItems>
  <colFields count="1">
    <field x="4"/>
  </colFields>
  <colItems count="1">
    <i>
      <x v="7"/>
    </i>
  </colItems>
  <pageFields count="2">
    <pageField fld="0" hier="-1"/>
    <pageField fld="1" item="1" hier="-1"/>
  </pageFields>
  <dataFields count="1">
    <dataField name="Soma de Valores2" fld="5" baseField="2" baseItem="56" numFmtId="167"/>
  </dataFields>
  <formats count="15">
    <format dxfId="465">
      <pivotArea outline="0" collapsedLevelsAreSubtotals="1" fieldPosition="0"/>
    </format>
    <format dxfId="464">
      <pivotArea type="all" dataOnly="0" outline="0" fieldPosition="0"/>
    </format>
    <format dxfId="463">
      <pivotArea outline="0" collapsedLevelsAreSubtotals="1" fieldPosition="0"/>
    </format>
    <format dxfId="462">
      <pivotArea type="origin" dataOnly="0" labelOnly="1" outline="0" fieldPosition="0"/>
    </format>
    <format dxfId="461">
      <pivotArea field="4" type="button" dataOnly="0" labelOnly="1" outline="0" axis="axisCol" fieldPosition="0"/>
    </format>
    <format dxfId="460">
      <pivotArea field="2" type="button" dataOnly="0" labelOnly="1" outline="0" axis="axisRow" fieldPosition="0"/>
    </format>
    <format dxfId="459">
      <pivotArea dataOnly="0" labelOnly="1" fieldPosition="0">
        <references count="1">
          <reference field="2" count="0"/>
        </references>
      </pivotArea>
    </format>
    <format dxfId="458">
      <pivotArea dataOnly="0" labelOnly="1" fieldPosition="0">
        <references count="1">
          <reference field="4" count="0"/>
        </references>
      </pivotArea>
    </format>
    <format dxfId="457">
      <pivotArea type="all" dataOnly="0" outline="0" fieldPosition="0"/>
    </format>
    <format dxfId="456">
      <pivotArea outline="0" collapsedLevelsAreSubtotals="1" fieldPosition="0"/>
    </format>
    <format dxfId="455">
      <pivotArea type="origin" dataOnly="0" labelOnly="1" outline="0" fieldPosition="0"/>
    </format>
    <format dxfId="454">
      <pivotArea field="4" type="button" dataOnly="0" labelOnly="1" outline="0" axis="axisCol" fieldPosition="0"/>
    </format>
    <format dxfId="453">
      <pivotArea field="2" type="button" dataOnly="0" labelOnly="1" outline="0" axis="axisRow" fieldPosition="0"/>
    </format>
    <format dxfId="452">
      <pivotArea dataOnly="0" labelOnly="1" fieldPosition="0">
        <references count="1">
          <reference field="2" count="0"/>
        </references>
      </pivotArea>
    </format>
    <format dxfId="451">
      <pivotArea dataOnly="0" labelOnly="1" fieldPosition="0">
        <references count="1">
          <reference field="4" count="0"/>
        </references>
      </pivotArea>
    </format>
  </formats>
  <pivotTableStyleInfo name="PivotStyleLight1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0EEB567-4A59-4C37-BF6E-1D9C33548B35}" name="Tabela dinâmica4" cacheId="7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outline="1" outlineData="1" multipleFieldFilters="0">
  <location ref="B114:C115" firstHeaderRow="1" firstDataRow="2" firstDataCol="1" rowPageCount="2" colPageCount="1"/>
  <pivotFields count="8">
    <pivotField axis="axisPage" multipleItemSelectionAllowed="1" showAll="0">
      <items count="9">
        <item h="1" x="2"/>
        <item h="1" x="7"/>
        <item h="1" x="4"/>
        <item h="1" x="6"/>
        <item h="1" x="5"/>
        <item h="1" x="0"/>
        <item x="3"/>
        <item h="1" x="1"/>
        <item t="default"/>
      </items>
    </pivotField>
    <pivotField axis="axisPage" multipleItemSelectionAllowed="1" showAll="0">
      <items count="19">
        <item x="14"/>
        <item h="1" x="15"/>
        <item h="1" x="10"/>
        <item h="1" x="13"/>
        <item h="1" x="11"/>
        <item h="1" x="16"/>
        <item h="1" x="5"/>
        <item h="1" x="4"/>
        <item h="1" x="7"/>
        <item h="1" x="2"/>
        <item h="1" x="12"/>
        <item h="1" x="0"/>
        <item h="1" x="9"/>
        <item h="1" x="8"/>
        <item h="1" x="6"/>
        <item h="1" x="3"/>
        <item h="1" x="17"/>
        <item h="1" x="1"/>
        <item t="default"/>
      </items>
    </pivotField>
    <pivotField axis="axisRow" showAll="0">
      <items count="34">
        <item x="4"/>
        <item h="1" x="5"/>
        <item h="1" x="6"/>
        <item h="1" x="8"/>
        <item h="1" x="10"/>
        <item h="1" x="11"/>
        <item h="1" x="22"/>
        <item h="1" x="12"/>
        <item h="1" x="18"/>
        <item h="1" x="28"/>
        <item h="1" x="23"/>
        <item h="1" x="24"/>
        <item h="1" x="25"/>
        <item h="1" x="29"/>
        <item h="1" x="30"/>
        <item h="1" x="31"/>
        <item h="1" x="26"/>
        <item h="1" x="27"/>
        <item h="1" x="0"/>
        <item h="1" x="1"/>
        <item h="1" x="16"/>
        <item h="1" x="17"/>
        <item h="1" x="15"/>
        <item h="1" x="3"/>
        <item h="1" x="14"/>
        <item h="1" x="13"/>
        <item h="1" x="9"/>
        <item h="1" x="7"/>
        <item h="1" x="19"/>
        <item h="1" x="20"/>
        <item h="1" x="21"/>
        <item h="1" x="2"/>
        <item h="1" x="32"/>
        <item t="default"/>
      </items>
    </pivotField>
    <pivotField showAll="0"/>
    <pivotField axis="axisCol" showAll="0">
      <items count="9">
        <item h="1" x="1"/>
        <item h="1" x="0"/>
        <item h="1" x="2"/>
        <item h="1" x="3"/>
        <item h="1" x="4"/>
        <item h="1" x="6"/>
        <item h="1" x="5"/>
        <item x="7"/>
        <item t="default"/>
      </items>
    </pivotField>
    <pivotField dataField="1" showAll="0"/>
    <pivotField showAll="0"/>
    <pivotField showAll="0"/>
  </pivotFields>
  <rowFields count="1">
    <field x="2"/>
  </rowFields>
  <colFields count="1">
    <field x="4"/>
  </colFields>
  <pageFields count="2">
    <pageField fld="0" hier="-1"/>
    <pageField fld="1" hier="-1"/>
  </pageFields>
  <dataFields count="1">
    <dataField name="Soma de Valores2" fld="5" baseField="2" baseItem="56" numFmtId="167"/>
  </dataFields>
  <formats count="15">
    <format dxfId="480">
      <pivotArea outline="0" collapsedLevelsAreSubtotals="1" fieldPosition="0"/>
    </format>
    <format dxfId="479">
      <pivotArea type="all" dataOnly="0" outline="0" fieldPosition="0"/>
    </format>
    <format dxfId="478">
      <pivotArea outline="0" collapsedLevelsAreSubtotals="1" fieldPosition="0"/>
    </format>
    <format dxfId="477">
      <pivotArea type="origin" dataOnly="0" labelOnly="1" outline="0" fieldPosition="0"/>
    </format>
    <format dxfId="476">
      <pivotArea field="4" type="button" dataOnly="0" labelOnly="1" outline="0" axis="axisCol" fieldPosition="0"/>
    </format>
    <format dxfId="475">
      <pivotArea field="2" type="button" dataOnly="0" labelOnly="1" outline="0" axis="axisRow" fieldPosition="0"/>
    </format>
    <format dxfId="474">
      <pivotArea dataOnly="0" labelOnly="1" fieldPosition="0">
        <references count="1">
          <reference field="2" count="0"/>
        </references>
      </pivotArea>
    </format>
    <format dxfId="473">
      <pivotArea dataOnly="0" labelOnly="1" fieldPosition="0">
        <references count="1">
          <reference field="4" count="0"/>
        </references>
      </pivotArea>
    </format>
    <format dxfId="472">
      <pivotArea type="all" dataOnly="0" outline="0" fieldPosition="0"/>
    </format>
    <format dxfId="471">
      <pivotArea outline="0" collapsedLevelsAreSubtotals="1" fieldPosition="0"/>
    </format>
    <format dxfId="470">
      <pivotArea type="origin" dataOnly="0" labelOnly="1" outline="0" fieldPosition="0"/>
    </format>
    <format dxfId="469">
      <pivotArea field="4" type="button" dataOnly="0" labelOnly="1" outline="0" axis="axisCol" fieldPosition="0"/>
    </format>
    <format dxfId="468">
      <pivotArea field="2" type="button" dataOnly="0" labelOnly="1" outline="0" axis="axisRow" fieldPosition="0"/>
    </format>
    <format dxfId="467">
      <pivotArea dataOnly="0" labelOnly="1" fieldPosition="0">
        <references count="1">
          <reference field="2" count="0"/>
        </references>
      </pivotArea>
    </format>
    <format dxfId="466">
      <pivotArea dataOnly="0" labelOnly="1" fieldPosition="0">
        <references count="1">
          <reference field="4" count="0"/>
        </references>
      </pivotArea>
    </format>
  </formats>
  <pivotTableStyleInfo name="PivotStyleLight1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0A874B3-6CA0-4C32-9B29-C1F6960C179B}" name="Tabela dinâmica3" cacheId="7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outline="1" outlineData="1" multipleFieldFilters="0">
  <location ref="B104:C106" firstHeaderRow="1" firstDataRow="2" firstDataCol="1" rowPageCount="2" colPageCount="1"/>
  <pivotFields count="8">
    <pivotField axis="axisPage" multipleItemSelectionAllowed="1" showAll="0">
      <items count="9">
        <item h="1" x="2"/>
        <item h="1" x="7"/>
        <item h="1" x="4"/>
        <item h="1" x="6"/>
        <item h="1" x="5"/>
        <item h="1" x="0"/>
        <item x="3"/>
        <item h="1" x="1"/>
        <item t="default"/>
      </items>
    </pivotField>
    <pivotField axis="axisPage" multipleItemSelectionAllowed="1" showAll="0">
      <items count="19">
        <item h="1" x="14"/>
        <item h="1" x="15"/>
        <item h="1" x="10"/>
        <item h="1" x="13"/>
        <item h="1" x="11"/>
        <item h="1" x="16"/>
        <item h="1" x="5"/>
        <item h="1" x="4"/>
        <item h="1" x="7"/>
        <item h="1" x="2"/>
        <item h="1" x="12"/>
        <item h="1" x="0"/>
        <item h="1" x="9"/>
        <item h="1" x="8"/>
        <item h="1" x="6"/>
        <item x="3"/>
        <item h="1" x="17"/>
        <item h="1" x="1"/>
        <item t="default"/>
      </items>
    </pivotField>
    <pivotField axis="axisRow" showAll="0">
      <items count="34">
        <item h="1" x="4"/>
        <item x="5"/>
        <item h="1" x="6"/>
        <item h="1" x="8"/>
        <item h="1" x="10"/>
        <item h="1" x="11"/>
        <item h="1" x="22"/>
        <item h="1" x="12"/>
        <item h="1" x="18"/>
        <item h="1" x="28"/>
        <item h="1" x="23"/>
        <item h="1" x="24"/>
        <item h="1" x="25"/>
        <item h="1" x="29"/>
        <item h="1" x="30"/>
        <item h="1" x="31"/>
        <item h="1" x="26"/>
        <item h="1" x="27"/>
        <item h="1" x="0"/>
        <item h="1" x="1"/>
        <item h="1" x="16"/>
        <item h="1" x="17"/>
        <item h="1" x="15"/>
        <item h="1" x="3"/>
        <item h="1" x="14"/>
        <item h="1" x="13"/>
        <item h="1" x="9"/>
        <item h="1" x="7"/>
        <item h="1" x="19"/>
        <item h="1" x="20"/>
        <item h="1" x="21"/>
        <item h="1" x="2"/>
        <item h="1" x="32"/>
        <item t="default"/>
      </items>
    </pivotField>
    <pivotField showAll="0"/>
    <pivotField axis="axisCol" showAll="0">
      <items count="9">
        <item h="1" x="1"/>
        <item h="1" x="0"/>
        <item h="1" x="2"/>
        <item h="1" x="3"/>
        <item h="1" x="4"/>
        <item h="1" x="6"/>
        <item h="1" x="5"/>
        <item x="7"/>
        <item t="default"/>
      </items>
    </pivotField>
    <pivotField dataField="1" showAll="0"/>
    <pivotField showAll="0"/>
    <pivotField showAll="0"/>
  </pivotFields>
  <rowFields count="1">
    <field x="2"/>
  </rowFields>
  <rowItems count="1">
    <i>
      <x v="1"/>
    </i>
  </rowItems>
  <colFields count="1">
    <field x="4"/>
  </colFields>
  <colItems count="1">
    <i>
      <x v="7"/>
    </i>
  </colItems>
  <pageFields count="2">
    <pageField fld="0" hier="-1"/>
    <pageField fld="1" hier="-1"/>
  </pageFields>
  <dataFields count="1">
    <dataField name="Soma de Valores2" fld="5" baseField="2" baseItem="56" numFmtId="167"/>
  </dataFields>
  <formats count="15">
    <format dxfId="495">
      <pivotArea outline="0" collapsedLevelsAreSubtotals="1" fieldPosition="0"/>
    </format>
    <format dxfId="494">
      <pivotArea type="all" dataOnly="0" outline="0" fieldPosition="0"/>
    </format>
    <format dxfId="493">
      <pivotArea outline="0" collapsedLevelsAreSubtotals="1" fieldPosition="0"/>
    </format>
    <format dxfId="492">
      <pivotArea type="origin" dataOnly="0" labelOnly="1" outline="0" fieldPosition="0"/>
    </format>
    <format dxfId="491">
      <pivotArea field="4" type="button" dataOnly="0" labelOnly="1" outline="0" axis="axisCol" fieldPosition="0"/>
    </format>
    <format dxfId="490">
      <pivotArea field="2" type="button" dataOnly="0" labelOnly="1" outline="0" axis="axisRow" fieldPosition="0"/>
    </format>
    <format dxfId="489">
      <pivotArea dataOnly="0" labelOnly="1" fieldPosition="0">
        <references count="1">
          <reference field="2" count="0"/>
        </references>
      </pivotArea>
    </format>
    <format dxfId="488">
      <pivotArea dataOnly="0" labelOnly="1" fieldPosition="0">
        <references count="1">
          <reference field="4" count="0"/>
        </references>
      </pivotArea>
    </format>
    <format dxfId="487">
      <pivotArea type="all" dataOnly="0" outline="0" fieldPosition="0"/>
    </format>
    <format dxfId="486">
      <pivotArea outline="0" collapsedLevelsAreSubtotals="1" fieldPosition="0"/>
    </format>
    <format dxfId="485">
      <pivotArea type="origin" dataOnly="0" labelOnly="1" outline="0" fieldPosition="0"/>
    </format>
    <format dxfId="484">
      <pivotArea field="4" type="button" dataOnly="0" labelOnly="1" outline="0" axis="axisCol" fieldPosition="0"/>
    </format>
    <format dxfId="483">
      <pivotArea field="2" type="button" dataOnly="0" labelOnly="1" outline="0" axis="axisRow" fieldPosition="0"/>
    </format>
    <format dxfId="482">
      <pivotArea dataOnly="0" labelOnly="1" fieldPosition="0">
        <references count="1">
          <reference field="2" count="0"/>
        </references>
      </pivotArea>
    </format>
    <format dxfId="481">
      <pivotArea dataOnly="0" labelOnly="1" fieldPosition="0">
        <references count="1">
          <reference field="4" count="0"/>
        </references>
      </pivotArea>
    </format>
  </formats>
  <pivotTableStyleInfo name="PivotStyleLight1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AB9EAD-25EC-4629-B194-C95F44D99AD3}" name="Tabela dinâmica7" cacheId="7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outline="1" outlineData="1" multipleFieldFilters="0">
  <location ref="B181:C184" firstHeaderRow="1" firstDataRow="2" firstDataCol="1" rowPageCount="2" colPageCount="1"/>
  <pivotFields count="8">
    <pivotField axis="axisPage" showAll="0">
      <items count="9">
        <item x="2"/>
        <item x="7"/>
        <item x="4"/>
        <item x="6"/>
        <item x="5"/>
        <item x="0"/>
        <item x="3"/>
        <item x="1"/>
        <item t="default"/>
      </items>
    </pivotField>
    <pivotField axis="axisPage" showAll="0">
      <items count="19">
        <item x="14"/>
        <item x="15"/>
        <item x="10"/>
        <item x="13"/>
        <item x="11"/>
        <item x="16"/>
        <item x="5"/>
        <item x="4"/>
        <item x="7"/>
        <item x="2"/>
        <item x="12"/>
        <item x="0"/>
        <item x="9"/>
        <item x="8"/>
        <item x="6"/>
        <item x="3"/>
        <item x="17"/>
        <item x="1"/>
        <item t="default"/>
      </items>
    </pivotField>
    <pivotField axis="axisRow" showAll="0">
      <items count="34">
        <item x="4"/>
        <item x="5"/>
        <item x="6"/>
        <item x="8"/>
        <item x="10"/>
        <item x="11"/>
        <item x="12"/>
        <item x="18"/>
        <item x="22"/>
        <item x="23"/>
        <item x="24"/>
        <item x="25"/>
        <item x="28"/>
        <item x="29"/>
        <item x="30"/>
        <item x="31"/>
        <item x="26"/>
        <item x="27"/>
        <item x="0"/>
        <item x="1"/>
        <item x="16"/>
        <item x="17"/>
        <item x="15"/>
        <item x="3"/>
        <item x="13"/>
        <item x="14"/>
        <item x="9"/>
        <item x="7"/>
        <item x="19"/>
        <item x="20"/>
        <item x="21"/>
        <item x="2"/>
        <item x="32"/>
        <item t="default"/>
      </items>
    </pivotField>
    <pivotField showAll="0"/>
    <pivotField axis="axisCol" showAll="0">
      <items count="9">
        <item h="1" x="1"/>
        <item h="1" x="0"/>
        <item h="1" x="2"/>
        <item h="1" x="3"/>
        <item h="1" x="4"/>
        <item h="1" x="6"/>
        <item h="1" x="5"/>
        <item x="7"/>
        <item t="default"/>
      </items>
    </pivotField>
    <pivotField dataField="1" showAll="0"/>
    <pivotField showAll="0"/>
    <pivotField showAll="0"/>
  </pivotFields>
  <rowFields count="1">
    <field x="2"/>
  </rowFields>
  <rowItems count="2">
    <i>
      <x v="24"/>
    </i>
    <i>
      <x v="25"/>
    </i>
  </rowItems>
  <colFields count="1">
    <field x="4"/>
  </colFields>
  <colItems count="1">
    <i>
      <x v="7"/>
    </i>
  </colItems>
  <pageFields count="2">
    <pageField fld="0" item="3" hier="-1"/>
    <pageField fld="1" hier="-1"/>
  </pageFields>
  <dataFields count="1">
    <dataField name="Soma de Valores2" fld="5" baseField="2" baseItem="56" numFmtId="167"/>
  </dataFields>
  <formats count="19">
    <format dxfId="514">
      <pivotArea outline="0" collapsedLevelsAreSubtotals="1" fieldPosition="0"/>
    </format>
    <format dxfId="513">
      <pivotArea type="all" dataOnly="0" outline="0" fieldPosition="0"/>
    </format>
    <format dxfId="512">
      <pivotArea dataOnly="0" labelOnly="1" grandRow="1" outline="0" fieldPosition="0"/>
    </format>
    <format dxfId="511">
      <pivotArea dataOnly="0" labelOnly="1" grandCol="1" outline="0" fieldPosition="0"/>
    </format>
    <format dxfId="510">
      <pivotArea type="all" dataOnly="0" outline="0" fieldPosition="0"/>
    </format>
    <format dxfId="509">
      <pivotArea type="topRight" dataOnly="0" labelOnly="1" outline="0" fieldPosition="0"/>
    </format>
    <format dxfId="508">
      <pivotArea dataOnly="0" labelOnly="1" fieldPosition="0">
        <references count="1">
          <reference field="2" count="0"/>
        </references>
      </pivotArea>
    </format>
    <format dxfId="507">
      <pivotArea type="all" dataOnly="0" outline="0" fieldPosition="0"/>
    </format>
    <format dxfId="506">
      <pivotArea outline="0" collapsedLevelsAreSubtotals="1" fieldPosition="0"/>
    </format>
    <format dxfId="505">
      <pivotArea type="origin" dataOnly="0" labelOnly="1" outline="0" fieldPosition="0"/>
    </format>
    <format dxfId="504">
      <pivotArea field="4" type="button" dataOnly="0" labelOnly="1" outline="0" axis="axisCol" fieldPosition="0"/>
    </format>
    <format dxfId="503">
      <pivotArea field="2" type="button" dataOnly="0" labelOnly="1" outline="0" axis="axisRow" fieldPosition="0"/>
    </format>
    <format dxfId="502">
      <pivotArea dataOnly="0" labelOnly="1" fieldPosition="0">
        <references count="1">
          <reference field="4" count="0"/>
        </references>
      </pivotArea>
    </format>
    <format dxfId="501">
      <pivotArea type="all" dataOnly="0" outline="0" fieldPosition="0"/>
    </format>
    <format dxfId="500">
      <pivotArea outline="0" collapsedLevelsAreSubtotals="1" fieldPosition="0"/>
    </format>
    <format dxfId="499">
      <pivotArea type="origin" dataOnly="0" labelOnly="1" outline="0" fieldPosition="0"/>
    </format>
    <format dxfId="498">
      <pivotArea field="4" type="button" dataOnly="0" labelOnly="1" outline="0" axis="axisCol" fieldPosition="0"/>
    </format>
    <format dxfId="497">
      <pivotArea field="2" type="button" dataOnly="0" labelOnly="1" outline="0" axis="axisRow" fieldPosition="0"/>
    </format>
    <format dxfId="496">
      <pivotArea dataOnly="0" labelOnly="1" fieldPosition="0">
        <references count="1">
          <reference field="4" count="0"/>
        </references>
      </pivotArea>
    </format>
  </formats>
  <pivotTableStyleInfo name="PivotStyleLight1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9CA198-5D63-4879-9DFD-915882B46169}" name="Tabela dinâmica12" cacheId="7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outline="1" outlineData="1" multipleFieldFilters="0">
  <location ref="B193:C198" firstHeaderRow="1" firstDataRow="2" firstDataCol="1" rowPageCount="2" colPageCount="1"/>
  <pivotFields count="8">
    <pivotField axis="axisPage" multipleItemSelectionAllowed="1" showAll="0">
      <items count="9">
        <item h="1" x="2"/>
        <item h="1" x="7"/>
        <item h="1" x="4"/>
        <item h="1" x="6"/>
        <item x="5"/>
        <item h="1" x="0"/>
        <item h="1" x="3"/>
        <item h="1" x="1"/>
        <item t="default"/>
      </items>
    </pivotField>
    <pivotField axis="axisPage" showAll="0">
      <items count="19">
        <item x="14"/>
        <item x="15"/>
        <item x="10"/>
        <item x="13"/>
        <item x="11"/>
        <item x="16"/>
        <item x="5"/>
        <item x="4"/>
        <item x="7"/>
        <item x="2"/>
        <item x="12"/>
        <item x="0"/>
        <item x="9"/>
        <item x="8"/>
        <item x="6"/>
        <item x="3"/>
        <item x="17"/>
        <item x="1"/>
        <item t="default"/>
      </items>
    </pivotField>
    <pivotField axis="axisRow" showAll="0">
      <items count="34">
        <item x="4"/>
        <item x="5"/>
        <item x="6"/>
        <item x="8"/>
        <item x="10"/>
        <item x="11"/>
        <item x="12"/>
        <item x="18"/>
        <item x="22"/>
        <item x="23"/>
        <item x="24"/>
        <item x="25"/>
        <item x="28"/>
        <item x="29"/>
        <item x="30"/>
        <item x="31"/>
        <item x="26"/>
        <item x="27"/>
        <item x="0"/>
        <item x="1"/>
        <item x="16"/>
        <item x="17"/>
        <item x="15"/>
        <item x="3"/>
        <item x="13"/>
        <item x="14"/>
        <item x="9"/>
        <item x="7"/>
        <item x="19"/>
        <item x="20"/>
        <item x="21"/>
        <item x="2"/>
        <item x="32"/>
        <item t="default"/>
      </items>
    </pivotField>
    <pivotField showAll="0"/>
    <pivotField axis="axisCol" showAll="0">
      <items count="9">
        <item h="1" x="1"/>
        <item h="1" x="0"/>
        <item h="1" x="2"/>
        <item h="1" x="3"/>
        <item h="1" x="4"/>
        <item h="1" x="6"/>
        <item h="1" x="5"/>
        <item x="7"/>
        <item t="default"/>
      </items>
    </pivotField>
    <pivotField dataField="1" showAll="0"/>
    <pivotField showAll="0"/>
    <pivotField showAll="0"/>
  </pivotFields>
  <rowFields count="1">
    <field x="2"/>
  </rowFields>
  <rowItems count="4">
    <i>
      <x v="26"/>
    </i>
    <i>
      <x v="28"/>
    </i>
    <i>
      <x v="29"/>
    </i>
    <i>
      <x v="30"/>
    </i>
  </rowItems>
  <colFields count="1">
    <field x="4"/>
  </colFields>
  <colItems count="1">
    <i>
      <x v="7"/>
    </i>
  </colItems>
  <pageFields count="2">
    <pageField fld="0" hier="-1"/>
    <pageField fld="1" hier="-1"/>
  </pageFields>
  <dataFields count="1">
    <dataField name="Soma de Valores2" fld="5" baseField="2" baseItem="56" numFmtId="167"/>
  </dataFields>
  <formats count="19">
    <format dxfId="533">
      <pivotArea outline="0" collapsedLevelsAreSubtotals="1" fieldPosition="0"/>
    </format>
    <format dxfId="532">
      <pivotArea type="all" dataOnly="0" outline="0" fieldPosition="0"/>
    </format>
    <format dxfId="531">
      <pivotArea dataOnly="0" labelOnly="1" grandRow="1" outline="0" fieldPosition="0"/>
    </format>
    <format dxfId="530">
      <pivotArea dataOnly="0" labelOnly="1" grandCol="1" outline="0" fieldPosition="0"/>
    </format>
    <format dxfId="529">
      <pivotArea type="all" dataOnly="0" outline="0" fieldPosition="0"/>
    </format>
    <format dxfId="528">
      <pivotArea type="topRight" dataOnly="0" labelOnly="1" outline="0" fieldPosition="0"/>
    </format>
    <format dxfId="527">
      <pivotArea dataOnly="0" labelOnly="1" fieldPosition="0">
        <references count="1">
          <reference field="2" count="0"/>
        </references>
      </pivotArea>
    </format>
    <format dxfId="526">
      <pivotArea type="all" dataOnly="0" outline="0" fieldPosition="0"/>
    </format>
    <format dxfId="525">
      <pivotArea outline="0" collapsedLevelsAreSubtotals="1" fieldPosition="0"/>
    </format>
    <format dxfId="524">
      <pivotArea type="origin" dataOnly="0" labelOnly="1" outline="0" fieldPosition="0"/>
    </format>
    <format dxfId="523">
      <pivotArea field="4" type="button" dataOnly="0" labelOnly="1" outline="0" axis="axisCol" fieldPosition="0"/>
    </format>
    <format dxfId="522">
      <pivotArea field="2" type="button" dataOnly="0" labelOnly="1" outline="0" axis="axisRow" fieldPosition="0"/>
    </format>
    <format dxfId="521">
      <pivotArea dataOnly="0" labelOnly="1" fieldPosition="0">
        <references count="1">
          <reference field="4" count="0"/>
        </references>
      </pivotArea>
    </format>
    <format dxfId="520">
      <pivotArea type="all" dataOnly="0" outline="0" fieldPosition="0"/>
    </format>
    <format dxfId="519">
      <pivotArea outline="0" collapsedLevelsAreSubtotals="1" fieldPosition="0"/>
    </format>
    <format dxfId="518">
      <pivotArea type="origin" dataOnly="0" labelOnly="1" outline="0" fieldPosition="0"/>
    </format>
    <format dxfId="517">
      <pivotArea field="4" type="button" dataOnly="0" labelOnly="1" outline="0" axis="axisCol" fieldPosition="0"/>
    </format>
    <format dxfId="516">
      <pivotArea field="2" type="button" dataOnly="0" labelOnly="1" outline="0" axis="axisRow" fieldPosition="0"/>
    </format>
    <format dxfId="515">
      <pivotArea dataOnly="0" labelOnly="1" fieldPosition="0">
        <references count="1">
          <reference field="4" count="0"/>
        </references>
      </pivotArea>
    </format>
  </formats>
  <pivotTableStyleInfo name="PivotStyleLight1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AB48057-4455-4EBA-904B-E05CCA5702A6}" name="Agrícola - origem da cana" cacheId="7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outline="1" outlineData="1" multipleFieldFilters="0">
  <location ref="B134:C137" firstHeaderRow="1" firstDataRow="2" firstDataCol="1" rowPageCount="2" colPageCount="1"/>
  <pivotFields count="8">
    <pivotField axis="axisPage" showAll="0">
      <items count="9">
        <item x="2"/>
        <item x="7"/>
        <item x="4"/>
        <item x="6"/>
        <item x="5"/>
        <item x="0"/>
        <item x="3"/>
        <item x="1"/>
        <item t="default"/>
      </items>
    </pivotField>
    <pivotField axis="axisPage" showAll="0">
      <items count="19">
        <item x="14"/>
        <item x="15"/>
        <item x="10"/>
        <item x="13"/>
        <item x="11"/>
        <item x="16"/>
        <item x="5"/>
        <item x="4"/>
        <item x="7"/>
        <item x="2"/>
        <item x="12"/>
        <item x="0"/>
        <item x="9"/>
        <item x="8"/>
        <item x="6"/>
        <item x="3"/>
        <item x="17"/>
        <item x="1"/>
        <item t="default"/>
      </items>
    </pivotField>
    <pivotField axis="axisRow" showAll="0">
      <items count="34">
        <item h="1" x="4"/>
        <item h="1" x="5"/>
        <item x="7"/>
        <item x="6"/>
        <item h="1" x="8"/>
        <item h="1" x="10"/>
        <item h="1" x="11"/>
        <item h="1" x="12"/>
        <item h="1" x="18"/>
        <item h="1" x="22"/>
        <item h="1" x="23"/>
        <item h="1" x="24"/>
        <item h="1" x="25"/>
        <item h="1" x="28"/>
        <item h="1" x="29"/>
        <item h="1" x="30"/>
        <item h="1" x="31"/>
        <item h="1" x="26"/>
        <item h="1" x="27"/>
        <item h="1" x="0"/>
        <item h="1" x="1"/>
        <item h="1" x="16"/>
        <item h="1" x="17"/>
        <item h="1" x="15"/>
        <item h="1" x="3"/>
        <item h="1" x="14"/>
        <item h="1" x="13"/>
        <item h="1" x="9"/>
        <item h="1" x="19"/>
        <item h="1" x="20"/>
        <item h="1" x="21"/>
        <item h="1" x="2"/>
        <item h="1" x="32"/>
        <item t="default"/>
      </items>
    </pivotField>
    <pivotField showAll="0"/>
    <pivotField axis="axisCol" showAll="0">
      <items count="9">
        <item h="1" x="1"/>
        <item h="1" x="0"/>
        <item h="1" x="2"/>
        <item h="1" x="3"/>
        <item h="1" x="4"/>
        <item h="1" x="6"/>
        <item h="1" x="5"/>
        <item x="7"/>
        <item t="default"/>
      </items>
    </pivotField>
    <pivotField dataField="1" showAll="0"/>
    <pivotField showAll="0"/>
    <pivotField showAll="0"/>
  </pivotFields>
  <rowFields count="1">
    <field x="2"/>
  </rowFields>
  <rowItems count="2">
    <i>
      <x v="2"/>
    </i>
    <i>
      <x v="3"/>
    </i>
  </rowItems>
  <colFields count="1">
    <field x="4"/>
  </colFields>
  <colItems count="1">
    <i>
      <x v="7"/>
    </i>
  </colItems>
  <pageFields count="2">
    <pageField fld="0" item="0" hier="-1"/>
    <pageField fld="1" item="7" hier="-1"/>
  </pageFields>
  <dataFields count="1">
    <dataField name="Soma de Valores2" fld="5" baseField="2" baseItem="56" numFmtId="167"/>
  </dataFields>
  <formats count="18">
    <format dxfId="551">
      <pivotArea outline="0" collapsedLevelsAreSubtotals="1" fieldPosition="0"/>
    </format>
    <format dxfId="550">
      <pivotArea type="all" dataOnly="0" outline="0" fieldPosition="0"/>
    </format>
    <format dxfId="549">
      <pivotArea dataOnly="0" labelOnly="1" grandRow="1" outline="0" fieldPosition="0"/>
    </format>
    <format dxfId="548">
      <pivotArea dataOnly="0" labelOnly="1" grandCol="1" outline="0" fieldPosition="0"/>
    </format>
    <format dxfId="547">
      <pivotArea type="all" dataOnly="0" outline="0" fieldPosition="0"/>
    </format>
    <format dxfId="546">
      <pivotArea outline="0" collapsedLevelsAreSubtotals="1" fieldPosition="0"/>
    </format>
    <format dxfId="545">
      <pivotArea type="origin" dataOnly="0" labelOnly="1" outline="0" fieldPosition="0"/>
    </format>
    <format dxfId="544">
      <pivotArea field="4" type="button" dataOnly="0" labelOnly="1" outline="0" axis="axisCol" fieldPosition="0"/>
    </format>
    <format dxfId="543">
      <pivotArea field="2" type="button" dataOnly="0" labelOnly="1" outline="0" axis="axisRow" fieldPosition="0"/>
    </format>
    <format dxfId="542">
      <pivotArea dataOnly="0" labelOnly="1" fieldPosition="0">
        <references count="1">
          <reference field="2" count="0"/>
        </references>
      </pivotArea>
    </format>
    <format dxfId="541">
      <pivotArea dataOnly="0" labelOnly="1" fieldPosition="0">
        <references count="1">
          <reference field="4" count="0"/>
        </references>
      </pivotArea>
    </format>
    <format dxfId="540">
      <pivotArea type="all" dataOnly="0" outline="0" fieldPosition="0"/>
    </format>
    <format dxfId="539">
      <pivotArea outline="0" collapsedLevelsAreSubtotals="1" fieldPosition="0"/>
    </format>
    <format dxfId="538">
      <pivotArea type="origin" dataOnly="0" labelOnly="1" outline="0" fieldPosition="0"/>
    </format>
    <format dxfId="537">
      <pivotArea field="4" type="button" dataOnly="0" labelOnly="1" outline="0" axis="axisCol" fieldPosition="0"/>
    </format>
    <format dxfId="536">
      <pivotArea field="2" type="button" dataOnly="0" labelOnly="1" outline="0" axis="axisRow" fieldPosition="0"/>
    </format>
    <format dxfId="535">
      <pivotArea dataOnly="0" labelOnly="1" fieldPosition="0">
        <references count="1">
          <reference field="2" count="0"/>
        </references>
      </pivotArea>
    </format>
    <format dxfId="534">
      <pivotArea dataOnly="0" labelOnly="1" fieldPosition="0">
        <references count="1">
          <reference field="4" count="0"/>
        </references>
      </pivotArea>
    </format>
  </formats>
  <pivotTableStyleInfo name="PivotStyleLight1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081590F-8CC5-4E7C-B594-E783777317EA}" name="Moagem" cacheId="7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outline="1" outlineData="1" multipleFieldFilters="0" fieldListSortAscending="1">
  <location ref="B10:C12" firstHeaderRow="1" firstDataRow="2" firstDataCol="1" rowPageCount="1" colPageCount="1"/>
  <pivotFields count="8">
    <pivotField axis="axisPage" showAll="0">
      <items count="9">
        <item x="2"/>
        <item x="7"/>
        <item x="4"/>
        <item x="6"/>
        <item x="5"/>
        <item x="0"/>
        <item x="3"/>
        <item x="1"/>
        <item t="default"/>
      </items>
    </pivotField>
    <pivotField showAll="0"/>
    <pivotField axis="axisRow" showAll="0">
      <items count="34">
        <item h="1" x="4"/>
        <item h="1" x="5"/>
        <item h="1" x="6"/>
        <item x="8"/>
        <item h="1" x="10"/>
        <item h="1" x="11"/>
        <item h="1" x="12"/>
        <item h="1" x="18"/>
        <item h="1" x="22"/>
        <item h="1" x="23"/>
        <item h="1" x="24"/>
        <item h="1" x="25"/>
        <item h="1" x="28"/>
        <item h="1" x="29"/>
        <item h="1" x="30"/>
        <item h="1" x="31"/>
        <item h="1" x="26"/>
        <item h="1" x="27"/>
        <item h="1" x="0"/>
        <item h="1" x="1"/>
        <item h="1" x="16"/>
        <item h="1" x="17"/>
        <item h="1" x="15"/>
        <item h="1" x="3"/>
        <item h="1" x="14"/>
        <item h="1" x="13"/>
        <item h="1" x="9"/>
        <item h="1" x="7"/>
        <item h="1" x="19"/>
        <item h="1" x="20"/>
        <item h="1" x="21"/>
        <item h="1" x="2"/>
        <item h="1" x="32"/>
        <item t="default"/>
      </items>
    </pivotField>
    <pivotField showAll="0"/>
    <pivotField axis="axisCol" showAll="0">
      <items count="9">
        <item h="1" x="1"/>
        <item h="1" x="0"/>
        <item h="1" x="2"/>
        <item h="1" x="3"/>
        <item h="1" x="4"/>
        <item h="1" x="6"/>
        <item h="1" x="5"/>
        <item x="7"/>
        <item t="default"/>
      </items>
    </pivotField>
    <pivotField dataField="1" showAll="0"/>
    <pivotField showAll="0"/>
    <pivotField showAll="0"/>
  </pivotFields>
  <rowFields count="1">
    <field x="2"/>
  </rowFields>
  <rowItems count="1">
    <i>
      <x v="3"/>
    </i>
  </rowItems>
  <colFields count="1">
    <field x="4"/>
  </colFields>
  <colItems count="1">
    <i>
      <x v="7"/>
    </i>
  </colItems>
  <pageFields count="1">
    <pageField fld="0" item="2" hier="-1"/>
  </pageFields>
  <dataFields count="1">
    <dataField name="Soma de Valores2" fld="5" baseField="2" baseItem="56" numFmtId="167"/>
  </dataFields>
  <formats count="18">
    <format dxfId="569">
      <pivotArea outline="0" collapsedLevelsAreSubtotals="1" fieldPosition="0"/>
    </format>
    <format dxfId="568">
      <pivotArea type="all" dataOnly="0" outline="0" fieldPosition="0"/>
    </format>
    <format dxfId="567">
      <pivotArea dataOnly="0" labelOnly="1" grandRow="1" outline="0" fieldPosition="0"/>
    </format>
    <format dxfId="566">
      <pivotArea dataOnly="0" labelOnly="1" grandCol="1" outline="0" fieldPosition="0"/>
    </format>
    <format dxfId="565">
      <pivotArea type="all" dataOnly="0" outline="0" fieldPosition="0"/>
    </format>
    <format dxfId="564">
      <pivotArea outline="0" collapsedLevelsAreSubtotals="1" fieldPosition="0"/>
    </format>
    <format dxfId="563">
      <pivotArea type="origin" dataOnly="0" labelOnly="1" outline="0" fieldPosition="0"/>
    </format>
    <format dxfId="562">
      <pivotArea field="4" type="button" dataOnly="0" labelOnly="1" outline="0" axis="axisCol" fieldPosition="0"/>
    </format>
    <format dxfId="561">
      <pivotArea field="2" type="button" dataOnly="0" labelOnly="1" outline="0" axis="axisRow" fieldPosition="0"/>
    </format>
    <format dxfId="560">
      <pivotArea dataOnly="0" labelOnly="1" fieldPosition="0">
        <references count="1">
          <reference field="2" count="0"/>
        </references>
      </pivotArea>
    </format>
    <format dxfId="559">
      <pivotArea dataOnly="0" labelOnly="1" fieldPosition="0">
        <references count="1">
          <reference field="4" count="0"/>
        </references>
      </pivotArea>
    </format>
    <format dxfId="558">
      <pivotArea type="all" dataOnly="0" outline="0" fieldPosition="0"/>
    </format>
    <format dxfId="557">
      <pivotArea outline="0" collapsedLevelsAreSubtotals="1" fieldPosition="0"/>
    </format>
    <format dxfId="556">
      <pivotArea type="origin" dataOnly="0" labelOnly="1" outline="0" fieldPosition="0"/>
    </format>
    <format dxfId="555">
      <pivotArea field="4" type="button" dataOnly="0" labelOnly="1" outline="0" axis="axisCol" fieldPosition="0"/>
    </format>
    <format dxfId="554">
      <pivotArea field="2" type="button" dataOnly="0" labelOnly="1" outline="0" axis="axisRow" fieldPosition="0"/>
    </format>
    <format dxfId="553">
      <pivotArea dataOnly="0" labelOnly="1" fieldPosition="0">
        <references count="1">
          <reference field="2" count="0"/>
        </references>
      </pivotArea>
    </format>
    <format dxfId="552">
      <pivotArea dataOnly="0" labelOnly="1" fieldPosition="0">
        <references count="1">
          <reference field="4" count="0"/>
        </references>
      </pivotArea>
    </format>
  </formats>
  <pivotTableStyleInfo name="PivotStyleLight1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FFEE86-0A3E-467A-8455-FDE524DDCFDC}" name="Tabela dinâmica14" cacheId="7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outline="1" outlineData="1" multipleFieldFilters="0">
  <location ref="B122:C124" firstHeaderRow="1" firstDataRow="2" firstDataCol="1" rowPageCount="1" colPageCount="1"/>
  <pivotFields count="8">
    <pivotField axis="axisPage" showAll="0">
      <items count="9">
        <item x="2"/>
        <item x="7"/>
        <item x="4"/>
        <item x="6"/>
        <item x="5"/>
        <item x="0"/>
        <item x="3"/>
        <item x="1"/>
        <item t="default"/>
      </items>
    </pivotField>
    <pivotField showAll="0"/>
    <pivotField axis="axisRow" showAll="0">
      <items count="34">
        <item h="1" x="4"/>
        <item h="1" x="5"/>
        <item h="1" x="6"/>
        <item h="1" x="8"/>
        <item h="1" x="10"/>
        <item h="1" x="11"/>
        <item h="1" x="22"/>
        <item h="1" x="12"/>
        <item h="1" x="18"/>
        <item h="1" x="23"/>
        <item h="1" x="24"/>
        <item h="1" x="25"/>
        <item h="1" x="28"/>
        <item h="1" x="29"/>
        <item h="1" x="30"/>
        <item h="1" x="31"/>
        <item h="1" x="26"/>
        <item h="1" x="27"/>
        <item h="1" x="0"/>
        <item h="1" x="1"/>
        <item h="1" x="16"/>
        <item h="1" x="17"/>
        <item h="1" x="15"/>
        <item h="1" x="3"/>
        <item h="1" x="14"/>
        <item h="1" x="13"/>
        <item h="1" x="9"/>
        <item h="1" x="7"/>
        <item h="1" x="19"/>
        <item h="1" x="20"/>
        <item h="1" x="21"/>
        <item h="1" x="2"/>
        <item x="32"/>
        <item t="default"/>
      </items>
    </pivotField>
    <pivotField showAll="0"/>
    <pivotField axis="axisCol" showAll="0">
      <items count="9">
        <item h="1" x="1"/>
        <item h="1" x="0"/>
        <item h="1" x="2"/>
        <item h="1" x="3"/>
        <item h="1" x="4"/>
        <item h="1" x="6"/>
        <item h="1" x="5"/>
        <item x="7"/>
        <item t="default"/>
      </items>
    </pivotField>
    <pivotField dataField="1" showAll="0"/>
    <pivotField showAll="0"/>
    <pivotField showAll="0"/>
  </pivotFields>
  <rowFields count="1">
    <field x="2"/>
  </rowFields>
  <rowItems count="1">
    <i>
      <x v="32"/>
    </i>
  </rowItems>
  <colFields count="1">
    <field x="4"/>
  </colFields>
  <colItems count="1">
    <i>
      <x v="7"/>
    </i>
  </colItems>
  <pageFields count="1">
    <pageField fld="0" item="6" hier="-1"/>
  </pageFields>
  <dataFields count="1">
    <dataField name="Soma de Valores2" fld="5" baseField="2" baseItem="56" numFmtId="167"/>
  </dataFields>
  <formats count="18">
    <format dxfId="324">
      <pivotArea outline="0" collapsedLevelsAreSubtotals="1" fieldPosition="0"/>
    </format>
    <format dxfId="323">
      <pivotArea type="all" dataOnly="0" outline="0" fieldPosition="0"/>
    </format>
    <format dxfId="322">
      <pivotArea dataOnly="0" labelOnly="1" grandRow="1" outline="0" fieldPosition="0"/>
    </format>
    <format dxfId="321">
      <pivotArea dataOnly="0" labelOnly="1" grandCol="1" outline="0" fieldPosition="0"/>
    </format>
    <format dxfId="320">
      <pivotArea type="all" dataOnly="0" outline="0" fieldPosition="0"/>
    </format>
    <format dxfId="319">
      <pivotArea outline="0" collapsedLevelsAreSubtotals="1" fieldPosition="0"/>
    </format>
    <format dxfId="318">
      <pivotArea type="origin" dataOnly="0" labelOnly="1" outline="0" fieldPosition="0"/>
    </format>
    <format dxfId="317">
      <pivotArea field="4" type="button" dataOnly="0" labelOnly="1" outline="0" axis="axisCol" fieldPosition="0"/>
    </format>
    <format dxfId="316">
      <pivotArea field="2" type="button" dataOnly="0" labelOnly="1" outline="0" axis="axisRow" fieldPosition="0"/>
    </format>
    <format dxfId="315">
      <pivotArea dataOnly="0" labelOnly="1" fieldPosition="0">
        <references count="1">
          <reference field="2" count="0"/>
        </references>
      </pivotArea>
    </format>
    <format dxfId="314">
      <pivotArea dataOnly="0" labelOnly="1" fieldPosition="0">
        <references count="1">
          <reference field="4" count="0"/>
        </references>
      </pivotArea>
    </format>
    <format dxfId="313">
      <pivotArea type="all" dataOnly="0" outline="0" fieldPosition="0"/>
    </format>
    <format dxfId="312">
      <pivotArea outline="0" collapsedLevelsAreSubtotals="1" fieldPosition="0"/>
    </format>
    <format dxfId="311">
      <pivotArea type="origin" dataOnly="0" labelOnly="1" outline="0" fieldPosition="0"/>
    </format>
    <format dxfId="310">
      <pivotArea field="4" type="button" dataOnly="0" labelOnly="1" outline="0" axis="axisCol" fieldPosition="0"/>
    </format>
    <format dxfId="309">
      <pivotArea field="2" type="button" dataOnly="0" labelOnly="1" outline="0" axis="axisRow" fieldPosition="0"/>
    </format>
    <format dxfId="308">
      <pivotArea dataOnly="0" labelOnly="1" fieldPosition="0">
        <references count="1">
          <reference field="2" count="0"/>
        </references>
      </pivotArea>
    </format>
    <format dxfId="307">
      <pivotArea dataOnly="0" labelOnly="1" fieldPosition="0">
        <references count="1">
          <reference field="4" count="0"/>
        </references>
      </pivotArea>
    </format>
  </formats>
  <pivotTableStyleInfo name="PivotStyleLight1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3AEFB87-064E-49B3-A04C-8FBC0D1A59DB}" name=" Período de Safra" cacheId="7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outline="1" outlineData="1" multipleFieldFilters="0">
  <location ref="B21:C25" firstHeaderRow="1" firstDataRow="2" firstDataCol="1" rowPageCount="1" colPageCount="1"/>
  <pivotFields count="8">
    <pivotField axis="axisPage" showAll="0">
      <items count="9">
        <item x="2"/>
        <item x="7"/>
        <item x="4"/>
        <item x="6"/>
        <item x="5"/>
        <item x="0"/>
        <item x="3"/>
        <item x="1"/>
        <item t="default"/>
      </items>
    </pivotField>
    <pivotField showAll="0"/>
    <pivotField axis="axisRow" showAll="0">
      <items count="34">
        <item h="1" x="4"/>
        <item h="1" x="5"/>
        <item h="1" x="6"/>
        <item h="1" x="8"/>
        <item x="12"/>
        <item x="11"/>
        <item x="10"/>
        <item h="1" x="18"/>
        <item h="1" x="22"/>
        <item h="1" x="23"/>
        <item h="1" x="24"/>
        <item h="1" x="25"/>
        <item h="1" x="28"/>
        <item h="1" x="29"/>
        <item h="1" x="30"/>
        <item h="1" x="31"/>
        <item h="1" x="26"/>
        <item h="1" x="27"/>
        <item h="1" x="0"/>
        <item h="1" x="1"/>
        <item h="1" x="16"/>
        <item h="1" x="17"/>
        <item h="1" x="15"/>
        <item h="1" x="3"/>
        <item h="1" x="14"/>
        <item h="1" x="13"/>
        <item h="1" x="9"/>
        <item h="1" x="7"/>
        <item h="1" x="19"/>
        <item h="1" x="20"/>
        <item h="1" x="21"/>
        <item h="1" x="2"/>
        <item h="1" x="32"/>
        <item t="default"/>
      </items>
    </pivotField>
    <pivotField showAll="0"/>
    <pivotField axis="axisCol" showAll="0">
      <items count="9">
        <item h="1" x="1"/>
        <item h="1" x="0"/>
        <item h="1" x="2"/>
        <item h="1" x="3"/>
        <item h="1" x="4"/>
        <item h="1" x="6"/>
        <item h="1" x="5"/>
        <item x="7"/>
        <item t="default"/>
      </items>
    </pivotField>
    <pivotField dataField="1" showAll="0"/>
    <pivotField showAll="0"/>
    <pivotField showAll="0"/>
  </pivotFields>
  <rowFields count="1">
    <field x="2"/>
  </rowFields>
  <rowItems count="3">
    <i>
      <x v="4"/>
    </i>
    <i>
      <x v="5"/>
    </i>
    <i>
      <x v="6"/>
    </i>
  </rowItems>
  <colFields count="1">
    <field x="4"/>
  </colFields>
  <colItems count="1">
    <i>
      <x v="7"/>
    </i>
  </colItems>
  <pageFields count="1">
    <pageField fld="0" item="2" hier="-1"/>
  </pageFields>
  <dataFields count="1">
    <dataField name="Soma de Valores2" fld="5" baseField="2" baseItem="56" numFmtId="167"/>
  </dataFields>
  <formats count="20">
    <format dxfId="344">
      <pivotArea outline="0" collapsedLevelsAreSubtotals="1" fieldPosition="0"/>
    </format>
    <format dxfId="343">
      <pivotArea type="all" dataOnly="0" outline="0" fieldPosition="0"/>
    </format>
    <format dxfId="342">
      <pivotArea dataOnly="0" labelOnly="1" grandRow="1" outline="0" fieldPosition="0"/>
    </format>
    <format dxfId="341">
      <pivotArea dataOnly="0" labelOnly="1" grandCol="1" outline="0" fieldPosition="0"/>
    </format>
    <format dxfId="340">
      <pivotArea dataOnly="0" fieldPosition="0">
        <references count="2">
          <reference field="0" count="1" selected="0">
            <x v="2"/>
          </reference>
          <reference field="2" count="1">
            <x v="5"/>
          </reference>
        </references>
      </pivotArea>
    </format>
    <format dxfId="339">
      <pivotArea dataOnly="0" fieldPosition="0">
        <references count="2">
          <reference field="0" count="1" selected="0">
            <x v="2"/>
          </reference>
          <reference field="2" count="1">
            <x v="6"/>
          </reference>
        </references>
      </pivotArea>
    </format>
    <format dxfId="338">
      <pivotArea type="all" dataOnly="0" outline="0" fieldPosition="0"/>
    </format>
    <format dxfId="337">
      <pivotArea outline="0" collapsedLevelsAreSubtotals="1" fieldPosition="0"/>
    </format>
    <format dxfId="336">
      <pivotArea type="origin" dataOnly="0" labelOnly="1" outline="0" fieldPosition="0"/>
    </format>
    <format dxfId="335">
      <pivotArea field="4" type="button" dataOnly="0" labelOnly="1" outline="0" axis="axisCol" fieldPosition="0"/>
    </format>
    <format dxfId="334">
      <pivotArea field="2" type="button" dataOnly="0" labelOnly="1" outline="0" axis="axisRow" fieldPosition="0"/>
    </format>
    <format dxfId="333">
      <pivotArea dataOnly="0" labelOnly="1" fieldPosition="0">
        <references count="1">
          <reference field="2" count="0"/>
        </references>
      </pivotArea>
    </format>
    <format dxfId="332">
      <pivotArea dataOnly="0" labelOnly="1" fieldPosition="0">
        <references count="1">
          <reference field="4" count="0"/>
        </references>
      </pivotArea>
    </format>
    <format dxfId="331">
      <pivotArea type="all" dataOnly="0" outline="0" fieldPosition="0"/>
    </format>
    <format dxfId="330">
      <pivotArea outline="0" collapsedLevelsAreSubtotals="1" fieldPosition="0"/>
    </format>
    <format dxfId="329">
      <pivotArea type="origin" dataOnly="0" labelOnly="1" outline="0" fieldPosition="0"/>
    </format>
    <format dxfId="328">
      <pivotArea field="4" type="button" dataOnly="0" labelOnly="1" outline="0" axis="axisCol" fieldPosition="0"/>
    </format>
    <format dxfId="327">
      <pivotArea field="2" type="button" dataOnly="0" labelOnly="1" outline="0" axis="axisRow" fieldPosition="0"/>
    </format>
    <format dxfId="326">
      <pivotArea dataOnly="0" labelOnly="1" fieldPosition="0">
        <references count="1">
          <reference field="2" count="0"/>
        </references>
      </pivotArea>
    </format>
    <format dxfId="325">
      <pivotArea dataOnly="0" labelOnly="1" fieldPosition="0">
        <references count="1">
          <reference field="4" count="0"/>
        </references>
      </pivotArea>
    </format>
  </formats>
  <pivotTableStyleInfo name="PivotStyleLight1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0A63A4-D2AF-4CD2-81B4-F0E96C627872}" name=" Capacidade de produção por dia" cacheId="7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outline="1" outlineData="1" multipleFieldFilters="0">
  <location ref="B33:C36" firstHeaderRow="1" firstDataRow="2" firstDataCol="1" rowPageCount="1" colPageCount="1"/>
  <pivotFields count="8">
    <pivotField axis="axisPage" showAll="0">
      <items count="9">
        <item x="2"/>
        <item x="7"/>
        <item x="4"/>
        <item x="6"/>
        <item x="5"/>
        <item x="0"/>
        <item x="3"/>
        <item x="1"/>
        <item t="default"/>
      </items>
    </pivotField>
    <pivotField showAll="0"/>
    <pivotField axis="axisRow" showAll="0">
      <items count="34">
        <item h="1" x="4"/>
        <item h="1" x="5"/>
        <item h="1" x="6"/>
        <item h="1" x="8"/>
        <item h="1" x="10"/>
        <item h="1" x="11"/>
        <item h="1" x="12"/>
        <item h="1" x="18"/>
        <item h="1" x="22"/>
        <item h="1" x="23"/>
        <item h="1" x="24"/>
        <item h="1" x="25"/>
        <item h="1" x="28"/>
        <item h="1" x="29"/>
        <item h="1" x="30"/>
        <item h="1" x="31"/>
        <item x="26"/>
        <item x="27"/>
        <item h="1" x="0"/>
        <item h="1" x="1"/>
        <item h="1" x="16"/>
        <item h="1" x="17"/>
        <item h="1" x="15"/>
        <item h="1" x="3"/>
        <item h="1" x="14"/>
        <item h="1" x="13"/>
        <item h="1" x="9"/>
        <item h="1" x="7"/>
        <item h="1" x="19"/>
        <item h="1" x="20"/>
        <item h="1" x="21"/>
        <item h="1" x="2"/>
        <item h="1" x="32"/>
        <item t="default"/>
      </items>
    </pivotField>
    <pivotField showAll="0"/>
    <pivotField axis="axisCol" showAll="0">
      <items count="9">
        <item h="1" x="1"/>
        <item h="1" x="0"/>
        <item h="1" x="2"/>
        <item h="1" x="3"/>
        <item h="1" x="4"/>
        <item h="1" x="6"/>
        <item h="1" x="5"/>
        <item x="7"/>
        <item t="default"/>
      </items>
    </pivotField>
    <pivotField dataField="1" showAll="0"/>
    <pivotField showAll="0"/>
    <pivotField showAll="0"/>
  </pivotFields>
  <rowFields count="1">
    <field x="2"/>
  </rowFields>
  <rowItems count="2">
    <i>
      <x v="16"/>
    </i>
    <i>
      <x v="17"/>
    </i>
  </rowItems>
  <colFields count="1">
    <field x="4"/>
  </colFields>
  <colItems count="1">
    <i>
      <x v="7"/>
    </i>
  </colItems>
  <pageFields count="1">
    <pageField fld="0" item="2" hier="-1"/>
  </pageFields>
  <dataFields count="1">
    <dataField name="Soma de Valores2" fld="5" baseField="2" baseItem="56" numFmtId="167"/>
  </dataFields>
  <formats count="15">
    <format dxfId="359">
      <pivotArea outline="0" collapsedLevelsAreSubtotals="1" fieldPosition="0"/>
    </format>
    <format dxfId="358">
      <pivotArea type="all" dataOnly="0" outline="0" fieldPosition="0"/>
    </format>
    <format dxfId="357">
      <pivotArea outline="0" collapsedLevelsAreSubtotals="1" fieldPosition="0"/>
    </format>
    <format dxfId="356">
      <pivotArea type="origin" dataOnly="0" labelOnly="1" outline="0" fieldPosition="0"/>
    </format>
    <format dxfId="355">
      <pivotArea field="4" type="button" dataOnly="0" labelOnly="1" outline="0" axis="axisCol" fieldPosition="0"/>
    </format>
    <format dxfId="354">
      <pivotArea field="2" type="button" dataOnly="0" labelOnly="1" outline="0" axis="axisRow" fieldPosition="0"/>
    </format>
    <format dxfId="353">
      <pivotArea dataOnly="0" labelOnly="1" fieldPosition="0">
        <references count="1">
          <reference field="2" count="0"/>
        </references>
      </pivotArea>
    </format>
    <format dxfId="352">
      <pivotArea dataOnly="0" labelOnly="1" fieldPosition="0">
        <references count="1">
          <reference field="4" count="0"/>
        </references>
      </pivotArea>
    </format>
    <format dxfId="351">
      <pivotArea type="all" dataOnly="0" outline="0" fieldPosition="0"/>
    </format>
    <format dxfId="350">
      <pivotArea outline="0" collapsedLevelsAreSubtotals="1" fieldPosition="0"/>
    </format>
    <format dxfId="349">
      <pivotArea type="origin" dataOnly="0" labelOnly="1" outline="0" fieldPosition="0"/>
    </format>
    <format dxfId="348">
      <pivotArea field="4" type="button" dataOnly="0" labelOnly="1" outline="0" axis="axisCol" fieldPosition="0"/>
    </format>
    <format dxfId="347">
      <pivotArea field="2" type="button" dataOnly="0" labelOnly="1" outline="0" axis="axisRow" fieldPosition="0"/>
    </format>
    <format dxfId="346">
      <pivotArea dataOnly="0" labelOnly="1" fieldPosition="0">
        <references count="1">
          <reference field="2" count="0"/>
        </references>
      </pivotArea>
    </format>
    <format dxfId="345">
      <pivotArea dataOnly="0" labelOnly="1" fieldPosition="0">
        <references count="1">
          <reference field="4" count="0"/>
        </references>
      </pivotArea>
    </format>
  </formats>
  <pivotTableStyleInfo name="PivotStyleLight1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7327CAB-7479-408A-A4F8-3507FA1FD0C3}" name="Energia - comercialização e exportação" cacheId="7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outline="1" outlineData="1" multipleFieldFilters="0">
  <location ref="B93:C95" firstHeaderRow="1" firstDataRow="2" firstDataCol="1" rowPageCount="2" colPageCount="1"/>
  <pivotFields count="8">
    <pivotField axis="axisPage" multipleItemSelectionAllowed="1" showAll="0">
      <items count="9">
        <item h="1" x="2"/>
        <item h="1" x="7"/>
        <item h="1" x="4"/>
        <item h="1" x="6"/>
        <item h="1" x="5"/>
        <item h="1" x="0"/>
        <item x="3"/>
        <item h="1" x="1"/>
        <item t="default"/>
      </items>
    </pivotField>
    <pivotField axis="axisPage" showAll="0">
      <items count="19">
        <item x="14"/>
        <item x="15"/>
        <item x="10"/>
        <item x="13"/>
        <item x="11"/>
        <item x="16"/>
        <item x="5"/>
        <item x="4"/>
        <item x="7"/>
        <item x="2"/>
        <item x="12"/>
        <item x="0"/>
        <item x="9"/>
        <item x="8"/>
        <item x="6"/>
        <item x="3"/>
        <item x="17"/>
        <item x="1"/>
        <item t="default"/>
      </items>
    </pivotField>
    <pivotField axis="axisRow" showAll="0">
      <items count="34">
        <item h="1" x="4"/>
        <item h="1" x="5"/>
        <item h="1" x="6"/>
        <item h="1" x="8"/>
        <item h="1" x="10"/>
        <item h="1" x="11"/>
        <item h="1" x="22"/>
        <item h="1" x="12"/>
        <item h="1" x="18"/>
        <item h="1" x="28"/>
        <item h="1" x="23"/>
        <item h="1" x="24"/>
        <item h="1" x="25"/>
        <item h="1" x="29"/>
        <item h="1" x="30"/>
        <item x="31"/>
        <item h="1" x="26"/>
        <item h="1" x="27"/>
        <item h="1" x="0"/>
        <item h="1" x="1"/>
        <item h="1" x="16"/>
        <item h="1" x="17"/>
        <item h="1" x="15"/>
        <item h="1" x="3"/>
        <item h="1" x="14"/>
        <item h="1" x="13"/>
        <item h="1" x="9"/>
        <item h="1" x="7"/>
        <item h="1" x="19"/>
        <item h="1" x="20"/>
        <item h="1" x="21"/>
        <item h="1" x="2"/>
        <item h="1" x="32"/>
        <item t="default"/>
      </items>
    </pivotField>
    <pivotField showAll="0"/>
    <pivotField axis="axisCol" showAll="0">
      <items count="9">
        <item h="1" x="1"/>
        <item h="1" x="0"/>
        <item h="1" x="2"/>
        <item h="1" x="3"/>
        <item h="1" x="4"/>
        <item h="1" x="6"/>
        <item h="1" x="5"/>
        <item x="7"/>
        <item t="default"/>
      </items>
    </pivotField>
    <pivotField dataField="1" showAll="0"/>
    <pivotField showAll="0"/>
    <pivotField showAll="0"/>
  </pivotFields>
  <rowFields count="1">
    <field x="2"/>
  </rowFields>
  <rowItems count="1">
    <i>
      <x v="15"/>
    </i>
  </rowItems>
  <colFields count="1">
    <field x="4"/>
  </colFields>
  <colItems count="1">
    <i>
      <x v="7"/>
    </i>
  </colItems>
  <pageFields count="2">
    <pageField fld="0" hier="-1"/>
    <pageField fld="1" item="4" hier="-1"/>
  </pageFields>
  <dataFields count="1">
    <dataField name="Soma de Valores2" fld="5" baseField="2" baseItem="56" numFmtId="167"/>
  </dataFields>
  <formats count="15">
    <format dxfId="374">
      <pivotArea outline="0" collapsedLevelsAreSubtotals="1" fieldPosition="0"/>
    </format>
    <format dxfId="373">
      <pivotArea type="all" dataOnly="0" outline="0" fieldPosition="0"/>
    </format>
    <format dxfId="372">
      <pivotArea outline="0" collapsedLevelsAreSubtotals="1" fieldPosition="0"/>
    </format>
    <format dxfId="371">
      <pivotArea type="origin" dataOnly="0" labelOnly="1" outline="0" fieldPosition="0"/>
    </format>
    <format dxfId="370">
      <pivotArea field="4" type="button" dataOnly="0" labelOnly="1" outline="0" axis="axisCol" fieldPosition="0"/>
    </format>
    <format dxfId="369">
      <pivotArea field="2" type="button" dataOnly="0" labelOnly="1" outline="0" axis="axisRow" fieldPosition="0"/>
    </format>
    <format dxfId="368">
      <pivotArea dataOnly="0" labelOnly="1" fieldPosition="0">
        <references count="1">
          <reference field="2" count="0"/>
        </references>
      </pivotArea>
    </format>
    <format dxfId="367">
      <pivotArea dataOnly="0" labelOnly="1" fieldPosition="0">
        <references count="1">
          <reference field="4" count="0"/>
        </references>
      </pivotArea>
    </format>
    <format dxfId="366">
      <pivotArea type="all" dataOnly="0" outline="0" fieldPosition="0"/>
    </format>
    <format dxfId="365">
      <pivotArea outline="0" collapsedLevelsAreSubtotals="1" fieldPosition="0"/>
    </format>
    <format dxfId="364">
      <pivotArea type="origin" dataOnly="0" labelOnly="1" outline="0" fieldPosition="0"/>
    </format>
    <format dxfId="363">
      <pivotArea field="4" type="button" dataOnly="0" labelOnly="1" outline="0" axis="axisCol" fieldPosition="0"/>
    </format>
    <format dxfId="362">
      <pivotArea field="2" type="button" dataOnly="0" labelOnly="1" outline="0" axis="axisRow" fieldPosition="0"/>
    </format>
    <format dxfId="361">
      <pivotArea dataOnly="0" labelOnly="1" fieldPosition="0">
        <references count="1">
          <reference field="2" count="0"/>
        </references>
      </pivotArea>
    </format>
    <format dxfId="360">
      <pivotArea dataOnly="0" labelOnly="1" fieldPosition="0">
        <references count="1">
          <reference field="4" count="0"/>
        </references>
      </pivotArea>
    </format>
  </formats>
  <pivotTableStyleInfo name="PivotStyleLight1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573141B-C5A8-4474-A4D8-1800BB27F8CC}" name="Tabela dinâmica1" cacheId="7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outline="1" outlineData="1" multipleFieldFilters="0">
  <location ref="B146:C150" firstHeaderRow="1" firstDataRow="2" firstDataCol="1" rowPageCount="2" colPageCount="1"/>
  <pivotFields count="8">
    <pivotField axis="axisPage" showAll="0">
      <items count="9">
        <item x="2"/>
        <item x="7"/>
        <item x="4"/>
        <item x="6"/>
        <item x="5"/>
        <item x="0"/>
        <item x="3"/>
        <item x="1"/>
        <item t="default"/>
      </items>
    </pivotField>
    <pivotField axis="axisPage" multipleItemSelectionAllowed="1" showAll="0">
      <items count="19">
        <item h="1" x="14"/>
        <item h="1" x="15"/>
        <item h="1" x="10"/>
        <item h="1" x="13"/>
        <item h="1" x="11"/>
        <item h="1" x="16"/>
        <item h="1" x="5"/>
        <item h="1" x="4"/>
        <item h="1" x="7"/>
        <item x="2"/>
        <item h="1" x="12"/>
        <item h="1" x="0"/>
        <item h="1" x="9"/>
        <item h="1" x="8"/>
        <item h="1" x="6"/>
        <item h="1" x="3"/>
        <item h="1" x="17"/>
        <item h="1" x="1"/>
        <item t="default"/>
      </items>
    </pivotField>
    <pivotField axis="axisRow" showAll="0">
      <items count="34">
        <item x="29"/>
        <item x="4"/>
        <item x="5"/>
        <item x="6"/>
        <item x="8"/>
        <item x="10"/>
        <item x="11"/>
        <item x="22"/>
        <item x="12"/>
        <item x="18"/>
        <item x="28"/>
        <item x="23"/>
        <item x="24"/>
        <item x="25"/>
        <item x="30"/>
        <item x="31"/>
        <item x="26"/>
        <item x="27"/>
        <item x="0"/>
        <item x="1"/>
        <item x="16"/>
        <item x="17"/>
        <item x="15"/>
        <item x="3"/>
        <item x="14"/>
        <item x="13"/>
        <item x="9"/>
        <item x="7"/>
        <item x="19"/>
        <item x="20"/>
        <item x="21"/>
        <item x="2"/>
        <item x="32"/>
        <item t="default"/>
      </items>
    </pivotField>
    <pivotField showAll="0"/>
    <pivotField axis="axisCol" showAll="0">
      <items count="9">
        <item h="1" x="1"/>
        <item h="1" x="0"/>
        <item h="1" x="2"/>
        <item h="1" x="3"/>
        <item h="1" x="4"/>
        <item h="1" x="6"/>
        <item h="1" x="5"/>
        <item x="7"/>
        <item t="default"/>
      </items>
    </pivotField>
    <pivotField dataField="1" showAll="0"/>
    <pivotField showAll="0"/>
    <pivotField showAll="0"/>
  </pivotFields>
  <rowFields count="1">
    <field x="2"/>
  </rowFields>
  <rowItems count="3">
    <i>
      <x/>
    </i>
    <i>
      <x v="1"/>
    </i>
    <i>
      <x v="14"/>
    </i>
  </rowItems>
  <colFields count="1">
    <field x="4"/>
  </colFields>
  <colItems count="1">
    <i>
      <x v="7"/>
    </i>
  </colItems>
  <pageFields count="2">
    <pageField fld="0" item="0" hier="-1"/>
    <pageField fld="1" hier="-1"/>
  </pageFields>
  <dataFields count="1">
    <dataField name="Soma de Valores2" fld="5" baseField="2" baseItem="56" numFmtId="167"/>
  </dataFields>
  <formats count="21">
    <format dxfId="395">
      <pivotArea outline="0" collapsedLevelsAreSubtotals="1" fieldPosition="0"/>
    </format>
    <format dxfId="394">
      <pivotArea type="all" dataOnly="0" outline="0" fieldPosition="0"/>
    </format>
    <format dxfId="393">
      <pivotArea dataOnly="0" labelOnly="1" grandRow="1" outline="0" fieldPosition="0"/>
    </format>
    <format dxfId="392">
      <pivotArea dataOnly="0" labelOnly="1" grandCol="1" outline="0" fieldPosition="0"/>
    </format>
    <format dxfId="391">
      <pivotArea type="all" dataOnly="0" outline="0" fieldPosition="0"/>
    </format>
    <format dxfId="390">
      <pivotArea type="topRight" dataOnly="0" labelOnly="1" outline="0" fieldPosition="0"/>
    </format>
    <format dxfId="389">
      <pivotArea collapsedLevelsAreSubtotals="1" fieldPosition="0">
        <references count="1">
          <reference field="2" count="1">
            <x v="0"/>
          </reference>
        </references>
      </pivotArea>
    </format>
    <format dxfId="388">
      <pivotArea type="all" dataOnly="0" outline="0" fieldPosition="0"/>
    </format>
    <format dxfId="387">
      <pivotArea outline="0" collapsedLevelsAreSubtotals="1" fieldPosition="0"/>
    </format>
    <format dxfId="386">
      <pivotArea type="origin" dataOnly="0" labelOnly="1" outline="0" fieldPosition="0"/>
    </format>
    <format dxfId="385">
      <pivotArea field="4" type="button" dataOnly="0" labelOnly="1" outline="0" axis="axisCol" fieldPosition="0"/>
    </format>
    <format dxfId="384">
      <pivotArea field="2" type="button" dataOnly="0" labelOnly="1" outline="0" axis="axisRow" fieldPosition="0"/>
    </format>
    <format dxfId="383">
      <pivotArea dataOnly="0" labelOnly="1" fieldPosition="0">
        <references count="1">
          <reference field="2" count="0"/>
        </references>
      </pivotArea>
    </format>
    <format dxfId="382">
      <pivotArea dataOnly="0" labelOnly="1" fieldPosition="0">
        <references count="1">
          <reference field="4" count="0"/>
        </references>
      </pivotArea>
    </format>
    <format dxfId="381">
      <pivotArea type="all" dataOnly="0" outline="0" fieldPosition="0"/>
    </format>
    <format dxfId="380">
      <pivotArea outline="0" collapsedLevelsAreSubtotals="1" fieldPosition="0"/>
    </format>
    <format dxfId="379">
      <pivotArea type="origin" dataOnly="0" labelOnly="1" outline="0" fieldPosition="0"/>
    </format>
    <format dxfId="378">
      <pivotArea field="4" type="button" dataOnly="0" labelOnly="1" outline="0" axis="axisCol" fieldPosition="0"/>
    </format>
    <format dxfId="377">
      <pivotArea field="2" type="button" dataOnly="0" labelOnly="1" outline="0" axis="axisRow" fieldPosition="0"/>
    </format>
    <format dxfId="376">
      <pivotArea dataOnly="0" labelOnly="1" fieldPosition="0">
        <references count="1">
          <reference field="2" count="0"/>
        </references>
      </pivotArea>
    </format>
    <format dxfId="375">
      <pivotArea dataOnly="0" labelOnly="1" fieldPosition="0">
        <references count="1">
          <reference field="4" count="0"/>
        </references>
      </pivotArea>
    </format>
  </formats>
  <pivotTableStyleInfo name="PivotStyleLight1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23C5D6-A50C-46BB-8928-B787D5473CB7}" name=" Etanol Hidratado (m³)" cacheId="7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outline="1" outlineData="1" multipleFieldFilters="0">
  <location ref="B69:C71" firstHeaderRow="1" firstDataRow="2" firstDataCol="1" rowPageCount="2" colPageCount="1"/>
  <pivotFields count="8">
    <pivotField axis="axisPage" multipleItemSelectionAllowed="1" showAll="0">
      <items count="9">
        <item h="1" x="2"/>
        <item h="1" x="7"/>
        <item h="1" x="4"/>
        <item h="1" x="6"/>
        <item h="1" x="5"/>
        <item h="1" x="0"/>
        <item x="3"/>
        <item h="1" x="1"/>
        <item t="default"/>
      </items>
    </pivotField>
    <pivotField axis="axisPage" showAll="0">
      <items count="19">
        <item x="14"/>
        <item x="15"/>
        <item x="10"/>
        <item x="13"/>
        <item x="11"/>
        <item x="16"/>
        <item x="5"/>
        <item x="4"/>
        <item x="7"/>
        <item x="2"/>
        <item x="12"/>
        <item x="0"/>
        <item x="9"/>
        <item x="8"/>
        <item x="6"/>
        <item x="3"/>
        <item x="17"/>
        <item x="1"/>
        <item t="default"/>
      </items>
    </pivotField>
    <pivotField axis="axisRow" showAll="0">
      <items count="34">
        <item h="1" x="4"/>
        <item h="1" x="5"/>
        <item h="1" x="6"/>
        <item h="1" x="8"/>
        <item h="1" x="10"/>
        <item h="1" x="11"/>
        <item h="1" x="22"/>
        <item h="1" x="12"/>
        <item h="1" x="18"/>
        <item x="28"/>
        <item h="1" x="23"/>
        <item h="1" x="24"/>
        <item h="1" x="25"/>
        <item h="1" x="29"/>
        <item h="1" x="30"/>
        <item h="1" x="31"/>
        <item h="1" x="26"/>
        <item h="1" x="27"/>
        <item h="1" x="0"/>
        <item h="1" x="1"/>
        <item h="1" x="16"/>
        <item h="1" x="17"/>
        <item h="1" x="15"/>
        <item h="1" x="3"/>
        <item h="1" x="14"/>
        <item h="1" x="13"/>
        <item h="1" x="9"/>
        <item h="1" x="7"/>
        <item h="1" x="19"/>
        <item h="1" x="20"/>
        <item h="1" x="21"/>
        <item h="1" x="2"/>
        <item h="1" x="32"/>
        <item t="default"/>
      </items>
    </pivotField>
    <pivotField showAll="0"/>
    <pivotField axis="axisCol" showAll="0">
      <items count="9">
        <item h="1" x="1"/>
        <item h="1" x="0"/>
        <item h="1" x="2"/>
        <item h="1" x="3"/>
        <item h="1" x="4"/>
        <item h="1" x="6"/>
        <item h="1" x="5"/>
        <item x="7"/>
        <item t="default"/>
      </items>
    </pivotField>
    <pivotField dataField="1" showAll="0"/>
    <pivotField showAll="0"/>
    <pivotField showAll="0"/>
  </pivotFields>
  <rowFields count="1">
    <field x="2"/>
  </rowFields>
  <rowItems count="1">
    <i>
      <x v="9"/>
    </i>
  </rowItems>
  <colFields count="1">
    <field x="4"/>
  </colFields>
  <colItems count="1">
    <i>
      <x v="7"/>
    </i>
  </colItems>
  <pageFields count="2">
    <pageField fld="0" hier="-1"/>
    <pageField fld="1" item="5" hier="-1"/>
  </pageFields>
  <dataFields count="1">
    <dataField name="Soma de Valores2" fld="5" baseField="2" baseItem="56" numFmtId="167"/>
  </dataFields>
  <formats count="13">
    <format dxfId="408">
      <pivotArea outline="0" collapsedLevelsAreSubtotals="1" fieldPosition="0"/>
    </format>
    <format dxfId="407">
      <pivotArea type="all" dataOnly="0" outline="0" fieldPosition="0"/>
    </format>
    <format dxfId="406">
      <pivotArea outline="0" collapsedLevelsAreSubtotals="1" fieldPosition="0"/>
    </format>
    <format dxfId="405">
      <pivotArea type="origin" dataOnly="0" labelOnly="1" outline="0" fieldPosition="0"/>
    </format>
    <format dxfId="404">
      <pivotArea field="4" type="button" dataOnly="0" labelOnly="1" outline="0" axis="axisCol" fieldPosition="0"/>
    </format>
    <format dxfId="403">
      <pivotArea field="2" type="button" dataOnly="0" labelOnly="1" outline="0" axis="axisRow" fieldPosition="0"/>
    </format>
    <format dxfId="402">
      <pivotArea dataOnly="0" labelOnly="1" fieldPosition="0">
        <references count="1">
          <reference field="4" count="0"/>
        </references>
      </pivotArea>
    </format>
    <format dxfId="401">
      <pivotArea type="all" dataOnly="0" outline="0" fieldPosition="0"/>
    </format>
    <format dxfId="400">
      <pivotArea outline="0" collapsedLevelsAreSubtotals="1" fieldPosition="0"/>
    </format>
    <format dxfId="399">
      <pivotArea type="origin" dataOnly="0" labelOnly="1" outline="0" fieldPosition="0"/>
    </format>
    <format dxfId="398">
      <pivotArea field="4" type="button" dataOnly="0" labelOnly="1" outline="0" axis="axisCol" fieldPosition="0"/>
    </format>
    <format dxfId="397">
      <pivotArea field="2" type="button" dataOnly="0" labelOnly="1" outline="0" axis="axisRow" fieldPosition="0"/>
    </format>
    <format dxfId="396">
      <pivotArea dataOnly="0" labelOnly="1" fieldPosition="0">
        <references count="1">
          <reference field="4" count="0"/>
        </references>
      </pivotArea>
    </format>
  </formats>
  <pivotTableStyleInfo name="PivotStyleLight1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3D4D93A-D699-4C67-B168-B238A9753881}" name="Tabela dinâmica2" cacheId="7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outline="1" outlineData="1" multipleFieldFilters="0">
  <location ref="B162:C169" firstHeaderRow="1" firstDataRow="2" firstDataCol="1" rowPageCount="2" colPageCount="1"/>
  <pivotFields count="8">
    <pivotField axis="axisPage" multipleItemSelectionAllowed="1" showAll="0">
      <items count="9">
        <item h="1" x="2"/>
        <item h="1" x="7"/>
        <item h="1" x="4"/>
        <item h="1" x="6"/>
        <item h="1" x="5"/>
        <item x="0"/>
        <item h="1" x="3"/>
        <item h="1" x="1"/>
        <item t="default"/>
      </items>
    </pivotField>
    <pivotField axis="axisPage" showAll="0">
      <items count="19">
        <item x="14"/>
        <item x="15"/>
        <item x="10"/>
        <item x="13"/>
        <item x="11"/>
        <item x="16"/>
        <item x="5"/>
        <item x="4"/>
        <item x="7"/>
        <item x="2"/>
        <item x="12"/>
        <item x="0"/>
        <item x="9"/>
        <item x="8"/>
        <item x="6"/>
        <item x="3"/>
        <item x="17"/>
        <item x="1"/>
        <item t="default"/>
      </items>
    </pivotField>
    <pivotField axis="axisRow" showAll="0">
      <items count="34">
        <item x="4"/>
        <item x="5"/>
        <item x="6"/>
        <item x="8"/>
        <item x="10"/>
        <item x="11"/>
        <item x="12"/>
        <item x="18"/>
        <item x="22"/>
        <item x="23"/>
        <item x="24"/>
        <item x="25"/>
        <item x="28"/>
        <item x="29"/>
        <item x="30"/>
        <item x="31"/>
        <item x="26"/>
        <item x="27"/>
        <item x="0"/>
        <item x="1"/>
        <item x="16"/>
        <item x="17"/>
        <item x="15"/>
        <item x="3"/>
        <item x="14"/>
        <item x="13"/>
        <item x="9"/>
        <item x="7"/>
        <item x="19"/>
        <item x="20"/>
        <item x="21"/>
        <item x="2"/>
        <item x="32"/>
        <item t="default"/>
      </items>
    </pivotField>
    <pivotField showAll="0"/>
    <pivotField axis="axisCol" showAll="0">
      <items count="9">
        <item h="1" x="1"/>
        <item h="1" x="0"/>
        <item h="1" x="2"/>
        <item h="1" x="3"/>
        <item h="1" x="4"/>
        <item h="1" x="6"/>
        <item h="1" x="5"/>
        <item x="7"/>
        <item t="default"/>
      </items>
    </pivotField>
    <pivotField dataField="1" showAll="0"/>
    <pivotField showAll="0"/>
    <pivotField showAll="0"/>
  </pivotFields>
  <rowFields count="1">
    <field x="2"/>
  </rowFields>
  <rowItems count="6">
    <i>
      <x v="18"/>
    </i>
    <i>
      <x v="19"/>
    </i>
    <i>
      <x v="20"/>
    </i>
    <i>
      <x v="21"/>
    </i>
    <i>
      <x v="22"/>
    </i>
    <i>
      <x v="23"/>
    </i>
  </rowItems>
  <colFields count="1">
    <field x="4"/>
  </colFields>
  <colItems count="1">
    <i>
      <x v="7"/>
    </i>
  </colItems>
  <pageFields count="2">
    <pageField fld="0" hier="-1"/>
    <pageField fld="1" item="11" hier="-1"/>
  </pageFields>
  <dataFields count="1">
    <dataField name="Soma de Valores2" fld="5" baseField="2" baseItem="56" numFmtId="167"/>
  </dataFields>
  <formats count="24">
    <format dxfId="432">
      <pivotArea outline="0" collapsedLevelsAreSubtotals="1" fieldPosition="0"/>
    </format>
    <format dxfId="431">
      <pivotArea type="all" dataOnly="0" outline="0" fieldPosition="0"/>
    </format>
    <format dxfId="430">
      <pivotArea dataOnly="0" labelOnly="1" grandRow="1" outline="0" fieldPosition="0"/>
    </format>
    <format dxfId="429">
      <pivotArea dataOnly="0" labelOnly="1" grandCol="1" outline="0" fieldPosition="0"/>
    </format>
    <format dxfId="428">
      <pivotArea type="all" dataOnly="0" outline="0" fieldPosition="0"/>
    </format>
    <format dxfId="427">
      <pivotArea type="topRight" dataOnly="0" labelOnly="1" outline="0" fieldPosition="0"/>
    </format>
    <format dxfId="426">
      <pivotArea dataOnly="0" labelOnly="1" fieldPosition="0">
        <references count="1">
          <reference field="2" count="0"/>
        </references>
      </pivotArea>
    </format>
    <format dxfId="425">
      <pivotArea type="all" dataOnly="0" outline="0" fieldPosition="0"/>
    </format>
    <format dxfId="424">
      <pivotArea outline="0" collapsedLevelsAreSubtotals="1" fieldPosition="0"/>
    </format>
    <format dxfId="423">
      <pivotArea type="origin" dataOnly="0" labelOnly="1" outline="0" fieldPosition="0"/>
    </format>
    <format dxfId="422">
      <pivotArea field="4" type="button" dataOnly="0" labelOnly="1" outline="0" axis="axisCol" fieldPosition="0"/>
    </format>
    <format dxfId="421">
      <pivotArea field="2" type="button" dataOnly="0" labelOnly="1" outline="0" axis="axisRow" fieldPosition="0"/>
    </format>
    <format dxfId="420">
      <pivotArea dataOnly="0" labelOnly="1" fieldPosition="0">
        <references count="1">
          <reference field="4" count="0"/>
        </references>
      </pivotArea>
    </format>
    <format dxfId="419">
      <pivotArea type="all" dataOnly="0" outline="0" fieldPosition="0"/>
    </format>
    <format dxfId="418">
      <pivotArea outline="0" collapsedLevelsAreSubtotals="1" fieldPosition="0"/>
    </format>
    <format dxfId="417">
      <pivotArea type="origin" dataOnly="0" labelOnly="1" outline="0" fieldPosition="0"/>
    </format>
    <format dxfId="416">
      <pivotArea field="4" type="button" dataOnly="0" labelOnly="1" outline="0" axis="axisCol" fieldPosition="0"/>
    </format>
    <format dxfId="415">
      <pivotArea field="2" type="button" dataOnly="0" labelOnly="1" outline="0" axis="axisRow" fieldPosition="0"/>
    </format>
    <format dxfId="414">
      <pivotArea dataOnly="0" labelOnly="1" fieldPosition="0">
        <references count="1">
          <reference field="4" count="0"/>
        </references>
      </pivotArea>
    </format>
    <format dxfId="413">
      <pivotArea collapsedLevelsAreSubtotals="1" fieldPosition="0">
        <references count="1">
          <reference field="2" count="2">
            <x v="18"/>
            <x v="19"/>
          </reference>
        </references>
      </pivotArea>
    </format>
    <format dxfId="412">
      <pivotArea collapsedLevelsAreSubtotals="1" fieldPosition="0">
        <references count="1">
          <reference field="2" count="2">
            <x v="20"/>
            <x v="21"/>
          </reference>
        </references>
      </pivotArea>
    </format>
    <format dxfId="411">
      <pivotArea collapsedLevelsAreSubtotals="1" fieldPosition="0">
        <references count="1">
          <reference field="2" count="1">
            <x v="23"/>
          </reference>
        </references>
      </pivotArea>
    </format>
    <format dxfId="410">
      <pivotArea collapsedLevelsAreSubtotals="1" fieldPosition="0">
        <references count="1">
          <reference field="2" count="1">
            <x v="22"/>
          </reference>
        </references>
      </pivotArea>
    </format>
    <format dxfId="409">
      <pivotArea outline="0" collapsedLevelsAreSubtotals="1" fieldPosition="0"/>
    </format>
  </formats>
  <pivotTableStyleInfo name="PivotStyleLight1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BE51709-C8B9-4477-A56B-E1EE584A620D}" name=" Cogeração de Energia" cacheId="7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outline="1" outlineData="1" multipleFieldFilters="0">
  <location ref="B44:C46" firstHeaderRow="1" firstDataRow="2" firstDataCol="1" rowPageCount="1" colPageCount="1"/>
  <pivotFields count="8">
    <pivotField axis="axisPage" showAll="0">
      <items count="9">
        <item x="2"/>
        <item x="7"/>
        <item x="4"/>
        <item x="6"/>
        <item x="5"/>
        <item x="0"/>
        <item x="3"/>
        <item x="1"/>
        <item t="default"/>
      </items>
    </pivotField>
    <pivotField showAll="0"/>
    <pivotField axis="axisRow" showAll="0">
      <items count="34">
        <item h="1" x="4"/>
        <item h="1" x="5"/>
        <item h="1" x="6"/>
        <item h="1" x="8"/>
        <item h="1" x="10"/>
        <item h="1" x="11"/>
        <item x="22"/>
        <item h="1" x="12"/>
        <item h="1" x="18"/>
        <item h="1" x="23"/>
        <item h="1" x="24"/>
        <item h="1" x="25"/>
        <item h="1" x="28"/>
        <item h="1" x="29"/>
        <item h="1" x="30"/>
        <item h="1" x="31"/>
        <item h="1" x="26"/>
        <item h="1" x="27"/>
        <item h="1" x="0"/>
        <item h="1" x="1"/>
        <item h="1" x="16"/>
        <item h="1" x="17"/>
        <item h="1" x="15"/>
        <item h="1" x="3"/>
        <item h="1" x="14"/>
        <item h="1" x="13"/>
        <item h="1" x="9"/>
        <item h="1" x="7"/>
        <item h="1" x="19"/>
        <item h="1" x="20"/>
        <item h="1" x="21"/>
        <item h="1" x="2"/>
        <item h="1" x="32"/>
        <item t="default"/>
      </items>
    </pivotField>
    <pivotField showAll="0"/>
    <pivotField axis="axisCol" showAll="0">
      <items count="9">
        <item h="1" x="1"/>
        <item h="1" x="0"/>
        <item h="1" x="2"/>
        <item h="1" x="3"/>
        <item h="1" x="4"/>
        <item h="1" x="6"/>
        <item h="1" x="5"/>
        <item x="7"/>
        <item t="default"/>
      </items>
    </pivotField>
    <pivotField dataField="1" showAll="0"/>
    <pivotField showAll="0"/>
    <pivotField showAll="0"/>
  </pivotFields>
  <rowFields count="1">
    <field x="2"/>
  </rowFields>
  <rowItems count="1">
    <i>
      <x v="6"/>
    </i>
  </rowItems>
  <colFields count="1">
    <field x="4"/>
  </colFields>
  <colItems count="1">
    <i>
      <x v="7"/>
    </i>
  </colItems>
  <pageFields count="1">
    <pageField fld="0" item="2" hier="-1"/>
  </pageFields>
  <dataFields count="1">
    <dataField name="Soma de Valores2" fld="5" baseField="2" baseItem="56" numFmtId="167"/>
  </dataFields>
  <formats count="18">
    <format dxfId="450">
      <pivotArea outline="0" collapsedLevelsAreSubtotals="1" fieldPosition="0"/>
    </format>
    <format dxfId="449">
      <pivotArea type="all" dataOnly="0" outline="0" fieldPosition="0"/>
    </format>
    <format dxfId="448">
      <pivotArea dataOnly="0" labelOnly="1" grandRow="1" outline="0" fieldPosition="0"/>
    </format>
    <format dxfId="447">
      <pivotArea dataOnly="0" labelOnly="1" grandCol="1" outline="0" fieldPosition="0"/>
    </format>
    <format dxfId="446">
      <pivotArea type="all" dataOnly="0" outline="0" fieldPosition="0"/>
    </format>
    <format dxfId="445">
      <pivotArea outline="0" collapsedLevelsAreSubtotals="1" fieldPosition="0"/>
    </format>
    <format dxfId="444">
      <pivotArea type="origin" dataOnly="0" labelOnly="1" outline="0" fieldPosition="0"/>
    </format>
    <format dxfId="443">
      <pivotArea field="4" type="button" dataOnly="0" labelOnly="1" outline="0" axis="axisCol" fieldPosition="0"/>
    </format>
    <format dxfId="442">
      <pivotArea field="2" type="button" dataOnly="0" labelOnly="1" outline="0" axis="axisRow" fieldPosition="0"/>
    </format>
    <format dxfId="441">
      <pivotArea dataOnly="0" labelOnly="1" fieldPosition="0">
        <references count="1">
          <reference field="2" count="0"/>
        </references>
      </pivotArea>
    </format>
    <format dxfId="440">
      <pivotArea dataOnly="0" labelOnly="1" fieldPosition="0">
        <references count="1">
          <reference field="4" count="0"/>
        </references>
      </pivotArea>
    </format>
    <format dxfId="439">
      <pivotArea type="all" dataOnly="0" outline="0" fieldPosition="0"/>
    </format>
    <format dxfId="438">
      <pivotArea outline="0" collapsedLevelsAreSubtotals="1" fieldPosition="0"/>
    </format>
    <format dxfId="437">
      <pivotArea type="origin" dataOnly="0" labelOnly="1" outline="0" fieldPosition="0"/>
    </format>
    <format dxfId="436">
      <pivotArea field="4" type="button" dataOnly="0" labelOnly="1" outline="0" axis="axisCol" fieldPosition="0"/>
    </format>
    <format dxfId="435">
      <pivotArea field="2" type="button" dataOnly="0" labelOnly="1" outline="0" axis="axisRow" fieldPosition="0"/>
    </format>
    <format dxfId="434">
      <pivotArea dataOnly="0" labelOnly="1" fieldPosition="0">
        <references count="1">
          <reference field="2" count="0"/>
        </references>
      </pivotArea>
    </format>
    <format dxfId="433">
      <pivotArea dataOnly="0" labelOnly="1" fieldPosition="0">
        <references count="1">
          <reference field="4" count="0"/>
        </references>
      </pivotArea>
    </format>
  </formats>
  <pivotTableStyleInfo name="PivotStyleLight1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Safra" xr10:uid="{B5A56221-4127-4B7C-8F53-82E9DB27A3E0}" sourceName="Safra">
  <pivotTables>
    <pivotTable tabId="2" name="Moagem"/>
    <pivotTable tabId="2" name=" Capacidade de produção por dia"/>
    <pivotTable tabId="2" name=" Cogeração de Energia"/>
    <pivotTable tabId="2" name=" Etanol Anidro (m³)"/>
    <pivotTable tabId="2" name=" Etanol Hidratado (m³)"/>
    <pivotTable tabId="2" name=" Período de Safra"/>
    <pivotTable tabId="2" name="Agrícola - origem da cana"/>
    <pivotTable tabId="2" name="Energia - comercialização e exportação"/>
    <pivotTable tabId="2" name="Tabela dinâmica1"/>
    <pivotTable tabId="2" name="Tabela dinâmica2"/>
    <pivotTable tabId="2" name="Tabela dinâmica7"/>
    <pivotTable tabId="2" name="Tabela dinâmica12"/>
    <pivotTable tabId="2" name="Tabela dinâmica13"/>
    <pivotTable tabId="2" name="Tabela dinâmica3"/>
    <pivotTable tabId="2" name="Tabela dinâmica4"/>
    <pivotTable tabId="2" name="Tabela dinâmica14"/>
  </pivotTables>
  <data>
    <tabular pivotCacheId="867442086">
      <items count="8">
        <i x="0"/>
        <i x="1"/>
        <i x="2"/>
        <i x="3"/>
        <i x="4"/>
        <i x="6"/>
        <i x="7" s="1"/>
        <i x="5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afra" xr10:uid="{4A360195-30AF-4157-BFC9-99616371F883}" cache="SegmentaçãodeDados_Safra" caption="Safra" style="SlicerStyleOther1 2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363E725-6C61-42D3-9315-0B996F91BC26}" name="Tabela2" displayName="Tabela2" ref="A1:H2" totalsRowShown="0">
  <autoFilter ref="A1:H2" xr:uid="{A363E725-6C61-42D3-9315-0B996F91BC26}"/>
  <tableColumns count="8">
    <tableColumn id="1" xr3:uid="{19E4F0A4-BF1D-436E-B922-27FDAD76BDB3}" name="Aba"/>
    <tableColumn id="2" xr3:uid="{192D3730-C0F3-4521-B983-B7DD624D9057}" name="Tema"/>
    <tableColumn id="3" xr3:uid="{8B62ECC7-4681-4847-85AC-38F3E53EC5A8}" name="Descrição"/>
    <tableColumn id="4" xr3:uid="{6F105437-559F-42D6-9810-21766D896F8D}" name="Unidades"/>
    <tableColumn id="5" xr3:uid="{FBA35E9C-9E7A-46CF-92A7-0891610418C3}" name="Safra"/>
    <tableColumn id="6" xr3:uid="{F1F378E9-AAC0-4D19-B446-0B7C4AE22CBB}" name="Valores2"/>
    <tableColumn id="7" xr3:uid="{1BCD7460-078F-4044-9CEE-4D54D0DB09C7}" name="Check"/>
    <tableColumn id="8" xr3:uid="{ED7DA588-C392-4831-A830-315598DAD0F8}" name="Coluna1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A7ACA44-D819-4E20-B1D6-74FB36C40204}" name="Tabela1" displayName="Tabela1" ref="D163:E169" totalsRowShown="0" headerRowDxfId="291" dataDxfId="290">
  <autoFilter ref="D163:E169" xr:uid="{BFF47E4F-3761-4B06-AB22-8D88FEDEDA86}"/>
  <sortState xmlns:xlrd2="http://schemas.microsoft.com/office/spreadsheetml/2017/richdata2" ref="D164:I167">
    <sortCondition descending="1" ref="I163:I167"/>
  </sortState>
  <tableColumns count="2">
    <tableColumn id="1" xr3:uid="{12AE9210-28ED-4D97-B6FC-3934C1ADEF62}" name="Coluna1" dataDxfId="289"/>
    <tableColumn id="2" xr3:uid="{48753034-C05C-4957-9450-4EDD002CFDB4}" name="Mercado doméstico" dataDxfId="288"/>
  </tableColumns>
  <tableStyleInfo name="TableStyleMedium4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AFE6E29-AD87-4059-A74F-C79CA534D578}" name="Tabela14" displayName="Tabela14" ref="A1:H273" totalsRowShown="0" headerRowDxfId="287" dataDxfId="286">
  <autoFilter ref="A1:H273" xr:uid="{0AFE6E29-AD87-4059-A74F-C79CA534D578}">
    <filterColumn colId="4">
      <filters>
        <filter val="24/25"/>
      </filters>
    </filterColumn>
  </autoFilter>
  <sortState xmlns:xlrd2="http://schemas.microsoft.com/office/spreadsheetml/2017/richdata2" ref="A2:G194">
    <sortCondition ref="C1:C194"/>
  </sortState>
  <tableColumns count="8">
    <tableColumn id="1" xr3:uid="{90F9A3F9-B3CC-49BE-948B-53DF07595EFF}" name="Aba" dataDxfId="285"/>
    <tableColumn id="2" xr3:uid="{89A65706-B85D-4D44-B5BF-0F07F50DC74A}" name="Tema" dataDxfId="284"/>
    <tableColumn id="3" xr3:uid="{4E2DE5DF-2DF5-4FE0-92ED-833F32D585A4}" name="Descrição" dataDxfId="283"/>
    <tableColumn id="4" xr3:uid="{8C5226C8-A6E4-4717-A83F-5050D6FF8739}" name="Unidades" dataDxfId="282"/>
    <tableColumn id="12" xr3:uid="{3A9AF418-A205-41C6-A647-929E3E04BA97}" name="Safra" dataDxfId="281"/>
    <tableColumn id="5" xr3:uid="{DD2A2642-5686-42D5-AAD5-41F5F87064C8}" name="Valores" dataDxfId="280"/>
    <tableColumn id="6" xr3:uid="{C40CCDA5-B4D7-4913-95BD-561AB87200A5}" name="Check" dataDxfId="279"/>
    <tableColumn id="7" xr3:uid="{A8FD8A5E-6819-4328-BB52-EFF8C65C4A7F}" name="Coluna1" dataDxfId="278"/>
  </tableColumns>
  <tableStyleInfo name="TableStyleLight4" showFirstColumn="0" showLastColumn="0" showRowStripes="1" showColumnStripes="0"/>
</table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18" Type="http://schemas.openxmlformats.org/officeDocument/2006/relationships/table" Target="../tables/table2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rinterSettings" Target="../printerSettings/printerSettings10.bin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10" Type="http://schemas.openxmlformats.org/officeDocument/2006/relationships/pivotTable" Target="../pivotTables/pivotTable10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4BE5D-3224-4085-B3A3-9AF56E5E272F}">
  <sheetPr codeName="Planilha4"/>
  <dimension ref="AG59:AL62"/>
  <sheetViews>
    <sheetView showGridLines="0" showRowColHeaders="0" tabSelected="1" zoomScale="70" zoomScaleNormal="70" workbookViewId="0"/>
  </sheetViews>
  <sheetFormatPr defaultColWidth="1.54296875" defaultRowHeight="9" customHeight="1"/>
  <cols>
    <col min="1" max="16384" width="1.54296875" style="19"/>
  </cols>
  <sheetData>
    <row r="59" spans="33:38" ht="9" customHeight="1">
      <c r="AG59" s="20"/>
    </row>
    <row r="62" spans="33:38" ht="9" customHeight="1">
      <c r="AL62"/>
    </row>
  </sheetData>
  <sheetProtection algorithmName="SHA-512" hashValue="GvgW6VS/MLGbosyhh9956SKu8jPzXN4fnwWXG6/LpopHHNZWGhsZlyV/OjyFouhJnN6aBIDacEV5bJw9ggroEQ==" saltValue="eMoi/CNDNPYni6PfuqS46g==" spinCount="100000" sheet="1" objects="1" scenarios="1"/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CE680-E815-483D-BDC5-CF9FF5A63408}">
  <dimension ref="A1:H2"/>
  <sheetViews>
    <sheetView workbookViewId="0">
      <selection sqref="A1:H2"/>
    </sheetView>
  </sheetViews>
  <sheetFormatPr defaultRowHeight="14.5"/>
  <cols>
    <col min="3" max="3" width="10.81640625" customWidth="1"/>
    <col min="4" max="4" width="10.6328125" customWidth="1"/>
    <col min="6" max="6" width="10.08984375" customWidth="1"/>
    <col min="8" max="8" width="9.6328125" customWidth="1"/>
  </cols>
  <sheetData>
    <row r="1" spans="1:8">
      <c r="A1" t="s">
        <v>0</v>
      </c>
      <c r="B1" t="s">
        <v>2</v>
      </c>
      <c r="C1" t="s">
        <v>7</v>
      </c>
      <c r="D1" t="s">
        <v>3</v>
      </c>
      <c r="E1" t="s">
        <v>52</v>
      </c>
      <c r="F1" t="s">
        <v>362</v>
      </c>
      <c r="G1" t="s">
        <v>281</v>
      </c>
      <c r="H1" t="s">
        <v>144</v>
      </c>
    </row>
    <row r="2" spans="1:8">
      <c r="A2" t="s">
        <v>1</v>
      </c>
      <c r="B2" t="s">
        <v>15</v>
      </c>
      <c r="C2" t="s">
        <v>40</v>
      </c>
      <c r="D2" t="s">
        <v>356</v>
      </c>
      <c r="E2" t="s">
        <v>348</v>
      </c>
      <c r="F2">
        <v>100</v>
      </c>
      <c r="G2" t="s">
        <v>304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473353-58FB-43D2-A641-B62D2F52B7F2}">
  <sheetPr codeName="Planilha2"/>
  <dimension ref="A2:R198"/>
  <sheetViews>
    <sheetView showGridLines="0" zoomScale="85" zoomScaleNormal="85" workbookViewId="0"/>
  </sheetViews>
  <sheetFormatPr defaultColWidth="8.54296875" defaultRowHeight="13"/>
  <cols>
    <col min="1" max="1" width="2.54296875" style="4" customWidth="1"/>
    <col min="2" max="2" width="34.54296875" style="4" bestFit="1" customWidth="1"/>
    <col min="3" max="3" width="19" style="4" bestFit="1" customWidth="1"/>
    <col min="4" max="4" width="23.54296875" style="4" bestFit="1" customWidth="1"/>
    <col min="5" max="5" width="19.453125" style="4" customWidth="1"/>
    <col min="6" max="6" width="22.54296875" style="4" bestFit="1" customWidth="1"/>
    <col min="7" max="7" width="11.54296875" style="4" bestFit="1" customWidth="1"/>
    <col min="8" max="9" width="11.453125" style="4" customWidth="1"/>
    <col min="10" max="10" width="6.54296875" style="4" bestFit="1" customWidth="1"/>
    <col min="11" max="11" width="25.453125" style="4" bestFit="1" customWidth="1"/>
    <col min="12" max="12" width="13.54296875" style="4" bestFit="1" customWidth="1"/>
    <col min="13" max="14" width="25" style="4" bestFit="1" customWidth="1"/>
    <col min="15" max="15" width="22.453125" style="4" bestFit="1" customWidth="1"/>
    <col min="16" max="18" width="25" style="4" bestFit="1" customWidth="1"/>
    <col min="19" max="16384" width="8.54296875" style="4"/>
  </cols>
  <sheetData>
    <row r="2" spans="1:18">
      <c r="B2" s="4" t="s">
        <v>78</v>
      </c>
      <c r="C2" s="5">
        <v>45138</v>
      </c>
    </row>
    <row r="4" spans="1:18" ht="23.9" customHeight="1">
      <c r="A4" s="14" t="s">
        <v>75</v>
      </c>
      <c r="B4" s="15" t="s">
        <v>1</v>
      </c>
      <c r="C4" s="16"/>
      <c r="D4" s="16"/>
      <c r="E4" s="16"/>
      <c r="F4" s="16"/>
      <c r="G4" s="16"/>
      <c r="H4" s="16"/>
      <c r="I4" s="16"/>
      <c r="J4" s="17"/>
      <c r="K4" s="17"/>
      <c r="L4" s="17"/>
      <c r="M4" s="17"/>
      <c r="N4" s="17"/>
      <c r="O4" s="17"/>
      <c r="P4" s="17"/>
    </row>
    <row r="6" spans="1:18" s="8" customFormat="1" ht="19.5" customHeight="1">
      <c r="A6" s="6"/>
      <c r="B6" s="7" t="s">
        <v>61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</row>
    <row r="8" spans="1:18">
      <c r="B8" s="9" t="s">
        <v>0</v>
      </c>
      <c r="C8" s="4" t="s">
        <v>1</v>
      </c>
    </row>
    <row r="10" spans="1:18">
      <c r="B10" s="9" t="s">
        <v>53</v>
      </c>
      <c r="C10" s="9" t="s">
        <v>56</v>
      </c>
    </row>
    <row r="11" spans="1:18">
      <c r="B11" s="9" t="s">
        <v>55</v>
      </c>
      <c r="C11" s="4" t="s">
        <v>379</v>
      </c>
      <c r="D11" s="40" t="str">
        <f>_xlfn.CONCAT("SAFRA ",C11)</f>
        <v>SAFRA 24/25</v>
      </c>
      <c r="K11" s="9"/>
      <c r="L11" s="9"/>
      <c r="M11" s="9"/>
      <c r="N11" s="9"/>
      <c r="O11" s="9"/>
      <c r="P11" s="9"/>
      <c r="Q11" s="9"/>
      <c r="R11" s="9"/>
    </row>
    <row r="12" spans="1:18">
      <c r="B12" s="10" t="s">
        <v>8</v>
      </c>
      <c r="C12" s="11">
        <v>6700000</v>
      </c>
      <c r="D12" s="39">
        <f>C12/1000000</f>
        <v>6.7</v>
      </c>
      <c r="J12" s="12"/>
    </row>
    <row r="13" spans="1:18" ht="14.5">
      <c r="B13"/>
      <c r="C13"/>
      <c r="J13" s="12"/>
    </row>
    <row r="14" spans="1:18" ht="14.5">
      <c r="B14"/>
      <c r="C14"/>
      <c r="J14" s="12"/>
    </row>
    <row r="17" spans="1:18" s="8" customFormat="1" ht="19.5" customHeight="1">
      <c r="A17" s="6"/>
      <c r="B17" s="7" t="s">
        <v>60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</row>
    <row r="19" spans="1:18">
      <c r="B19" s="9" t="s">
        <v>0</v>
      </c>
      <c r="C19" s="4" t="s">
        <v>1</v>
      </c>
    </row>
    <row r="21" spans="1:18" ht="14.5">
      <c r="B21" s="9" t="s">
        <v>53</v>
      </c>
      <c r="C21" s="9" t="s">
        <v>56</v>
      </c>
      <c r="D21"/>
      <c r="E21"/>
      <c r="F21"/>
      <c r="G21"/>
      <c r="H21"/>
      <c r="I21"/>
    </row>
    <row r="22" spans="1:18" ht="14.5">
      <c r="B22" s="9" t="s">
        <v>55</v>
      </c>
      <c r="C22" s="4" t="s">
        <v>379</v>
      </c>
      <c r="D22"/>
      <c r="E22"/>
      <c r="F22"/>
      <c r="G22"/>
      <c r="H22"/>
      <c r="I22"/>
      <c r="N22" s="9"/>
      <c r="O22" s="9"/>
      <c r="P22" s="9"/>
      <c r="Q22" s="9"/>
      <c r="R22" s="9"/>
    </row>
    <row r="23" spans="1:18">
      <c r="B23" s="10" t="s">
        <v>39</v>
      </c>
      <c r="C23" s="11">
        <v>90</v>
      </c>
      <c r="D23" s="41">
        <f>C23</f>
        <v>90</v>
      </c>
      <c r="E23" s="11" t="s">
        <v>87</v>
      </c>
      <c r="J23" s="12"/>
    </row>
    <row r="24" spans="1:18">
      <c r="B24" s="202" t="s">
        <v>12</v>
      </c>
      <c r="C24" s="203">
        <v>45383</v>
      </c>
      <c r="J24" s="12"/>
    </row>
    <row r="25" spans="1:18">
      <c r="B25" s="202" t="s">
        <v>14</v>
      </c>
      <c r="C25" s="203">
        <v>45747</v>
      </c>
    </row>
    <row r="26" spans="1:18" ht="14.5">
      <c r="B26"/>
      <c r="C26"/>
    </row>
    <row r="29" spans="1:18" s="8" customFormat="1" ht="19.5" customHeight="1">
      <c r="A29" s="6"/>
      <c r="B29" s="7" t="s">
        <v>83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</row>
    <row r="31" spans="1:18">
      <c r="B31" s="9" t="s">
        <v>0</v>
      </c>
      <c r="C31" s="4" t="s">
        <v>1</v>
      </c>
    </row>
    <row r="33" spans="1:18" ht="14.5">
      <c r="B33" s="9" t="s">
        <v>53</v>
      </c>
      <c r="C33" s="9" t="s">
        <v>56</v>
      </c>
      <c r="D33"/>
      <c r="E33"/>
      <c r="F33"/>
      <c r="G33"/>
      <c r="H33"/>
      <c r="I33"/>
    </row>
    <row r="34" spans="1:18" ht="14.5">
      <c r="B34" s="9" t="s">
        <v>55</v>
      </c>
      <c r="C34" s="4" t="s">
        <v>379</v>
      </c>
      <c r="D34"/>
      <c r="E34"/>
      <c r="F34"/>
      <c r="G34"/>
      <c r="H34"/>
      <c r="I34"/>
      <c r="K34" s="9"/>
      <c r="L34" s="9"/>
      <c r="M34" s="9"/>
      <c r="N34" s="9"/>
      <c r="O34" s="9"/>
      <c r="P34" s="9"/>
      <c r="Q34" s="9"/>
      <c r="R34" s="9"/>
    </row>
    <row r="35" spans="1:18">
      <c r="B35" s="10" t="s">
        <v>84</v>
      </c>
      <c r="C35" s="11">
        <v>325</v>
      </c>
      <c r="D35" s="42">
        <f>C35</f>
        <v>325</v>
      </c>
      <c r="E35" s="11">
        <f>40*50</f>
        <v>2000</v>
      </c>
      <c r="F35" s="11"/>
      <c r="J35" s="12"/>
    </row>
    <row r="36" spans="1:18">
      <c r="B36" s="10" t="s">
        <v>85</v>
      </c>
      <c r="C36" s="11">
        <v>315</v>
      </c>
      <c r="D36" s="42">
        <f>C36</f>
        <v>315</v>
      </c>
      <c r="J36" s="12"/>
    </row>
    <row r="37" spans="1:18" ht="14.5">
      <c r="B37"/>
      <c r="C37"/>
      <c r="J37" s="12"/>
    </row>
    <row r="38" spans="1:18" ht="14.5">
      <c r="B38"/>
      <c r="C38"/>
      <c r="J38" s="12"/>
    </row>
    <row r="39" spans="1:18" ht="14.5">
      <c r="B39"/>
      <c r="C39"/>
      <c r="J39" s="12"/>
    </row>
    <row r="40" spans="1:18" s="8" customFormat="1" ht="19.5" customHeight="1">
      <c r="A40" s="6"/>
      <c r="B40" s="7" t="s">
        <v>59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</row>
    <row r="42" spans="1:18">
      <c r="B42" s="9" t="s">
        <v>0</v>
      </c>
      <c r="C42" s="4" t="s">
        <v>1</v>
      </c>
    </row>
    <row r="44" spans="1:18" ht="14.5">
      <c r="B44" s="9" t="s">
        <v>53</v>
      </c>
      <c r="C44" s="9" t="s">
        <v>56</v>
      </c>
      <c r="D44"/>
      <c r="E44"/>
      <c r="F44"/>
      <c r="G44"/>
      <c r="H44"/>
      <c r="I44"/>
    </row>
    <row r="45" spans="1:18" ht="14.5">
      <c r="B45" s="9" t="s">
        <v>55</v>
      </c>
      <c r="C45" s="4" t="s">
        <v>379</v>
      </c>
      <c r="D45"/>
      <c r="E45"/>
      <c r="F45"/>
      <c r="G45"/>
      <c r="H45"/>
      <c r="I45"/>
      <c r="K45" s="9"/>
      <c r="L45" s="9"/>
      <c r="M45" s="9"/>
      <c r="N45" s="9"/>
      <c r="O45" s="9"/>
      <c r="P45" s="9"/>
      <c r="Q45" s="9"/>
      <c r="R45" s="9"/>
    </row>
    <row r="46" spans="1:18">
      <c r="B46" s="10" t="s">
        <v>40</v>
      </c>
      <c r="C46" s="11">
        <v>100</v>
      </c>
      <c r="D46" s="41">
        <f>C46</f>
        <v>100</v>
      </c>
      <c r="J46" s="12"/>
    </row>
    <row r="47" spans="1:18" ht="14.5">
      <c r="B47"/>
      <c r="C47"/>
      <c r="J47" s="12"/>
    </row>
    <row r="48" spans="1:18">
      <c r="J48" s="12"/>
    </row>
    <row r="49" spans="1:16">
      <c r="J49" s="12"/>
    </row>
    <row r="50" spans="1:16">
      <c r="J50" s="12"/>
    </row>
    <row r="51" spans="1:16">
      <c r="J51" s="12"/>
    </row>
    <row r="52" spans="1:16" ht="23.9" customHeight="1">
      <c r="A52" s="14" t="s">
        <v>75</v>
      </c>
      <c r="B52" s="15" t="s">
        <v>58</v>
      </c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</row>
    <row r="54" spans="1:16" s="8" customFormat="1" ht="19.5" customHeight="1">
      <c r="A54" s="6"/>
      <c r="B54" s="7" t="s">
        <v>153</v>
      </c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</row>
    <row r="56" spans="1:16">
      <c r="B56" s="9" t="s">
        <v>0</v>
      </c>
      <c r="C56" s="4" t="s">
        <v>346</v>
      </c>
    </row>
    <row r="57" spans="1:16">
      <c r="B57" s="9" t="s">
        <v>2</v>
      </c>
      <c r="C57" s="4" t="s">
        <v>54</v>
      </c>
    </row>
    <row r="59" spans="1:16" ht="14.5">
      <c r="B59" s="9" t="s">
        <v>53</v>
      </c>
      <c r="C59" s="9" t="s">
        <v>56</v>
      </c>
      <c r="D59"/>
      <c r="E59"/>
      <c r="F59"/>
      <c r="G59"/>
      <c r="H59"/>
      <c r="I59"/>
    </row>
    <row r="60" spans="1:16" ht="14.5">
      <c r="B60" s="9" t="s">
        <v>55</v>
      </c>
      <c r="C60" s="4" t="s">
        <v>379</v>
      </c>
      <c r="D60"/>
      <c r="E60"/>
      <c r="F60"/>
      <c r="G60"/>
      <c r="H60"/>
      <c r="I60"/>
    </row>
    <row r="61" spans="1:16" ht="16.399999999999999" customHeight="1">
      <c r="B61" s="10" t="s">
        <v>43</v>
      </c>
      <c r="C61" s="11">
        <v>85250</v>
      </c>
      <c r="D61" s="41">
        <f>C61/1000</f>
        <v>85.25</v>
      </c>
      <c r="J61" s="12"/>
    </row>
    <row r="62" spans="1:16" ht="16.399999999999999" customHeight="1"/>
    <row r="63" spans="1:16" ht="16.399999999999999" customHeight="1"/>
    <row r="64" spans="1:16" s="8" customFormat="1" ht="19.5" customHeight="1">
      <c r="A64" s="6"/>
      <c r="B64" s="7" t="s">
        <v>79</v>
      </c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</row>
    <row r="66" spans="1:18">
      <c r="B66" s="9" t="s">
        <v>0</v>
      </c>
      <c r="C66" s="4" t="s">
        <v>346</v>
      </c>
    </row>
    <row r="67" spans="1:18">
      <c r="B67" s="9" t="s">
        <v>2</v>
      </c>
      <c r="C67" s="4" t="s">
        <v>18</v>
      </c>
    </row>
    <row r="69" spans="1:18">
      <c r="B69" s="9" t="s">
        <v>53</v>
      </c>
      <c r="C69" s="9" t="s">
        <v>56</v>
      </c>
    </row>
    <row r="70" spans="1:18">
      <c r="B70" s="9" t="s">
        <v>55</v>
      </c>
      <c r="C70" s="4" t="s">
        <v>379</v>
      </c>
      <c r="D70" s="4" t="s">
        <v>135</v>
      </c>
      <c r="E70" s="43">
        <f>SUM(D71,D85)</f>
        <v>76</v>
      </c>
      <c r="L70" s="9"/>
      <c r="M70" s="9"/>
      <c r="N70" s="9"/>
      <c r="O70" s="9"/>
      <c r="P70" s="9"/>
      <c r="Q70" s="9"/>
      <c r="R70" s="9"/>
    </row>
    <row r="71" spans="1:18">
      <c r="B71" s="10" t="s">
        <v>43</v>
      </c>
      <c r="C71" s="11">
        <v>49000</v>
      </c>
      <c r="D71" s="41">
        <f>C71/1000</f>
        <v>49</v>
      </c>
      <c r="J71" s="12"/>
    </row>
    <row r="72" spans="1:18" ht="14.5">
      <c r="B72"/>
      <c r="C72"/>
      <c r="J72" s="12"/>
    </row>
    <row r="73" spans="1:18" ht="14.5">
      <c r="B73"/>
      <c r="C73"/>
      <c r="J73" s="12"/>
    </row>
    <row r="74" spans="1:18" ht="14.5">
      <c r="B74"/>
      <c r="C74"/>
      <c r="J74" s="12"/>
    </row>
    <row r="75" spans="1:18" ht="14.5">
      <c r="B75"/>
      <c r="C75"/>
      <c r="J75" s="12"/>
    </row>
    <row r="78" spans="1:18" s="8" customFormat="1" ht="19.5" customHeight="1">
      <c r="A78" s="6"/>
      <c r="B78" s="7" t="s">
        <v>80</v>
      </c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</row>
    <row r="80" spans="1:18">
      <c r="B80" s="9" t="s">
        <v>0</v>
      </c>
      <c r="C80" s="4" t="s">
        <v>346</v>
      </c>
    </row>
    <row r="81" spans="1:18">
      <c r="B81" s="9" t="s">
        <v>2</v>
      </c>
      <c r="C81" s="4" t="s">
        <v>17</v>
      </c>
    </row>
    <row r="83" spans="1:18" ht="14.5">
      <c r="B83" s="9" t="s">
        <v>53</v>
      </c>
      <c r="C83" s="9" t="s">
        <v>56</v>
      </c>
      <c r="D83"/>
      <c r="E83"/>
      <c r="F83"/>
      <c r="G83"/>
      <c r="H83"/>
      <c r="I83"/>
    </row>
    <row r="84" spans="1:18" ht="14.5">
      <c r="B84" s="9" t="s">
        <v>55</v>
      </c>
      <c r="C84" s="4" t="s">
        <v>379</v>
      </c>
      <c r="D84"/>
      <c r="E84"/>
      <c r="F84"/>
      <c r="G84"/>
      <c r="H84"/>
      <c r="I84"/>
      <c r="K84" s="9"/>
      <c r="L84" s="9"/>
      <c r="M84" s="9"/>
      <c r="N84" s="9"/>
      <c r="O84" s="9"/>
      <c r="P84" s="9"/>
      <c r="Q84" s="9"/>
      <c r="R84" s="9"/>
    </row>
    <row r="85" spans="1:18">
      <c r="B85" s="10" t="s">
        <v>43</v>
      </c>
      <c r="C85" s="11">
        <v>27000</v>
      </c>
      <c r="D85" s="41">
        <f>C85/1000</f>
        <v>27</v>
      </c>
      <c r="J85" s="12"/>
    </row>
    <row r="86" spans="1:18" ht="14.5">
      <c r="B86"/>
      <c r="C86"/>
      <c r="J86" s="12"/>
    </row>
    <row r="88" spans="1:18" s="8" customFormat="1" ht="19.5" customHeight="1">
      <c r="A88" s="6"/>
      <c r="B88" s="7" t="s">
        <v>62</v>
      </c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</row>
    <row r="90" spans="1:18">
      <c r="B90" s="9" t="s">
        <v>0</v>
      </c>
      <c r="C90" s="4" t="s">
        <v>346</v>
      </c>
    </row>
    <row r="91" spans="1:18">
      <c r="B91" s="9" t="s">
        <v>2</v>
      </c>
      <c r="C91" s="4" t="s">
        <v>15</v>
      </c>
    </row>
    <row r="93" spans="1:18" ht="14.5">
      <c r="B93" s="9" t="s">
        <v>53</v>
      </c>
      <c r="C93" s="9" t="s">
        <v>56</v>
      </c>
      <c r="D93"/>
      <c r="E93"/>
      <c r="F93"/>
      <c r="G93"/>
      <c r="H93"/>
      <c r="I93"/>
    </row>
    <row r="94" spans="1:18" ht="14.5">
      <c r="B94" s="9" t="s">
        <v>55</v>
      </c>
      <c r="C94" s="4" t="s">
        <v>379</v>
      </c>
      <c r="D94"/>
      <c r="E94"/>
      <c r="F94"/>
      <c r="G94"/>
      <c r="H94"/>
      <c r="I94"/>
      <c r="L94" s="9"/>
      <c r="M94" s="9"/>
      <c r="N94" s="9"/>
      <c r="O94" s="9"/>
      <c r="P94" s="9"/>
      <c r="Q94" s="9"/>
      <c r="R94" s="9"/>
    </row>
    <row r="95" spans="1:18" ht="14.5">
      <c r="B95" s="10" t="s">
        <v>44</v>
      </c>
      <c r="C95" s="11">
        <v>18000</v>
      </c>
      <c r="D95" s="41">
        <f>C95/1000</f>
        <v>18</v>
      </c>
      <c r="E95"/>
      <c r="F95"/>
      <c r="G95"/>
      <c r="H95"/>
      <c r="I95"/>
      <c r="J95" s="12"/>
    </row>
    <row r="96" spans="1:18" ht="14.5">
      <c r="B96"/>
      <c r="C96"/>
      <c r="J96" s="12"/>
    </row>
    <row r="99" spans="1:16" s="8" customFormat="1" ht="19.5" customHeight="1">
      <c r="A99" s="6"/>
      <c r="B99" s="7" t="s">
        <v>21</v>
      </c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</row>
    <row r="101" spans="1:16">
      <c r="B101" s="9" t="s">
        <v>0</v>
      </c>
      <c r="C101" s="4" t="s">
        <v>346</v>
      </c>
    </row>
    <row r="102" spans="1:16">
      <c r="B102" s="9" t="s">
        <v>2</v>
      </c>
      <c r="C102" s="4" t="s">
        <v>21</v>
      </c>
    </row>
    <row r="104" spans="1:16" ht="14.5">
      <c r="B104" s="9" t="s">
        <v>53</v>
      </c>
      <c r="C104" s="9" t="s">
        <v>56</v>
      </c>
      <c r="D104"/>
      <c r="E104"/>
      <c r="F104"/>
      <c r="G104"/>
      <c r="H104"/>
      <c r="I104"/>
    </row>
    <row r="105" spans="1:16" ht="14.5">
      <c r="B105" s="9" t="s">
        <v>55</v>
      </c>
      <c r="C105" s="4" t="s">
        <v>379</v>
      </c>
      <c r="D105"/>
      <c r="E105"/>
      <c r="F105"/>
      <c r="G105"/>
      <c r="H105"/>
      <c r="I105"/>
    </row>
    <row r="106" spans="1:16" ht="14.5">
      <c r="B106" s="10" t="s">
        <v>21</v>
      </c>
      <c r="C106" s="11">
        <v>46</v>
      </c>
      <c r="D106" s="41">
        <f>IF(C106=0,"-",C106)</f>
        <v>46</v>
      </c>
      <c r="E106"/>
      <c r="F106"/>
      <c r="G106"/>
      <c r="H106"/>
      <c r="I106"/>
      <c r="J106" s="12"/>
    </row>
    <row r="109" spans="1:16" s="8" customFormat="1" ht="19.5" customHeight="1">
      <c r="A109" s="6"/>
      <c r="B109" s="7" t="s">
        <v>308</v>
      </c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</row>
    <row r="111" spans="1:16">
      <c r="B111" s="9" t="s">
        <v>0</v>
      </c>
      <c r="C111" s="4" t="s">
        <v>346</v>
      </c>
    </row>
    <row r="112" spans="1:16">
      <c r="B112" s="9" t="s">
        <v>2</v>
      </c>
      <c r="C112" s="4" t="s">
        <v>54</v>
      </c>
    </row>
    <row r="114" spans="1:16" ht="14.5">
      <c r="B114" s="9" t="s">
        <v>53</v>
      </c>
      <c r="C114" s="9" t="s">
        <v>56</v>
      </c>
      <c r="D114"/>
      <c r="E114"/>
      <c r="F114"/>
      <c r="G114"/>
      <c r="H114"/>
      <c r="I114"/>
    </row>
    <row r="115" spans="1:16" ht="14.5">
      <c r="B115" s="9" t="s">
        <v>55</v>
      </c>
      <c r="D115"/>
      <c r="E115"/>
      <c r="F115"/>
      <c r="G115"/>
      <c r="H115"/>
      <c r="I115"/>
    </row>
    <row r="116" spans="1:16" ht="14.5">
      <c r="B116"/>
      <c r="C116"/>
      <c r="D116" s="41" t="str">
        <f>IF(C116=0,"-",C116)</f>
        <v>-</v>
      </c>
      <c r="E116"/>
      <c r="F116"/>
      <c r="G116"/>
      <c r="H116"/>
      <c r="I116"/>
      <c r="J116" s="12"/>
    </row>
    <row r="117" spans="1:16" ht="14.5">
      <c r="B117"/>
      <c r="C117"/>
      <c r="D117"/>
      <c r="E117"/>
      <c r="F117"/>
      <c r="G117"/>
      <c r="H117"/>
      <c r="I117"/>
      <c r="J117" s="12"/>
    </row>
    <row r="118" spans="1:16" ht="14.5">
      <c r="A118" s="6"/>
      <c r="B118" s="7" t="s">
        <v>318</v>
      </c>
      <c r="C118" s="7"/>
      <c r="D118" s="7"/>
      <c r="E118"/>
      <c r="F118"/>
      <c r="G118"/>
      <c r="H118"/>
      <c r="I118"/>
      <c r="J118" s="12"/>
    </row>
    <row r="119" spans="1:16" ht="14.5">
      <c r="E119"/>
      <c r="F119"/>
      <c r="G119"/>
      <c r="H119"/>
      <c r="I119"/>
      <c r="J119" s="12"/>
    </row>
    <row r="120" spans="1:16" ht="14.5">
      <c r="B120" s="9" t="s">
        <v>0</v>
      </c>
      <c r="C120" s="4" t="s">
        <v>346</v>
      </c>
      <c r="E120"/>
      <c r="F120"/>
      <c r="G120"/>
      <c r="H120"/>
      <c r="I120"/>
      <c r="J120" s="12"/>
    </row>
    <row r="121" spans="1:16" ht="14.5">
      <c r="E121"/>
      <c r="F121"/>
      <c r="G121"/>
      <c r="H121"/>
      <c r="I121"/>
      <c r="J121" s="12"/>
    </row>
    <row r="122" spans="1:16" ht="14.5">
      <c r="B122" s="9" t="s">
        <v>53</v>
      </c>
      <c r="C122" s="9" t="s">
        <v>56</v>
      </c>
      <c r="D122"/>
      <c r="E122"/>
      <c r="F122"/>
      <c r="G122"/>
      <c r="H122"/>
      <c r="I122"/>
      <c r="J122" s="12"/>
    </row>
    <row r="123" spans="1:16" ht="14.5">
      <c r="B123" s="9" t="s">
        <v>55</v>
      </c>
      <c r="C123" s="4" t="s">
        <v>379</v>
      </c>
      <c r="D123"/>
      <c r="E123"/>
      <c r="F123"/>
      <c r="G123"/>
      <c r="H123"/>
      <c r="I123"/>
      <c r="J123" s="12"/>
    </row>
    <row r="124" spans="1:16" ht="14.5">
      <c r="B124" s="10" t="s">
        <v>363</v>
      </c>
      <c r="C124" s="11">
        <v>87</v>
      </c>
      <c r="D124" s="41">
        <f>C124</f>
        <v>87</v>
      </c>
      <c r="E124"/>
      <c r="F124"/>
      <c r="G124"/>
      <c r="H124"/>
      <c r="I124"/>
      <c r="J124" s="12"/>
    </row>
    <row r="127" spans="1:16" ht="23.9" customHeight="1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</row>
    <row r="129" spans="1:18" s="8" customFormat="1" ht="19.5" customHeight="1">
      <c r="A129" s="6"/>
      <c r="B129" s="7" t="s">
        <v>63</v>
      </c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</row>
    <row r="131" spans="1:18">
      <c r="B131" s="9" t="s">
        <v>0</v>
      </c>
      <c r="C131" s="4" t="s">
        <v>22</v>
      </c>
    </row>
    <row r="132" spans="1:18" ht="14.5">
      <c r="B132" s="9" t="s">
        <v>2</v>
      </c>
      <c r="C132" s="4" t="s">
        <v>23</v>
      </c>
      <c r="N132"/>
    </row>
    <row r="134" spans="1:18">
      <c r="B134" s="9" t="s">
        <v>53</v>
      </c>
      <c r="C134" s="9" t="s">
        <v>56</v>
      </c>
    </row>
    <row r="135" spans="1:18">
      <c r="B135" s="9" t="s">
        <v>55</v>
      </c>
      <c r="C135" s="4" t="s">
        <v>379</v>
      </c>
      <c r="D135" s="4" t="str">
        <f>_xlfn.CONCAT("SF ",C135)</f>
        <v>SF 24/25</v>
      </c>
      <c r="K135" s="9"/>
      <c r="L135" s="9"/>
      <c r="M135" s="9"/>
      <c r="N135" s="9"/>
      <c r="O135" s="9"/>
      <c r="P135" s="9"/>
      <c r="Q135" s="9"/>
      <c r="R135" s="9"/>
    </row>
    <row r="136" spans="1:18">
      <c r="B136" s="10" t="s">
        <v>154</v>
      </c>
      <c r="C136" s="11">
        <v>1251000</v>
      </c>
      <c r="D136" s="4" t="s">
        <v>133</v>
      </c>
      <c r="E136" s="13">
        <f>C136/1000000</f>
        <v>1.2509999999999999</v>
      </c>
      <c r="J136" s="12"/>
    </row>
    <row r="137" spans="1:18">
      <c r="B137" s="10" t="s">
        <v>24</v>
      </c>
      <c r="C137" s="11">
        <v>647000</v>
      </c>
      <c r="D137" s="4" t="s">
        <v>134</v>
      </c>
      <c r="E137" s="13">
        <f>C137/1000000</f>
        <v>0.64700000000000002</v>
      </c>
      <c r="J137" s="12"/>
    </row>
    <row r="138" spans="1:18" ht="17.149999999999999" customHeight="1">
      <c r="E138" s="39">
        <f>SUM(C136:C137)/1000000</f>
        <v>1.8979999999999999</v>
      </c>
      <c r="F138" s="4" t="s">
        <v>86</v>
      </c>
    </row>
    <row r="139" spans="1:18" ht="17.149999999999999" customHeight="1"/>
    <row r="140" spans="1:18" ht="17.149999999999999" customHeight="1"/>
    <row r="141" spans="1:18" s="8" customFormat="1" ht="19.5" customHeight="1">
      <c r="A141" s="6"/>
      <c r="B141" s="7" t="s">
        <v>64</v>
      </c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</row>
    <row r="143" spans="1:18">
      <c r="B143" s="9" t="s">
        <v>0</v>
      </c>
      <c r="C143" s="4" t="s">
        <v>22</v>
      </c>
    </row>
    <row r="144" spans="1:18">
      <c r="B144" s="9" t="s">
        <v>2</v>
      </c>
      <c r="C144" s="4" t="s">
        <v>29</v>
      </c>
    </row>
    <row r="146" spans="1:18" ht="14.5">
      <c r="B146" s="9" t="s">
        <v>53</v>
      </c>
      <c r="C146" s="9" t="s">
        <v>56</v>
      </c>
      <c r="D146"/>
      <c r="E146"/>
      <c r="F146"/>
      <c r="G146"/>
      <c r="H146"/>
      <c r="I146"/>
    </row>
    <row r="147" spans="1:18" ht="14.5">
      <c r="B147" s="9" t="s">
        <v>55</v>
      </c>
      <c r="C147" s="4" t="s">
        <v>379</v>
      </c>
      <c r="D147"/>
      <c r="E147"/>
      <c r="F147"/>
      <c r="G147"/>
      <c r="H147"/>
      <c r="I147"/>
      <c r="K147" s="9"/>
      <c r="L147" s="9"/>
      <c r="M147" s="9"/>
      <c r="N147" s="9"/>
      <c r="O147" s="9"/>
      <c r="P147" s="9"/>
      <c r="Q147" s="9"/>
      <c r="R147" s="9"/>
    </row>
    <row r="148" spans="1:18" ht="14.5">
      <c r="B148" s="10" t="s">
        <v>41</v>
      </c>
      <c r="C148" s="13">
        <v>91.6</v>
      </c>
      <c r="D148" t="s">
        <v>137</v>
      </c>
      <c r="E148" s="44">
        <f>C148</f>
        <v>91.6</v>
      </c>
      <c r="F148"/>
      <c r="G148"/>
      <c r="H148"/>
      <c r="I148"/>
      <c r="J148" s="12"/>
    </row>
    <row r="149" spans="1:18" ht="14.5">
      <c r="B149" s="10" t="s">
        <v>42</v>
      </c>
      <c r="C149" s="11">
        <v>218</v>
      </c>
      <c r="D149"/>
      <c r="E149" s="24"/>
      <c r="F149"/>
      <c r="G149"/>
      <c r="H149"/>
      <c r="I149"/>
      <c r="J149" s="12"/>
    </row>
    <row r="150" spans="1:18" ht="14.5">
      <c r="B150" s="10" t="s">
        <v>31</v>
      </c>
      <c r="C150" s="11">
        <v>10.3</v>
      </c>
      <c r="D150" t="s">
        <v>136</v>
      </c>
      <c r="E150" s="44">
        <f>C150</f>
        <v>10.3</v>
      </c>
      <c r="F150"/>
      <c r="G150"/>
      <c r="H150"/>
      <c r="I150"/>
      <c r="J150" s="12"/>
    </row>
    <row r="151" spans="1:18" ht="14.5">
      <c r="B151"/>
      <c r="C151"/>
      <c r="D151" s="4" t="s">
        <v>140</v>
      </c>
      <c r="E151" s="44">
        <f>C151</f>
        <v>0</v>
      </c>
      <c r="J151" s="12"/>
    </row>
    <row r="152" spans="1:18" ht="14.5">
      <c r="B152"/>
      <c r="C152"/>
      <c r="D152" s="4" t="s">
        <v>138</v>
      </c>
      <c r="E152" s="44">
        <f>C152</f>
        <v>0</v>
      </c>
    </row>
    <row r="153" spans="1:18" ht="17.149999999999999" customHeight="1"/>
    <row r="154" spans="1:18" ht="17.149999999999999" customHeight="1"/>
    <row r="155" spans="1:18" ht="23.9" customHeight="1">
      <c r="A155" s="14" t="s">
        <v>75</v>
      </c>
      <c r="B155" s="15" t="s">
        <v>148</v>
      </c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</row>
    <row r="157" spans="1:18" s="8" customFormat="1" ht="19.5" customHeight="1">
      <c r="A157" s="6"/>
      <c r="B157" s="7" t="s">
        <v>65</v>
      </c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</row>
    <row r="159" spans="1:18">
      <c r="B159" s="9" t="s">
        <v>0</v>
      </c>
      <c r="C159" s="4" t="s">
        <v>339</v>
      </c>
    </row>
    <row r="160" spans="1:18">
      <c r="B160" s="9" t="s">
        <v>2</v>
      </c>
      <c r="C160" s="4" t="s">
        <v>65</v>
      </c>
    </row>
    <row r="162" spans="1:16">
      <c r="B162" s="9" t="s">
        <v>53</v>
      </c>
      <c r="C162" s="9" t="s">
        <v>56</v>
      </c>
    </row>
    <row r="163" spans="1:16">
      <c r="B163" s="9" t="s">
        <v>55</v>
      </c>
      <c r="C163" s="4" t="s">
        <v>379</v>
      </c>
      <c r="D163" s="25" t="s">
        <v>144</v>
      </c>
      <c r="E163" s="25" t="s">
        <v>143</v>
      </c>
    </row>
    <row r="164" spans="1:16">
      <c r="B164" s="10" t="s">
        <v>141</v>
      </c>
      <c r="C164" s="11">
        <v>165995</v>
      </c>
      <c r="D164" s="4" t="s">
        <v>19</v>
      </c>
      <c r="E164" s="11">
        <f>(C164+C165)/1000</f>
        <v>218.881</v>
      </c>
    </row>
    <row r="165" spans="1:16">
      <c r="B165" s="10" t="s">
        <v>142</v>
      </c>
      <c r="C165" s="11">
        <v>52886</v>
      </c>
      <c r="D165" s="4" t="s">
        <v>57</v>
      </c>
      <c r="E165" s="11">
        <f>(C166+C167)/1000</f>
        <v>137.73400000000001</v>
      </c>
    </row>
    <row r="166" spans="1:16">
      <c r="B166" s="10" t="s">
        <v>76</v>
      </c>
      <c r="C166" s="11">
        <v>72520</v>
      </c>
      <c r="D166" s="4" t="s">
        <v>131</v>
      </c>
      <c r="E166" s="11">
        <f>(C168)/1000</f>
        <v>1.8120000000000001</v>
      </c>
    </row>
    <row r="167" spans="1:16">
      <c r="B167" s="10" t="s">
        <v>77</v>
      </c>
      <c r="C167" s="11">
        <v>65214</v>
      </c>
      <c r="D167" s="4" t="s">
        <v>305</v>
      </c>
      <c r="E167" s="11">
        <f>C172/1000</f>
        <v>0</v>
      </c>
    </row>
    <row r="168" spans="1:16">
      <c r="B168" s="10" t="s">
        <v>131</v>
      </c>
      <c r="C168" s="11">
        <v>1812</v>
      </c>
      <c r="D168" s="4" t="s">
        <v>306</v>
      </c>
      <c r="E168" s="11">
        <f>C170/1000</f>
        <v>0</v>
      </c>
    </row>
    <row r="169" spans="1:16">
      <c r="B169" s="10" t="s">
        <v>102</v>
      </c>
      <c r="C169" s="11">
        <v>14846</v>
      </c>
      <c r="D169" s="4" t="s">
        <v>239</v>
      </c>
      <c r="E169" s="11">
        <f>C171/1000</f>
        <v>0</v>
      </c>
      <c r="J169" s="12"/>
    </row>
    <row r="170" spans="1:16" ht="14.5">
      <c r="B170"/>
      <c r="C170"/>
      <c r="D170" s="35" t="s">
        <v>102</v>
      </c>
      <c r="E170" s="27">
        <f>(C169)/1000</f>
        <v>14.846</v>
      </c>
      <c r="J170" s="12"/>
    </row>
    <row r="171" spans="1:16" ht="14.5">
      <c r="B171"/>
      <c r="C171"/>
      <c r="D171" s="35" t="s">
        <v>330</v>
      </c>
      <c r="E171" s="27">
        <f>C173/1000</f>
        <v>0</v>
      </c>
      <c r="J171" s="12"/>
    </row>
    <row r="172" spans="1:16" ht="14.5">
      <c r="B172"/>
      <c r="C172"/>
      <c r="D172" s="35" t="s">
        <v>145</v>
      </c>
      <c r="E172" s="36">
        <f>SUM(E164:E171)</f>
        <v>373.27300000000002</v>
      </c>
      <c r="F172" s="190">
        <f>ROUND(_xlfn.CONCAT("R$ ",E172),2)</f>
        <v>373.27</v>
      </c>
      <c r="J172" s="12"/>
    </row>
    <row r="173" spans="1:16" ht="14.5">
      <c r="B173"/>
      <c r="C173"/>
      <c r="E173" s="11"/>
      <c r="J173" s="12"/>
    </row>
    <row r="174" spans="1:16" ht="14.5">
      <c r="B174"/>
      <c r="C174"/>
      <c r="D174" s="26" t="s">
        <v>146</v>
      </c>
      <c r="E174" s="193">
        <f>(SUM(C164:C173)*1000)/SUM(C136:C137)</f>
        <v>196.66649104320337</v>
      </c>
      <c r="J174" s="12"/>
    </row>
    <row r="175" spans="1:16">
      <c r="D175" s="11"/>
      <c r="E175" s="11"/>
    </row>
    <row r="176" spans="1:16" s="8" customFormat="1" ht="19.5" customHeight="1">
      <c r="A176" s="6"/>
      <c r="B176" s="7" t="s">
        <v>149</v>
      </c>
      <c r="C176" s="7"/>
      <c r="D176" s="4"/>
      <c r="E176" s="4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</row>
    <row r="177" spans="1:16">
      <c r="D177" s="7"/>
      <c r="E177" s="7"/>
    </row>
    <row r="178" spans="1:16">
      <c r="B178" s="9" t="s">
        <v>0</v>
      </c>
      <c r="C178" s="4" t="s">
        <v>103</v>
      </c>
    </row>
    <row r="179" spans="1:16">
      <c r="B179" s="9" t="s">
        <v>2</v>
      </c>
      <c r="C179" s="4" t="s">
        <v>139</v>
      </c>
    </row>
    <row r="181" spans="1:16">
      <c r="B181" s="9" t="s">
        <v>53</v>
      </c>
      <c r="C181" s="9" t="s">
        <v>56</v>
      </c>
    </row>
    <row r="182" spans="1:16">
      <c r="B182" s="9" t="s">
        <v>55</v>
      </c>
      <c r="C182" s="4" t="s">
        <v>379</v>
      </c>
    </row>
    <row r="183" spans="1:16">
      <c r="B183" s="10" t="s">
        <v>116</v>
      </c>
      <c r="C183" s="11">
        <v>1588485</v>
      </c>
      <c r="E183" s="11"/>
    </row>
    <row r="184" spans="1:16">
      <c r="B184" s="10" t="s">
        <v>67</v>
      </c>
      <c r="C184" s="11">
        <v>665567</v>
      </c>
      <c r="D184" s="4" t="str">
        <f>B183</f>
        <v>Dívida líquida</v>
      </c>
      <c r="E184" s="39">
        <f>C183/1000</f>
        <v>1588.4849999999999</v>
      </c>
    </row>
    <row r="185" spans="1:16" ht="14.5">
      <c r="B185"/>
      <c r="C185"/>
      <c r="D185" s="4" t="str">
        <f>B184</f>
        <v>EBITDA</v>
      </c>
      <c r="E185" s="39">
        <f>C184/1000</f>
        <v>665.56700000000001</v>
      </c>
    </row>
    <row r="186" spans="1:16">
      <c r="D186" s="4" t="s">
        <v>117</v>
      </c>
      <c r="E186" s="45">
        <f>IFERROR(E184/E185,0)</f>
        <v>2.3866643027674148</v>
      </c>
    </row>
    <row r="187" spans="1:16" ht="14.5">
      <c r="B187"/>
      <c r="C187"/>
    </row>
    <row r="188" spans="1:16" s="8" customFormat="1" ht="19.5" customHeight="1">
      <c r="A188" s="6"/>
      <c r="B188" s="7" t="s">
        <v>104</v>
      </c>
      <c r="C188" s="7"/>
      <c r="D188" s="4"/>
      <c r="E188" s="11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</row>
    <row r="189" spans="1:16" ht="14.5">
      <c r="B189"/>
      <c r="D189" s="7"/>
      <c r="E189" s="7"/>
    </row>
    <row r="190" spans="1:16">
      <c r="B190" s="9" t="s">
        <v>0</v>
      </c>
      <c r="C190" s="4" t="s">
        <v>104</v>
      </c>
      <c r="F190" s="22"/>
      <c r="G190" s="22"/>
    </row>
    <row r="191" spans="1:16">
      <c r="B191" s="9" t="s">
        <v>2</v>
      </c>
      <c r="C191" s="4" t="s">
        <v>139</v>
      </c>
      <c r="D191" s="22"/>
      <c r="E191" s="22"/>
      <c r="F191" s="22"/>
      <c r="G191" s="22"/>
    </row>
    <row r="192" spans="1:16">
      <c r="D192" s="22"/>
      <c r="E192" s="22"/>
    </row>
    <row r="193" spans="2:7" ht="14.5">
      <c r="B193" s="9" t="s">
        <v>53</v>
      </c>
      <c r="C193" s="9" t="s">
        <v>56</v>
      </c>
      <c r="F193" s="23" t="s">
        <v>150</v>
      </c>
      <c r="G193" s="3" t="str">
        <f>_xlfn.CONCAT("Safra ",C194)</f>
        <v>Safra 24/25</v>
      </c>
    </row>
    <row r="194" spans="2:7" ht="14.5">
      <c r="B194" s="9" t="s">
        <v>55</v>
      </c>
      <c r="C194" s="4" t="s">
        <v>379</v>
      </c>
      <c r="F194" s="37" t="str">
        <f>B196</f>
        <v>Manutenção</v>
      </c>
      <c r="G194" s="28">
        <f>C196/1000</f>
        <v>78.593999999999994</v>
      </c>
    </row>
    <row r="195" spans="2:7" ht="14.5">
      <c r="B195" s="10" t="s">
        <v>152</v>
      </c>
      <c r="C195" s="11">
        <v>172882</v>
      </c>
      <c r="F195" s="37" t="str">
        <f>B197</f>
        <v>Melhoria Operacional</v>
      </c>
      <c r="G195" s="28">
        <f>C197/1000</f>
        <v>58.564</v>
      </c>
    </row>
    <row r="196" spans="2:7" ht="14.5">
      <c r="B196" s="10" t="s">
        <v>110</v>
      </c>
      <c r="C196" s="11">
        <v>78594</v>
      </c>
      <c r="D196" s="192">
        <f>C195/1000</f>
        <v>172.88200000000001</v>
      </c>
      <c r="F196" s="37" t="str">
        <f>B198</f>
        <v>Modernização/Expansão</v>
      </c>
      <c r="G196" s="28">
        <f>IF((C198/1000)=0,"",(C198/1000))</f>
        <v>35.723999999999997</v>
      </c>
    </row>
    <row r="197" spans="2:7" ht="14.5">
      <c r="B197" s="10" t="s">
        <v>111</v>
      </c>
      <c r="C197" s="11">
        <v>58564</v>
      </c>
      <c r="F197" s="38" t="s">
        <v>151</v>
      </c>
      <c r="G197" s="191">
        <f>SUM(G194:G196)</f>
        <v>172.88199999999998</v>
      </c>
    </row>
    <row r="198" spans="2:7" ht="14.5">
      <c r="B198" s="10" t="s">
        <v>113</v>
      </c>
      <c r="C198" s="11">
        <v>35724</v>
      </c>
      <c r="F198" s="38"/>
      <c r="G198" s="191">
        <f>(SUM(C196:C198)*1000)/SUM(C136:C137)</f>
        <v>91.086406743940984</v>
      </c>
    </row>
  </sheetData>
  <phoneticPr fontId="5" type="noConversion"/>
  <pageMargins left="0.511811024" right="0.511811024" top="0.78740157499999996" bottom="0.78740157499999996" header="0.31496062000000002" footer="0.31496062000000002"/>
  <pageSetup paperSize="9" orientation="portrait" r:id="rId17"/>
  <tableParts count="1">
    <tablePart r:id="rId18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F3470E-054F-407F-BE57-EF7EB47FE07D}">
  <sheetPr codeName="Planilha1"/>
  <dimension ref="A1:H273"/>
  <sheetViews>
    <sheetView showGridLines="0" zoomScale="115" zoomScaleNormal="115" workbookViewId="0">
      <pane ySplit="1" topLeftCell="A239" activePane="bottomLeft" state="frozen"/>
      <selection activeCell="CU24" sqref="CU24"/>
      <selection pane="bottomLeft" activeCell="F267" sqref="F267:F273"/>
    </sheetView>
  </sheetViews>
  <sheetFormatPr defaultColWidth="10.54296875" defaultRowHeight="13"/>
  <cols>
    <col min="1" max="1" width="34.453125" style="30" customWidth="1"/>
    <col min="2" max="2" width="27.54296875" style="31" customWidth="1"/>
    <col min="3" max="3" width="37.453125" style="31" bestFit="1" customWidth="1"/>
    <col min="4" max="4" width="16.453125" style="31" bestFit="1" customWidth="1"/>
    <col min="5" max="5" width="13.54296875" style="31" customWidth="1"/>
    <col min="6" max="7" width="11.54296875" style="31" bestFit="1" customWidth="1"/>
    <col min="8" max="8" width="12" style="48" bestFit="1" customWidth="1"/>
    <col min="9" max="9" width="14.54296875" style="30" bestFit="1" customWidth="1"/>
    <col min="10" max="10" width="17" style="30" bestFit="1" customWidth="1"/>
    <col min="11" max="16384" width="10.54296875" style="30"/>
  </cols>
  <sheetData>
    <row r="1" spans="1:8">
      <c r="A1" s="1" t="s">
        <v>0</v>
      </c>
      <c r="B1" s="2" t="s">
        <v>2</v>
      </c>
      <c r="C1" s="2" t="s">
        <v>7</v>
      </c>
      <c r="D1" s="2" t="s">
        <v>3</v>
      </c>
      <c r="E1" s="2" t="s">
        <v>52</v>
      </c>
      <c r="F1" s="2" t="s">
        <v>51</v>
      </c>
      <c r="G1" s="29" t="s">
        <v>281</v>
      </c>
      <c r="H1" s="2" t="s">
        <v>144</v>
      </c>
    </row>
    <row r="2" spans="1:8" hidden="1">
      <c r="A2" s="30" t="s">
        <v>339</v>
      </c>
      <c r="B2" s="31" t="s">
        <v>65</v>
      </c>
      <c r="C2" s="31" t="s">
        <v>141</v>
      </c>
      <c r="D2" s="31" t="s">
        <v>35</v>
      </c>
      <c r="E2" s="31" t="s">
        <v>4</v>
      </c>
      <c r="F2" s="32">
        <v>233452</v>
      </c>
      <c r="G2" s="46" t="s">
        <v>304</v>
      </c>
      <c r="H2" s="46"/>
    </row>
    <row r="3" spans="1:8" hidden="1">
      <c r="A3" s="30" t="s">
        <v>339</v>
      </c>
      <c r="B3" s="31" t="s">
        <v>65</v>
      </c>
      <c r="C3" s="31" t="s">
        <v>141</v>
      </c>
      <c r="D3" s="31" t="s">
        <v>35</v>
      </c>
      <c r="E3" s="31" t="s">
        <v>5</v>
      </c>
      <c r="F3" s="32">
        <v>303113</v>
      </c>
      <c r="G3" s="46" t="s">
        <v>304</v>
      </c>
      <c r="H3" s="46"/>
    </row>
    <row r="4" spans="1:8" hidden="1">
      <c r="A4" s="30" t="s">
        <v>339</v>
      </c>
      <c r="B4" s="31" t="s">
        <v>65</v>
      </c>
      <c r="C4" s="31" t="s">
        <v>141</v>
      </c>
      <c r="D4" s="31" t="s">
        <v>35</v>
      </c>
      <c r="E4" s="31" t="s">
        <v>302</v>
      </c>
      <c r="F4" s="32">
        <v>379294.06160000002</v>
      </c>
      <c r="G4" s="46" t="s">
        <v>304</v>
      </c>
      <c r="H4" s="46"/>
    </row>
    <row r="5" spans="1:8" hidden="1">
      <c r="A5" s="30" t="s">
        <v>339</v>
      </c>
      <c r="B5" s="31" t="s">
        <v>65</v>
      </c>
      <c r="C5" s="31" t="s">
        <v>141</v>
      </c>
      <c r="D5" s="31" t="s">
        <v>35</v>
      </c>
      <c r="E5" s="31" t="s">
        <v>303</v>
      </c>
      <c r="F5" s="32">
        <v>569997</v>
      </c>
      <c r="G5" s="46" t="s">
        <v>304</v>
      </c>
      <c r="H5" s="46"/>
    </row>
    <row r="6" spans="1:8" hidden="1">
      <c r="A6" s="30" t="s">
        <v>339</v>
      </c>
      <c r="B6" s="31" t="s">
        <v>65</v>
      </c>
      <c r="C6" s="31" t="s">
        <v>141</v>
      </c>
      <c r="D6" s="31" t="s">
        <v>35</v>
      </c>
      <c r="E6" s="31" t="s">
        <v>322</v>
      </c>
      <c r="F6" s="32">
        <v>654354</v>
      </c>
      <c r="G6" s="46" t="s">
        <v>304</v>
      </c>
      <c r="H6" s="46"/>
    </row>
    <row r="7" spans="1:8" hidden="1">
      <c r="A7" s="30" t="s">
        <v>339</v>
      </c>
      <c r="B7" s="31" t="s">
        <v>65</v>
      </c>
      <c r="C7" s="31" t="s">
        <v>142</v>
      </c>
      <c r="D7" s="31" t="s">
        <v>35</v>
      </c>
      <c r="E7" s="31" t="s">
        <v>4</v>
      </c>
      <c r="F7" s="32">
        <v>15943</v>
      </c>
      <c r="G7" s="46" t="s">
        <v>304</v>
      </c>
      <c r="H7" s="46"/>
    </row>
    <row r="8" spans="1:8" hidden="1">
      <c r="A8" s="30" t="s">
        <v>339</v>
      </c>
      <c r="B8" s="31" t="s">
        <v>65</v>
      </c>
      <c r="C8" s="31" t="s">
        <v>142</v>
      </c>
      <c r="D8" s="31" t="s">
        <v>35</v>
      </c>
      <c r="E8" s="31" t="s">
        <v>5</v>
      </c>
      <c r="F8" s="32">
        <v>13476</v>
      </c>
      <c r="G8" s="46" t="s">
        <v>304</v>
      </c>
      <c r="H8" s="46"/>
    </row>
    <row r="9" spans="1:8" hidden="1">
      <c r="A9" s="30" t="s">
        <v>339</v>
      </c>
      <c r="B9" s="31" t="s">
        <v>65</v>
      </c>
      <c r="C9" s="31" t="s">
        <v>142</v>
      </c>
      <c r="D9" s="31" t="s">
        <v>35</v>
      </c>
      <c r="E9" s="31" t="s">
        <v>302</v>
      </c>
      <c r="F9" s="32">
        <v>55710.617329999994</v>
      </c>
      <c r="G9" s="46" t="s">
        <v>304</v>
      </c>
      <c r="H9" s="46"/>
    </row>
    <row r="10" spans="1:8" hidden="1">
      <c r="A10" s="30" t="s">
        <v>339</v>
      </c>
      <c r="B10" s="31" t="s">
        <v>65</v>
      </c>
      <c r="C10" s="31" t="s">
        <v>142</v>
      </c>
      <c r="D10" s="31" t="s">
        <v>35</v>
      </c>
      <c r="E10" s="31" t="s">
        <v>303</v>
      </c>
      <c r="F10" s="32">
        <v>72453</v>
      </c>
      <c r="G10" s="46" t="s">
        <v>304</v>
      </c>
      <c r="H10" s="46"/>
    </row>
    <row r="11" spans="1:8" hidden="1">
      <c r="A11" s="30" t="s">
        <v>339</v>
      </c>
      <c r="B11" s="31" t="s">
        <v>65</v>
      </c>
      <c r="C11" s="31" t="s">
        <v>142</v>
      </c>
      <c r="D11" s="31" t="s">
        <v>35</v>
      </c>
      <c r="E11" s="31" t="s">
        <v>322</v>
      </c>
      <c r="F11" s="32">
        <v>75549</v>
      </c>
      <c r="G11" s="46" t="s">
        <v>304</v>
      </c>
      <c r="H11" s="46"/>
    </row>
    <row r="12" spans="1:8" hidden="1">
      <c r="F12" s="32"/>
      <c r="G12" s="46"/>
      <c r="H12" s="46"/>
    </row>
    <row r="13" spans="1:8" hidden="1">
      <c r="F13" s="32"/>
      <c r="G13" s="46"/>
      <c r="H13" s="46"/>
    </row>
    <row r="14" spans="1:8" hidden="1">
      <c r="F14" s="32"/>
      <c r="G14" s="46"/>
      <c r="H14" s="46"/>
    </row>
    <row r="15" spans="1:8" hidden="1">
      <c r="F15" s="32"/>
      <c r="G15" s="46"/>
      <c r="H15" s="46"/>
    </row>
    <row r="16" spans="1:8" hidden="1">
      <c r="F16" s="210"/>
      <c r="G16" s="46"/>
      <c r="H16" s="46"/>
    </row>
    <row r="17" spans="1:8" hidden="1">
      <c r="A17" s="30" t="s">
        <v>339</v>
      </c>
      <c r="B17" s="31" t="s">
        <v>65</v>
      </c>
      <c r="C17" s="31" t="s">
        <v>102</v>
      </c>
      <c r="D17" s="31" t="s">
        <v>35</v>
      </c>
      <c r="E17" s="31" t="s">
        <v>4</v>
      </c>
      <c r="F17" s="32">
        <v>0</v>
      </c>
      <c r="G17" s="46" t="s">
        <v>304</v>
      </c>
      <c r="H17" s="46"/>
    </row>
    <row r="18" spans="1:8" hidden="1">
      <c r="A18" s="30" t="s">
        <v>339</v>
      </c>
      <c r="B18" s="31" t="s">
        <v>65</v>
      </c>
      <c r="C18" s="31" t="s">
        <v>102</v>
      </c>
      <c r="D18" s="31" t="s">
        <v>35</v>
      </c>
      <c r="E18" s="31" t="s">
        <v>5</v>
      </c>
      <c r="F18" s="32">
        <v>0</v>
      </c>
      <c r="G18" s="46" t="s">
        <v>304</v>
      </c>
      <c r="H18" s="46"/>
    </row>
    <row r="19" spans="1:8" hidden="1">
      <c r="A19" s="30" t="s">
        <v>339</v>
      </c>
      <c r="B19" s="31" t="s">
        <v>65</v>
      </c>
      <c r="C19" s="31" t="s">
        <v>102</v>
      </c>
      <c r="D19" s="31" t="s">
        <v>35</v>
      </c>
      <c r="E19" s="31" t="s">
        <v>302</v>
      </c>
      <c r="F19" s="32">
        <v>3857</v>
      </c>
      <c r="G19" s="46" t="s">
        <v>304</v>
      </c>
      <c r="H19" s="46"/>
    </row>
    <row r="20" spans="1:8" hidden="1">
      <c r="A20" s="30" t="s">
        <v>339</v>
      </c>
      <c r="B20" s="31" t="s">
        <v>65</v>
      </c>
      <c r="C20" s="31" t="s">
        <v>102</v>
      </c>
      <c r="D20" s="31" t="s">
        <v>35</v>
      </c>
      <c r="E20" s="31" t="s">
        <v>303</v>
      </c>
      <c r="F20" s="32">
        <v>22848</v>
      </c>
      <c r="G20" s="46" t="s">
        <v>304</v>
      </c>
      <c r="H20" s="46"/>
    </row>
    <row r="21" spans="1:8" hidden="1">
      <c r="A21" s="30" t="s">
        <v>339</v>
      </c>
      <c r="B21" s="31" t="s">
        <v>65</v>
      </c>
      <c r="C21" s="31" t="s">
        <v>102</v>
      </c>
      <c r="D21" s="31" t="s">
        <v>35</v>
      </c>
      <c r="E21" s="31" t="s">
        <v>322</v>
      </c>
      <c r="F21" s="32">
        <v>57191</v>
      </c>
      <c r="G21" s="46" t="s">
        <v>304</v>
      </c>
      <c r="H21" s="46"/>
    </row>
    <row r="22" spans="1:8" hidden="1">
      <c r="F22" s="32"/>
      <c r="G22" s="46"/>
      <c r="H22" s="46"/>
    </row>
    <row r="23" spans="1:8" hidden="1">
      <c r="A23" s="30" t="s">
        <v>22</v>
      </c>
      <c r="B23" s="31" t="s">
        <v>29</v>
      </c>
      <c r="C23" s="31" t="s">
        <v>42</v>
      </c>
      <c r="D23" s="31" t="s">
        <v>30</v>
      </c>
      <c r="E23" s="31" t="s">
        <v>4</v>
      </c>
      <c r="F23" s="33">
        <v>130.30000000000001</v>
      </c>
      <c r="G23" s="46" t="s">
        <v>304</v>
      </c>
      <c r="H23" s="46"/>
    </row>
    <row r="24" spans="1:8" hidden="1">
      <c r="A24" s="30" t="s">
        <v>22</v>
      </c>
      <c r="B24" s="31" t="s">
        <v>29</v>
      </c>
      <c r="C24" s="31" t="s">
        <v>42</v>
      </c>
      <c r="D24" s="31" t="s">
        <v>30</v>
      </c>
      <c r="E24" s="31" t="s">
        <v>5</v>
      </c>
      <c r="F24" s="33">
        <v>128.1</v>
      </c>
      <c r="G24" s="46" t="s">
        <v>304</v>
      </c>
      <c r="H24" s="46"/>
    </row>
    <row r="25" spans="1:8" hidden="1">
      <c r="A25" s="30" t="s">
        <v>22</v>
      </c>
      <c r="B25" s="31" t="s">
        <v>29</v>
      </c>
      <c r="C25" s="31" t="s">
        <v>42</v>
      </c>
      <c r="D25" s="31" t="s">
        <v>30</v>
      </c>
      <c r="E25" s="31" t="s">
        <v>302</v>
      </c>
      <c r="F25" s="33">
        <v>132.69999999999999</v>
      </c>
      <c r="G25" s="46" t="s">
        <v>304</v>
      </c>
      <c r="H25" s="46"/>
    </row>
    <row r="26" spans="1:8" hidden="1">
      <c r="A26" s="30" t="s">
        <v>22</v>
      </c>
      <c r="B26" s="31" t="s">
        <v>29</v>
      </c>
      <c r="C26" s="31" t="s">
        <v>42</v>
      </c>
      <c r="D26" s="31" t="s">
        <v>30</v>
      </c>
      <c r="E26" s="31" t="s">
        <v>303</v>
      </c>
      <c r="F26" s="33">
        <v>139.80000000000001</v>
      </c>
      <c r="G26" s="46" t="s">
        <v>304</v>
      </c>
      <c r="H26" s="46"/>
    </row>
    <row r="27" spans="1:8" hidden="1">
      <c r="A27" s="30" t="s">
        <v>22</v>
      </c>
      <c r="B27" s="31" t="s">
        <v>29</v>
      </c>
      <c r="C27" s="31" t="s">
        <v>42</v>
      </c>
      <c r="D27" s="31" t="s">
        <v>30</v>
      </c>
      <c r="E27" s="31" t="s">
        <v>322</v>
      </c>
      <c r="F27" s="33">
        <v>135.80000000000001</v>
      </c>
      <c r="G27" s="46" t="s">
        <v>304</v>
      </c>
      <c r="H27" s="46"/>
    </row>
    <row r="28" spans="1:8" hidden="1">
      <c r="F28" s="32"/>
      <c r="G28" s="46"/>
      <c r="H28" s="46"/>
    </row>
    <row r="29" spans="1:8" hidden="1">
      <c r="F29" s="32"/>
      <c r="G29" s="46"/>
      <c r="H29" s="46"/>
    </row>
    <row r="30" spans="1:8" hidden="1">
      <c r="F30" s="32"/>
      <c r="G30" s="46"/>
      <c r="H30" s="46"/>
    </row>
    <row r="31" spans="1:8" hidden="1">
      <c r="F31" s="32"/>
      <c r="G31" s="46" t="s">
        <v>304</v>
      </c>
      <c r="H31" s="46"/>
    </row>
    <row r="32" spans="1:8" hidden="1">
      <c r="F32" s="32"/>
      <c r="G32" s="46"/>
      <c r="H32" s="46"/>
    </row>
    <row r="33" spans="1:8" hidden="1">
      <c r="A33" s="30" t="s">
        <v>346</v>
      </c>
      <c r="B33" s="31" t="s">
        <v>21</v>
      </c>
      <c r="C33" s="31" t="s">
        <v>21</v>
      </c>
      <c r="D33" s="31" t="s">
        <v>307</v>
      </c>
      <c r="E33" s="31" t="s">
        <v>4</v>
      </c>
      <c r="F33" s="32">
        <v>0</v>
      </c>
      <c r="G33" s="46" t="s">
        <v>304</v>
      </c>
      <c r="H33" s="46"/>
    </row>
    <row r="34" spans="1:8" hidden="1">
      <c r="A34" s="30" t="s">
        <v>346</v>
      </c>
      <c r="B34" s="31" t="s">
        <v>21</v>
      </c>
      <c r="C34" s="31" t="s">
        <v>21</v>
      </c>
      <c r="D34" s="31" t="s">
        <v>307</v>
      </c>
      <c r="E34" s="31" t="s">
        <v>5</v>
      </c>
      <c r="F34" s="32">
        <v>0</v>
      </c>
      <c r="G34" s="46" t="s">
        <v>304</v>
      </c>
      <c r="H34" s="46"/>
    </row>
    <row r="35" spans="1:8" hidden="1">
      <c r="A35" s="30" t="s">
        <v>346</v>
      </c>
      <c r="B35" s="31" t="s">
        <v>21</v>
      </c>
      <c r="C35" s="31" t="s">
        <v>21</v>
      </c>
      <c r="D35" s="31" t="s">
        <v>307</v>
      </c>
      <c r="E35" s="31" t="s">
        <v>302</v>
      </c>
      <c r="F35" s="32">
        <v>129.19999999999999</v>
      </c>
      <c r="G35" s="46" t="s">
        <v>304</v>
      </c>
      <c r="H35" s="46"/>
    </row>
    <row r="36" spans="1:8" hidden="1">
      <c r="A36" s="30" t="s">
        <v>346</v>
      </c>
      <c r="B36" s="31" t="s">
        <v>21</v>
      </c>
      <c r="C36" s="31" t="s">
        <v>21</v>
      </c>
      <c r="D36" s="31" t="s">
        <v>307</v>
      </c>
      <c r="E36" s="31" t="s">
        <v>303</v>
      </c>
      <c r="F36" s="32">
        <v>180</v>
      </c>
      <c r="G36" s="46" t="s">
        <v>304</v>
      </c>
      <c r="H36" s="46"/>
    </row>
    <row r="37" spans="1:8" hidden="1">
      <c r="A37" s="30" t="s">
        <v>346</v>
      </c>
      <c r="B37" s="31" t="s">
        <v>21</v>
      </c>
      <c r="C37" s="31" t="s">
        <v>21</v>
      </c>
      <c r="D37" s="31" t="s">
        <v>307</v>
      </c>
      <c r="E37" s="31" t="s">
        <v>322</v>
      </c>
      <c r="F37" s="32">
        <f>'7. Dados Operacionais'!G25</f>
        <v>529</v>
      </c>
      <c r="G37" s="46" t="s">
        <v>304</v>
      </c>
      <c r="H37" s="46"/>
    </row>
    <row r="38" spans="1:8" hidden="1">
      <c r="A38" s="30" t="s">
        <v>22</v>
      </c>
      <c r="B38" s="31" t="s">
        <v>23</v>
      </c>
      <c r="C38" s="31" t="s">
        <v>24</v>
      </c>
      <c r="D38" s="31" t="s">
        <v>20</v>
      </c>
      <c r="E38" s="31" t="s">
        <v>5</v>
      </c>
      <c r="F38" s="32">
        <v>2241402.8199999998</v>
      </c>
      <c r="G38" s="46" t="s">
        <v>304</v>
      </c>
      <c r="H38" s="46"/>
    </row>
    <row r="39" spans="1:8" hidden="1">
      <c r="A39" s="30" t="s">
        <v>22</v>
      </c>
      <c r="B39" s="31" t="s">
        <v>23</v>
      </c>
      <c r="C39" s="31" t="s">
        <v>24</v>
      </c>
      <c r="D39" s="31" t="s">
        <v>20</v>
      </c>
      <c r="E39" s="31" t="s">
        <v>4</v>
      </c>
      <c r="F39" s="32">
        <v>2407347.46</v>
      </c>
      <c r="G39" s="46" t="s">
        <v>304</v>
      </c>
      <c r="H39" s="46"/>
    </row>
    <row r="40" spans="1:8" hidden="1">
      <c r="A40" s="30" t="s">
        <v>22</v>
      </c>
      <c r="B40" s="31" t="s">
        <v>23</v>
      </c>
      <c r="C40" s="31" t="s">
        <v>24</v>
      </c>
      <c r="D40" s="31" t="s">
        <v>20</v>
      </c>
      <c r="E40" s="31" t="s">
        <v>302</v>
      </c>
      <c r="F40" s="32">
        <v>2071287.89</v>
      </c>
      <c r="G40" s="46" t="s">
        <v>304</v>
      </c>
      <c r="H40" s="46"/>
    </row>
    <row r="41" spans="1:8" hidden="1">
      <c r="A41" s="30" t="s">
        <v>22</v>
      </c>
      <c r="B41" s="31" t="s">
        <v>23</v>
      </c>
      <c r="C41" s="31" t="s">
        <v>24</v>
      </c>
      <c r="D41" s="31" t="s">
        <v>20</v>
      </c>
      <c r="E41" s="31" t="s">
        <v>303</v>
      </c>
      <c r="F41" s="32">
        <v>1949659.07</v>
      </c>
      <c r="G41" s="46" t="s">
        <v>304</v>
      </c>
      <c r="H41" s="46"/>
    </row>
    <row r="42" spans="1:8" hidden="1">
      <c r="A42" s="30" t="s">
        <v>22</v>
      </c>
      <c r="B42" s="31" t="s">
        <v>23</v>
      </c>
      <c r="C42" s="31" t="s">
        <v>24</v>
      </c>
      <c r="D42" s="31" t="s">
        <v>20</v>
      </c>
      <c r="E42" s="31" t="s">
        <v>322</v>
      </c>
      <c r="F42" s="32">
        <v>2123000</v>
      </c>
      <c r="G42" s="46" t="s">
        <v>304</v>
      </c>
      <c r="H42" s="46"/>
    </row>
    <row r="43" spans="1:8" hidden="1">
      <c r="A43" s="30" t="s">
        <v>22</v>
      </c>
      <c r="B43" s="31" t="s">
        <v>23</v>
      </c>
      <c r="C43" s="31" t="s">
        <v>154</v>
      </c>
      <c r="D43" s="31" t="s">
        <v>20</v>
      </c>
      <c r="E43" s="31" t="s">
        <v>5</v>
      </c>
      <c r="F43" s="32">
        <v>2782802.35</v>
      </c>
      <c r="G43" s="46" t="s">
        <v>304</v>
      </c>
      <c r="H43" s="46"/>
    </row>
    <row r="44" spans="1:8" hidden="1">
      <c r="A44" s="30" t="s">
        <v>22</v>
      </c>
      <c r="B44" s="31" t="s">
        <v>23</v>
      </c>
      <c r="C44" s="31" t="s">
        <v>154</v>
      </c>
      <c r="D44" s="31" t="s">
        <v>20</v>
      </c>
      <c r="E44" s="31" t="s">
        <v>4</v>
      </c>
      <c r="F44" s="32">
        <v>2548686.37</v>
      </c>
      <c r="G44" s="46" t="s">
        <v>304</v>
      </c>
      <c r="H44" s="46"/>
    </row>
    <row r="45" spans="1:8" hidden="1">
      <c r="A45" s="30" t="s">
        <v>22</v>
      </c>
      <c r="B45" s="31" t="s">
        <v>23</v>
      </c>
      <c r="C45" s="31" t="s">
        <v>154</v>
      </c>
      <c r="D45" s="31" t="s">
        <v>20</v>
      </c>
      <c r="E45" s="31" t="s">
        <v>302</v>
      </c>
      <c r="F45" s="32">
        <v>2940775.12</v>
      </c>
      <c r="G45" s="46" t="s">
        <v>304</v>
      </c>
      <c r="H45" s="46"/>
    </row>
    <row r="46" spans="1:8" hidden="1">
      <c r="A46" s="30" t="s">
        <v>22</v>
      </c>
      <c r="B46" s="31" t="s">
        <v>23</v>
      </c>
      <c r="C46" s="31" t="s">
        <v>154</v>
      </c>
      <c r="D46" s="31" t="s">
        <v>20</v>
      </c>
      <c r="E46" s="31" t="s">
        <v>303</v>
      </c>
      <c r="F46" s="32">
        <v>2888140.16</v>
      </c>
      <c r="G46" s="46" t="s">
        <v>304</v>
      </c>
      <c r="H46" s="46"/>
    </row>
    <row r="47" spans="1:8" hidden="1">
      <c r="A47" s="30" t="s">
        <v>22</v>
      </c>
      <c r="B47" s="31" t="s">
        <v>23</v>
      </c>
      <c r="C47" s="31" t="s">
        <v>154</v>
      </c>
      <c r="D47" s="31" t="s">
        <v>20</v>
      </c>
      <c r="E47" s="31" t="s">
        <v>322</v>
      </c>
      <c r="F47" s="32">
        <v>3051000</v>
      </c>
      <c r="G47" s="46" t="s">
        <v>304</v>
      </c>
      <c r="H47" s="46"/>
    </row>
    <row r="48" spans="1:8" hidden="1">
      <c r="A48" s="30" t="s">
        <v>1</v>
      </c>
      <c r="B48" s="31" t="s">
        <v>6</v>
      </c>
      <c r="C48" s="31" t="s">
        <v>8</v>
      </c>
      <c r="D48" s="31" t="s">
        <v>9</v>
      </c>
      <c r="E48" s="31" t="s">
        <v>4</v>
      </c>
      <c r="F48" s="32">
        <v>6295200</v>
      </c>
      <c r="G48" s="46" t="s">
        <v>304</v>
      </c>
      <c r="H48" s="46"/>
    </row>
    <row r="49" spans="1:8" hidden="1">
      <c r="A49" s="30" t="s">
        <v>1</v>
      </c>
      <c r="B49" s="31" t="s">
        <v>6</v>
      </c>
      <c r="C49" s="31" t="s">
        <v>8</v>
      </c>
      <c r="D49" s="31" t="s">
        <v>9</v>
      </c>
      <c r="E49" s="31" t="s">
        <v>5</v>
      </c>
      <c r="F49" s="32">
        <v>6295200</v>
      </c>
      <c r="G49" s="46" t="s">
        <v>304</v>
      </c>
      <c r="H49" s="46"/>
    </row>
    <row r="50" spans="1:8" hidden="1">
      <c r="A50" s="30" t="s">
        <v>1</v>
      </c>
      <c r="B50" s="31" t="s">
        <v>6</v>
      </c>
      <c r="C50" s="31" t="s">
        <v>8</v>
      </c>
      <c r="D50" s="31" t="s">
        <v>9</v>
      </c>
      <c r="E50" s="31" t="s">
        <v>302</v>
      </c>
      <c r="F50" s="32">
        <v>6295200</v>
      </c>
      <c r="G50" s="46" t="s">
        <v>304</v>
      </c>
      <c r="H50" s="46"/>
    </row>
    <row r="51" spans="1:8" hidden="1">
      <c r="A51" s="30" t="s">
        <v>1</v>
      </c>
      <c r="B51" s="31" t="s">
        <v>6</v>
      </c>
      <c r="C51" s="31" t="s">
        <v>8</v>
      </c>
      <c r="D51" s="31" t="s">
        <v>9</v>
      </c>
      <c r="E51" s="31" t="s">
        <v>303</v>
      </c>
      <c r="F51" s="32">
        <v>6295200</v>
      </c>
      <c r="G51" s="46" t="s">
        <v>304</v>
      </c>
      <c r="H51" s="46"/>
    </row>
    <row r="52" spans="1:8" hidden="1">
      <c r="A52" s="30" t="s">
        <v>1</v>
      </c>
      <c r="B52" s="31" t="s">
        <v>6</v>
      </c>
      <c r="C52" s="31" t="s">
        <v>8</v>
      </c>
      <c r="D52" s="31" t="s">
        <v>9</v>
      </c>
      <c r="E52" s="31" t="s">
        <v>322</v>
      </c>
      <c r="F52" s="32">
        <v>6300000</v>
      </c>
      <c r="G52" s="46" t="s">
        <v>304</v>
      </c>
      <c r="H52" s="46"/>
    </row>
    <row r="53" spans="1:8" hidden="1">
      <c r="A53" s="30" t="s">
        <v>104</v>
      </c>
      <c r="B53" s="31" t="s">
        <v>104</v>
      </c>
      <c r="C53" s="31" t="s">
        <v>152</v>
      </c>
      <c r="D53" s="31" t="s">
        <v>35</v>
      </c>
      <c r="E53" s="31" t="s">
        <v>4</v>
      </c>
      <c r="F53" s="32">
        <v>158455</v>
      </c>
      <c r="G53" s="46" t="s">
        <v>304</v>
      </c>
      <c r="H53" s="46"/>
    </row>
    <row r="54" spans="1:8" hidden="1">
      <c r="A54" s="30" t="s">
        <v>104</v>
      </c>
      <c r="B54" s="31" t="s">
        <v>104</v>
      </c>
      <c r="C54" s="31" t="s">
        <v>152</v>
      </c>
      <c r="D54" s="31" t="s">
        <v>35</v>
      </c>
      <c r="E54" s="31" t="s">
        <v>5</v>
      </c>
      <c r="F54" s="32">
        <v>239369</v>
      </c>
      <c r="G54" s="46" t="s">
        <v>304</v>
      </c>
      <c r="H54" s="46"/>
    </row>
    <row r="55" spans="1:8" hidden="1">
      <c r="A55" s="30" t="s">
        <v>104</v>
      </c>
      <c r="B55" s="31" t="s">
        <v>104</v>
      </c>
      <c r="C55" s="31" t="s">
        <v>152</v>
      </c>
      <c r="D55" s="31" t="s">
        <v>35</v>
      </c>
      <c r="E55" s="31" t="s">
        <v>302</v>
      </c>
      <c r="F55" s="32">
        <v>317471</v>
      </c>
      <c r="G55" s="46" t="s">
        <v>304</v>
      </c>
      <c r="H55" s="46"/>
    </row>
    <row r="56" spans="1:8" hidden="1">
      <c r="A56" s="30" t="s">
        <v>104</v>
      </c>
      <c r="B56" s="31" t="s">
        <v>104</v>
      </c>
      <c r="C56" s="31" t="s">
        <v>152</v>
      </c>
      <c r="D56" s="31" t="s">
        <v>35</v>
      </c>
      <c r="E56" s="31" t="s">
        <v>303</v>
      </c>
      <c r="F56" s="32">
        <v>411874</v>
      </c>
      <c r="G56" s="46" t="s">
        <v>304</v>
      </c>
      <c r="H56" s="46"/>
    </row>
    <row r="57" spans="1:8" hidden="1">
      <c r="A57" s="30" t="s">
        <v>104</v>
      </c>
      <c r="B57" s="31" t="s">
        <v>104</v>
      </c>
      <c r="C57" s="31" t="s">
        <v>152</v>
      </c>
      <c r="D57" s="31" t="s">
        <v>35</v>
      </c>
      <c r="E57" s="31" t="s">
        <v>322</v>
      </c>
      <c r="F57" s="32">
        <v>689953</v>
      </c>
      <c r="G57" s="46" t="s">
        <v>304</v>
      </c>
      <c r="H57" s="46"/>
    </row>
    <row r="58" spans="1:8" hidden="1">
      <c r="F58" s="32"/>
      <c r="G58" s="46"/>
      <c r="H58" s="46"/>
    </row>
    <row r="59" spans="1:8" hidden="1">
      <c r="F59" s="32"/>
      <c r="G59" s="46"/>
      <c r="H59" s="46"/>
    </row>
    <row r="60" spans="1:8" hidden="1">
      <c r="F60" s="32"/>
      <c r="G60" s="46"/>
      <c r="H60" s="46"/>
    </row>
    <row r="61" spans="1:8" hidden="1">
      <c r="F61" s="32"/>
      <c r="G61" s="46"/>
      <c r="H61" s="46"/>
    </row>
    <row r="62" spans="1:8" hidden="1">
      <c r="F62" s="32"/>
      <c r="G62" s="46"/>
      <c r="H62" s="46"/>
    </row>
    <row r="63" spans="1:8" hidden="1">
      <c r="A63" s="30" t="s">
        <v>1</v>
      </c>
      <c r="B63" s="31" t="s">
        <v>10</v>
      </c>
      <c r="C63" s="31" t="s">
        <v>14</v>
      </c>
      <c r="D63" s="31" t="s">
        <v>13</v>
      </c>
      <c r="E63" s="31" t="s">
        <v>4</v>
      </c>
      <c r="F63" s="34">
        <v>43454</v>
      </c>
      <c r="G63" s="46" t="s">
        <v>304</v>
      </c>
      <c r="H63" s="46"/>
    </row>
    <row r="64" spans="1:8" hidden="1">
      <c r="A64" s="30" t="s">
        <v>1</v>
      </c>
      <c r="B64" s="31" t="s">
        <v>10</v>
      </c>
      <c r="C64" s="31" t="s">
        <v>14</v>
      </c>
      <c r="D64" s="31" t="s">
        <v>13</v>
      </c>
      <c r="E64" s="31" t="s">
        <v>5</v>
      </c>
      <c r="F64" s="34">
        <v>43794</v>
      </c>
      <c r="G64" s="46" t="s">
        <v>304</v>
      </c>
      <c r="H64" s="46"/>
    </row>
    <row r="65" spans="1:8" hidden="1">
      <c r="A65" s="30" t="s">
        <v>1</v>
      </c>
      <c r="B65" s="31" t="s">
        <v>10</v>
      </c>
      <c r="C65" s="31" t="s">
        <v>14</v>
      </c>
      <c r="D65" s="31" t="s">
        <v>13</v>
      </c>
      <c r="E65" s="31" t="s">
        <v>302</v>
      </c>
      <c r="F65" s="34">
        <v>44187</v>
      </c>
      <c r="G65" s="46" t="s">
        <v>304</v>
      </c>
      <c r="H65" s="46"/>
    </row>
    <row r="66" spans="1:8" hidden="1">
      <c r="A66" s="30" t="s">
        <v>1</v>
      </c>
      <c r="B66" s="31" t="s">
        <v>10</v>
      </c>
      <c r="C66" s="31" t="s">
        <v>14</v>
      </c>
      <c r="D66" s="31" t="s">
        <v>13</v>
      </c>
      <c r="E66" s="31" t="s">
        <v>303</v>
      </c>
      <c r="F66" s="34">
        <v>44532</v>
      </c>
      <c r="G66" s="46" t="s">
        <v>304</v>
      </c>
      <c r="H66" s="46"/>
    </row>
    <row r="67" spans="1:8" hidden="1">
      <c r="A67" s="30" t="s">
        <v>1</v>
      </c>
      <c r="B67" s="31" t="s">
        <v>10</v>
      </c>
      <c r="C67" s="31" t="s">
        <v>14</v>
      </c>
      <c r="D67" s="31" t="s">
        <v>13</v>
      </c>
      <c r="E67" s="31" t="s">
        <v>322</v>
      </c>
      <c r="F67" s="34">
        <v>44916</v>
      </c>
      <c r="G67" s="46" t="s">
        <v>304</v>
      </c>
      <c r="H67" s="46"/>
    </row>
    <row r="68" spans="1:8" hidden="1">
      <c r="A68" s="30" t="s">
        <v>1</v>
      </c>
      <c r="B68" s="31" t="s">
        <v>10</v>
      </c>
      <c r="C68" s="31" t="s">
        <v>12</v>
      </c>
      <c r="D68" s="31" t="s">
        <v>13</v>
      </c>
      <c r="E68" s="31" t="s">
        <v>4</v>
      </c>
      <c r="F68" s="34">
        <v>43209</v>
      </c>
      <c r="G68" s="46" t="s">
        <v>304</v>
      </c>
      <c r="H68" s="46"/>
    </row>
    <row r="69" spans="1:8" hidden="1">
      <c r="A69" s="30" t="s">
        <v>1</v>
      </c>
      <c r="B69" s="31" t="s">
        <v>10</v>
      </c>
      <c r="C69" s="31" t="s">
        <v>12</v>
      </c>
      <c r="D69" s="31" t="s">
        <v>13</v>
      </c>
      <c r="E69" s="31" t="s">
        <v>5</v>
      </c>
      <c r="F69" s="34">
        <v>43543</v>
      </c>
      <c r="G69" s="46" t="s">
        <v>304</v>
      </c>
      <c r="H69" s="46"/>
    </row>
    <row r="70" spans="1:8" hidden="1">
      <c r="A70" s="30" t="s">
        <v>1</v>
      </c>
      <c r="B70" s="31" t="s">
        <v>10</v>
      </c>
      <c r="C70" s="31" t="s">
        <v>12</v>
      </c>
      <c r="D70" s="31" t="s">
        <v>13</v>
      </c>
      <c r="E70" s="31" t="s">
        <v>302</v>
      </c>
      <c r="F70" s="34">
        <v>43936</v>
      </c>
      <c r="G70" s="46" t="s">
        <v>304</v>
      </c>
      <c r="H70" s="46"/>
    </row>
    <row r="71" spans="1:8" hidden="1">
      <c r="A71" s="30" t="s">
        <v>1</v>
      </c>
      <c r="B71" s="31" t="s">
        <v>10</v>
      </c>
      <c r="C71" s="31" t="s">
        <v>12</v>
      </c>
      <c r="D71" s="31" t="s">
        <v>13</v>
      </c>
      <c r="E71" s="31" t="s">
        <v>303</v>
      </c>
      <c r="F71" s="34">
        <v>44287</v>
      </c>
      <c r="G71" s="46" t="s">
        <v>304</v>
      </c>
      <c r="H71" s="46"/>
    </row>
    <row r="72" spans="1:8" hidden="1">
      <c r="A72" s="30" t="s">
        <v>1</v>
      </c>
      <c r="B72" s="31" t="s">
        <v>10</v>
      </c>
      <c r="C72" s="31" t="s">
        <v>12</v>
      </c>
      <c r="D72" s="31" t="s">
        <v>13</v>
      </c>
      <c r="E72" s="31" t="s">
        <v>322</v>
      </c>
      <c r="F72" s="34">
        <v>44695</v>
      </c>
      <c r="G72" s="46" t="s">
        <v>304</v>
      </c>
      <c r="H72" s="46"/>
    </row>
    <row r="73" spans="1:8" hidden="1">
      <c r="A73" s="30" t="s">
        <v>1</v>
      </c>
      <c r="B73" s="31" t="s">
        <v>10</v>
      </c>
      <c r="C73" s="31" t="s">
        <v>39</v>
      </c>
      <c r="D73" s="31" t="s">
        <v>11</v>
      </c>
      <c r="E73" s="31" t="s">
        <v>4</v>
      </c>
      <c r="F73" s="32">
        <v>245</v>
      </c>
      <c r="G73" s="46" t="s">
        <v>304</v>
      </c>
      <c r="H73" s="46"/>
    </row>
    <row r="74" spans="1:8" hidden="1">
      <c r="A74" s="30" t="s">
        <v>1</v>
      </c>
      <c r="B74" s="31" t="s">
        <v>10</v>
      </c>
      <c r="C74" s="31" t="s">
        <v>39</v>
      </c>
      <c r="D74" s="31" t="s">
        <v>11</v>
      </c>
      <c r="E74" s="31" t="s">
        <v>5</v>
      </c>
      <c r="F74" s="32">
        <v>252</v>
      </c>
      <c r="G74" s="46" t="s">
        <v>304</v>
      </c>
      <c r="H74" s="46"/>
    </row>
    <row r="75" spans="1:8" hidden="1">
      <c r="A75" s="30" t="s">
        <v>1</v>
      </c>
      <c r="B75" s="31" t="s">
        <v>10</v>
      </c>
      <c r="C75" s="31" t="s">
        <v>39</v>
      </c>
      <c r="D75" s="31" t="s">
        <v>11</v>
      </c>
      <c r="E75" s="31" t="s">
        <v>302</v>
      </c>
      <c r="F75" s="32">
        <v>251</v>
      </c>
      <c r="G75" s="46" t="s">
        <v>304</v>
      </c>
      <c r="H75" s="46"/>
    </row>
    <row r="76" spans="1:8" hidden="1">
      <c r="A76" s="30" t="s">
        <v>1</v>
      </c>
      <c r="B76" s="31" t="s">
        <v>10</v>
      </c>
      <c r="C76" s="31" t="s">
        <v>39</v>
      </c>
      <c r="D76" s="31" t="s">
        <v>11</v>
      </c>
      <c r="E76" s="31" t="s">
        <v>303</v>
      </c>
      <c r="F76" s="32">
        <v>245</v>
      </c>
      <c r="G76" s="46" t="s">
        <v>304</v>
      </c>
      <c r="H76" s="46"/>
    </row>
    <row r="77" spans="1:8" hidden="1">
      <c r="A77" s="30" t="s">
        <v>1</v>
      </c>
      <c r="B77" s="31" t="s">
        <v>10</v>
      </c>
      <c r="C77" s="31" t="s">
        <v>39</v>
      </c>
      <c r="D77" s="31" t="s">
        <v>11</v>
      </c>
      <c r="E77" s="31" t="s">
        <v>322</v>
      </c>
      <c r="F77" s="32">
        <v>221</v>
      </c>
      <c r="G77" s="46" t="s">
        <v>304</v>
      </c>
      <c r="H77" s="46"/>
    </row>
    <row r="78" spans="1:8" hidden="1">
      <c r="A78" s="30" t="s">
        <v>103</v>
      </c>
      <c r="B78" s="31" t="s">
        <v>147</v>
      </c>
      <c r="C78" s="31" t="s">
        <v>116</v>
      </c>
      <c r="D78" s="31" t="s">
        <v>35</v>
      </c>
      <c r="E78" s="31" t="s">
        <v>4</v>
      </c>
      <c r="F78" s="32">
        <v>411487</v>
      </c>
      <c r="G78" s="46" t="s">
        <v>304</v>
      </c>
      <c r="H78" s="46"/>
    </row>
    <row r="79" spans="1:8" hidden="1">
      <c r="A79" s="30" t="s">
        <v>103</v>
      </c>
      <c r="B79" s="31" t="s">
        <v>147</v>
      </c>
      <c r="C79" s="31" t="s">
        <v>116</v>
      </c>
      <c r="D79" s="31" t="s">
        <v>35</v>
      </c>
      <c r="E79" s="31" t="s">
        <v>5</v>
      </c>
      <c r="F79" s="32">
        <v>437756</v>
      </c>
      <c r="G79" s="46" t="s">
        <v>304</v>
      </c>
      <c r="H79" s="46"/>
    </row>
    <row r="80" spans="1:8" hidden="1">
      <c r="A80" s="30" t="s">
        <v>103</v>
      </c>
      <c r="B80" s="31" t="s">
        <v>147</v>
      </c>
      <c r="C80" s="31" t="s">
        <v>116</v>
      </c>
      <c r="D80" s="31" t="s">
        <v>35</v>
      </c>
      <c r="E80" s="31" t="s">
        <v>302</v>
      </c>
      <c r="F80" s="32">
        <v>542035</v>
      </c>
      <c r="G80" s="46" t="s">
        <v>304</v>
      </c>
      <c r="H80" s="46"/>
    </row>
    <row r="81" spans="1:8" hidden="1">
      <c r="A81" s="30" t="s">
        <v>103</v>
      </c>
      <c r="B81" s="31" t="s">
        <v>147</v>
      </c>
      <c r="C81" s="31" t="s">
        <v>116</v>
      </c>
      <c r="D81" s="31" t="s">
        <v>35</v>
      </c>
      <c r="E81" s="31" t="s">
        <v>303</v>
      </c>
      <c r="F81" s="32">
        <v>605078</v>
      </c>
      <c r="G81" s="46" t="s">
        <v>304</v>
      </c>
      <c r="H81" s="46"/>
    </row>
    <row r="82" spans="1:8" hidden="1">
      <c r="A82" s="30" t="s">
        <v>103</v>
      </c>
      <c r="B82" s="31" t="s">
        <v>147</v>
      </c>
      <c r="C82" s="31" t="s">
        <v>116</v>
      </c>
      <c r="D82" s="31" t="s">
        <v>35</v>
      </c>
      <c r="E82" s="31" t="s">
        <v>322</v>
      </c>
      <c r="F82" s="32">
        <v>1091465</v>
      </c>
      <c r="G82" s="46" t="s">
        <v>304</v>
      </c>
      <c r="H82" s="46"/>
    </row>
    <row r="83" spans="1:8" hidden="1">
      <c r="A83" s="30" t="s">
        <v>103</v>
      </c>
      <c r="B83" s="31" t="s">
        <v>67</v>
      </c>
      <c r="C83" s="31" t="s">
        <v>67</v>
      </c>
      <c r="D83" s="31" t="s">
        <v>35</v>
      </c>
      <c r="E83" s="31" t="s">
        <v>4</v>
      </c>
      <c r="F83" s="32">
        <v>283242</v>
      </c>
      <c r="G83" s="46" t="s">
        <v>304</v>
      </c>
      <c r="H83" s="46"/>
    </row>
    <row r="84" spans="1:8" hidden="1">
      <c r="A84" s="30" t="s">
        <v>103</v>
      </c>
      <c r="B84" s="31" t="s">
        <v>67</v>
      </c>
      <c r="C84" s="31" t="s">
        <v>67</v>
      </c>
      <c r="D84" s="31" t="s">
        <v>35</v>
      </c>
      <c r="E84" s="31" t="s">
        <v>5</v>
      </c>
      <c r="F84" s="32">
        <v>391859</v>
      </c>
      <c r="G84" s="46" t="s">
        <v>304</v>
      </c>
      <c r="H84" s="46"/>
    </row>
    <row r="85" spans="1:8" hidden="1">
      <c r="A85" s="30" t="s">
        <v>103</v>
      </c>
      <c r="B85" s="31" t="s">
        <v>67</v>
      </c>
      <c r="C85" s="31" t="s">
        <v>67</v>
      </c>
      <c r="D85" s="31" t="s">
        <v>35</v>
      </c>
      <c r="E85" s="31" t="s">
        <v>302</v>
      </c>
      <c r="F85" s="32">
        <v>450535</v>
      </c>
      <c r="G85" s="46" t="s">
        <v>304</v>
      </c>
      <c r="H85" s="46"/>
    </row>
    <row r="86" spans="1:8" hidden="1">
      <c r="A86" s="30" t="s">
        <v>103</v>
      </c>
      <c r="B86" s="31" t="s">
        <v>67</v>
      </c>
      <c r="C86" s="31" t="s">
        <v>67</v>
      </c>
      <c r="D86" s="31" t="s">
        <v>35</v>
      </c>
      <c r="E86" s="31" t="s">
        <v>303</v>
      </c>
      <c r="F86" s="32">
        <v>784800</v>
      </c>
      <c r="G86" s="46" t="s">
        <v>304</v>
      </c>
      <c r="H86" s="46"/>
    </row>
    <row r="87" spans="1:8" hidden="1">
      <c r="A87" s="30" t="s">
        <v>103</v>
      </c>
      <c r="B87" s="31" t="s">
        <v>67</v>
      </c>
      <c r="C87" s="31" t="s">
        <v>67</v>
      </c>
      <c r="D87" s="31" t="s">
        <v>35</v>
      </c>
      <c r="E87" s="31" t="s">
        <v>322</v>
      </c>
      <c r="F87" s="32">
        <v>655805</v>
      </c>
      <c r="G87" s="46" t="s">
        <v>304</v>
      </c>
      <c r="H87" s="46"/>
    </row>
    <row r="88" spans="1:8" hidden="1">
      <c r="A88" s="30" t="s">
        <v>339</v>
      </c>
      <c r="B88" s="31" t="s">
        <v>65</v>
      </c>
      <c r="C88" s="31" t="s">
        <v>131</v>
      </c>
      <c r="D88" s="31" t="s">
        <v>35</v>
      </c>
      <c r="E88" s="31" t="s">
        <v>4</v>
      </c>
      <c r="F88" s="32">
        <v>17588</v>
      </c>
      <c r="G88" s="46" t="s">
        <v>304</v>
      </c>
      <c r="H88" s="46"/>
    </row>
    <row r="89" spans="1:8" hidden="1">
      <c r="A89" s="30" t="s">
        <v>339</v>
      </c>
      <c r="B89" s="31" t="s">
        <v>65</v>
      </c>
      <c r="C89" s="31" t="s">
        <v>131</v>
      </c>
      <c r="D89" s="31" t="s">
        <v>35</v>
      </c>
      <c r="E89" s="31" t="s">
        <v>5</v>
      </c>
      <c r="F89" s="32">
        <v>15112</v>
      </c>
      <c r="G89" s="46" t="s">
        <v>304</v>
      </c>
      <c r="H89" s="46"/>
    </row>
    <row r="90" spans="1:8" hidden="1">
      <c r="A90" s="30" t="s">
        <v>339</v>
      </c>
      <c r="B90" s="31" t="s">
        <v>65</v>
      </c>
      <c r="C90" s="31" t="s">
        <v>131</v>
      </c>
      <c r="D90" s="31" t="s">
        <v>35</v>
      </c>
      <c r="E90" s="31" t="s">
        <v>302</v>
      </c>
      <c r="F90" s="32">
        <v>11789</v>
      </c>
      <c r="G90" s="46" t="s">
        <v>304</v>
      </c>
      <c r="H90" s="46"/>
    </row>
    <row r="91" spans="1:8" hidden="1">
      <c r="A91" s="30" t="s">
        <v>339</v>
      </c>
      <c r="B91" s="31" t="s">
        <v>65</v>
      </c>
      <c r="C91" s="31" t="s">
        <v>131</v>
      </c>
      <c r="D91" s="31" t="s">
        <v>35</v>
      </c>
      <c r="E91" s="31" t="s">
        <v>303</v>
      </c>
      <c r="F91" s="32">
        <v>12737</v>
      </c>
      <c r="G91" s="46" t="s">
        <v>304</v>
      </c>
      <c r="H91" s="46"/>
    </row>
    <row r="92" spans="1:8" hidden="1">
      <c r="A92" s="30" t="s">
        <v>339</v>
      </c>
      <c r="B92" s="31" t="s">
        <v>65</v>
      </c>
      <c r="C92" s="31" t="s">
        <v>131</v>
      </c>
      <c r="D92" s="31" t="s">
        <v>35</v>
      </c>
      <c r="E92" s="31" t="s">
        <v>322</v>
      </c>
      <c r="F92" s="32">
        <v>6098</v>
      </c>
      <c r="G92" s="46" t="s">
        <v>304</v>
      </c>
      <c r="H92" s="46"/>
    </row>
    <row r="93" spans="1:8" hidden="1">
      <c r="A93" s="30" t="s">
        <v>339</v>
      </c>
      <c r="B93" s="31" t="s">
        <v>65</v>
      </c>
      <c r="C93" s="31" t="s">
        <v>76</v>
      </c>
      <c r="D93" s="31" t="s">
        <v>35</v>
      </c>
      <c r="E93" s="31" t="s">
        <v>4</v>
      </c>
      <c r="F93" s="32">
        <v>192787</v>
      </c>
      <c r="G93" s="46" t="s">
        <v>304</v>
      </c>
      <c r="H93" s="46"/>
    </row>
    <row r="94" spans="1:8" hidden="1">
      <c r="A94" s="30" t="s">
        <v>339</v>
      </c>
      <c r="B94" s="31" t="s">
        <v>65</v>
      </c>
      <c r="C94" s="31" t="s">
        <v>76</v>
      </c>
      <c r="D94" s="31" t="s">
        <v>35</v>
      </c>
      <c r="E94" s="31" t="s">
        <v>5</v>
      </c>
      <c r="F94" s="32">
        <v>227785</v>
      </c>
      <c r="G94" s="46" t="s">
        <v>304</v>
      </c>
      <c r="H94" s="46"/>
    </row>
    <row r="95" spans="1:8" hidden="1">
      <c r="A95" s="30" t="s">
        <v>339</v>
      </c>
      <c r="B95" s="31" t="s">
        <v>65</v>
      </c>
      <c r="C95" s="31" t="s">
        <v>76</v>
      </c>
      <c r="D95" s="31" t="s">
        <v>35</v>
      </c>
      <c r="E95" s="31" t="s">
        <v>302</v>
      </c>
      <c r="F95" s="32">
        <v>194136.16722999999</v>
      </c>
      <c r="G95" s="46" t="s">
        <v>304</v>
      </c>
      <c r="H95" s="46"/>
    </row>
    <row r="96" spans="1:8" hidden="1">
      <c r="A96" s="30" t="s">
        <v>339</v>
      </c>
      <c r="B96" s="31" t="s">
        <v>65</v>
      </c>
      <c r="C96" s="31" t="s">
        <v>76</v>
      </c>
      <c r="D96" s="31" t="s">
        <v>35</v>
      </c>
      <c r="E96" s="31" t="s">
        <v>303</v>
      </c>
      <c r="F96" s="32">
        <v>341668</v>
      </c>
      <c r="G96" s="46" t="s">
        <v>304</v>
      </c>
      <c r="H96" s="46"/>
    </row>
    <row r="97" spans="1:8" hidden="1">
      <c r="A97" s="30" t="s">
        <v>339</v>
      </c>
      <c r="B97" s="31" t="s">
        <v>65</v>
      </c>
      <c r="C97" s="31" t="s">
        <v>76</v>
      </c>
      <c r="D97" s="31" t="s">
        <v>35</v>
      </c>
      <c r="E97" s="31" t="s">
        <v>322</v>
      </c>
      <c r="F97" s="32">
        <v>290465</v>
      </c>
      <c r="G97" s="46" t="s">
        <v>304</v>
      </c>
      <c r="H97" s="46"/>
    </row>
    <row r="98" spans="1:8" hidden="1">
      <c r="A98" s="30" t="s">
        <v>339</v>
      </c>
      <c r="B98" s="31" t="s">
        <v>65</v>
      </c>
      <c r="C98" s="31" t="s">
        <v>77</v>
      </c>
      <c r="D98" s="31" t="s">
        <v>35</v>
      </c>
      <c r="E98" s="31" t="s">
        <v>4</v>
      </c>
      <c r="F98" s="32">
        <v>267823</v>
      </c>
      <c r="G98" s="46" t="s">
        <v>304</v>
      </c>
      <c r="H98" s="46"/>
    </row>
    <row r="99" spans="1:8" hidden="1">
      <c r="A99" s="30" t="s">
        <v>339</v>
      </c>
      <c r="B99" s="31" t="s">
        <v>65</v>
      </c>
      <c r="C99" s="31" t="s">
        <v>77</v>
      </c>
      <c r="D99" s="31" t="s">
        <v>35</v>
      </c>
      <c r="E99" s="31" t="s">
        <v>5</v>
      </c>
      <c r="F99" s="32">
        <v>289523</v>
      </c>
      <c r="G99" s="46" t="s">
        <v>304</v>
      </c>
      <c r="H99" s="46"/>
    </row>
    <row r="100" spans="1:8" hidden="1">
      <c r="A100" s="30" t="s">
        <v>339</v>
      </c>
      <c r="B100" s="31" t="s">
        <v>65</v>
      </c>
      <c r="C100" s="31" t="s">
        <v>77</v>
      </c>
      <c r="D100" s="31" t="s">
        <v>35</v>
      </c>
      <c r="E100" s="31" t="s">
        <v>302</v>
      </c>
      <c r="F100" s="32">
        <v>259181.04349999997</v>
      </c>
      <c r="G100" s="46" t="s">
        <v>304</v>
      </c>
      <c r="H100" s="46"/>
    </row>
    <row r="101" spans="1:8" hidden="1">
      <c r="A101" s="30" t="s">
        <v>339</v>
      </c>
      <c r="B101" s="31" t="s">
        <v>65</v>
      </c>
      <c r="C101" s="31" t="s">
        <v>77</v>
      </c>
      <c r="D101" s="31" t="s">
        <v>35</v>
      </c>
      <c r="E101" s="31" t="s">
        <v>303</v>
      </c>
      <c r="F101" s="32">
        <v>442716</v>
      </c>
      <c r="G101" s="46" t="s">
        <v>304</v>
      </c>
      <c r="H101" s="46"/>
    </row>
    <row r="102" spans="1:8" hidden="1">
      <c r="A102" s="30" t="s">
        <v>339</v>
      </c>
      <c r="B102" s="31" t="s">
        <v>65</v>
      </c>
      <c r="C102" s="31" t="s">
        <v>77</v>
      </c>
      <c r="D102" s="31" t="s">
        <v>35</v>
      </c>
      <c r="E102" s="31" t="s">
        <v>322</v>
      </c>
      <c r="F102" s="32">
        <v>410050</v>
      </c>
      <c r="G102" s="46" t="s">
        <v>304</v>
      </c>
      <c r="H102" s="46"/>
    </row>
    <row r="103" spans="1:8" hidden="1">
      <c r="A103" s="30" t="s">
        <v>22</v>
      </c>
      <c r="B103" s="31" t="s">
        <v>26</v>
      </c>
      <c r="C103" s="31" t="s">
        <v>27</v>
      </c>
      <c r="D103" s="31" t="s">
        <v>28</v>
      </c>
      <c r="E103" s="31" t="s">
        <v>4</v>
      </c>
      <c r="F103" s="33">
        <v>3.756284693868527</v>
      </c>
      <c r="G103" s="46" t="s">
        <v>304</v>
      </c>
      <c r="H103" s="46"/>
    </row>
    <row r="104" spans="1:8" hidden="1">
      <c r="A104" s="30" t="s">
        <v>22</v>
      </c>
      <c r="B104" s="31" t="s">
        <v>26</v>
      </c>
      <c r="C104" s="31" t="s">
        <v>27</v>
      </c>
      <c r="D104" s="31" t="s">
        <v>28</v>
      </c>
      <c r="E104" s="31" t="s">
        <v>5</v>
      </c>
      <c r="F104" s="33">
        <v>3.6826231120141197</v>
      </c>
      <c r="G104" s="46" t="s">
        <v>304</v>
      </c>
      <c r="H104" s="46"/>
    </row>
    <row r="105" spans="1:8" hidden="1">
      <c r="A105" s="30" t="s">
        <v>22</v>
      </c>
      <c r="B105" s="31" t="s">
        <v>26</v>
      </c>
      <c r="C105" s="31" t="s">
        <v>27</v>
      </c>
      <c r="D105" s="31" t="s">
        <v>28</v>
      </c>
      <c r="E105" s="31" t="s">
        <v>302</v>
      </c>
      <c r="F105" s="33">
        <v>3.7014455939322346</v>
      </c>
      <c r="G105" s="46" t="s">
        <v>304</v>
      </c>
      <c r="H105" s="46"/>
    </row>
    <row r="106" spans="1:8" hidden="1">
      <c r="A106" s="30" t="s">
        <v>22</v>
      </c>
      <c r="B106" s="31" t="s">
        <v>26</v>
      </c>
      <c r="C106" s="31" t="s">
        <v>27</v>
      </c>
      <c r="D106" s="31" t="s">
        <v>28</v>
      </c>
      <c r="E106" s="31" t="s">
        <v>303</v>
      </c>
      <c r="F106" s="33">
        <v>3.3526677462518739</v>
      </c>
      <c r="G106" s="47" t="s">
        <v>304</v>
      </c>
      <c r="H106" s="46"/>
    </row>
    <row r="107" spans="1:8" hidden="1">
      <c r="A107" s="30" t="s">
        <v>22</v>
      </c>
      <c r="B107" s="31" t="s">
        <v>26</v>
      </c>
      <c r="C107" s="31" t="s">
        <v>27</v>
      </c>
      <c r="D107" s="31" t="s">
        <v>28</v>
      </c>
      <c r="E107" s="31" t="s">
        <v>322</v>
      </c>
      <c r="F107" s="33">
        <v>3.6</v>
      </c>
      <c r="G107" s="47" t="s">
        <v>304</v>
      </c>
      <c r="H107" s="46"/>
    </row>
    <row r="108" spans="1:8" hidden="1">
      <c r="A108" s="30" t="s">
        <v>104</v>
      </c>
      <c r="B108" s="31" t="s">
        <v>104</v>
      </c>
      <c r="C108" s="31" t="s">
        <v>110</v>
      </c>
      <c r="D108" s="31" t="s">
        <v>35</v>
      </c>
      <c r="E108" s="31" t="s">
        <v>4</v>
      </c>
      <c r="F108" s="32">
        <v>119228</v>
      </c>
      <c r="G108" s="47" t="s">
        <v>304</v>
      </c>
      <c r="H108" s="46"/>
    </row>
    <row r="109" spans="1:8" hidden="1">
      <c r="A109" s="30" t="s">
        <v>104</v>
      </c>
      <c r="B109" s="31" t="s">
        <v>104</v>
      </c>
      <c r="C109" s="31" t="s">
        <v>110</v>
      </c>
      <c r="D109" s="31" t="s">
        <v>35</v>
      </c>
      <c r="E109" s="31" t="s">
        <v>5</v>
      </c>
      <c r="F109" s="32">
        <v>197548</v>
      </c>
      <c r="G109" s="47" t="s">
        <v>304</v>
      </c>
      <c r="H109" s="46"/>
    </row>
    <row r="110" spans="1:8" hidden="1">
      <c r="A110" s="30" t="s">
        <v>104</v>
      </c>
      <c r="B110" s="31" t="s">
        <v>104</v>
      </c>
      <c r="C110" s="31" t="s">
        <v>110</v>
      </c>
      <c r="D110" s="31" t="s">
        <v>35</v>
      </c>
      <c r="E110" s="31" t="s">
        <v>302</v>
      </c>
      <c r="F110" s="32">
        <v>215593</v>
      </c>
      <c r="G110" s="47" t="s">
        <v>304</v>
      </c>
      <c r="H110" s="46"/>
    </row>
    <row r="111" spans="1:8" hidden="1">
      <c r="A111" s="30" t="s">
        <v>104</v>
      </c>
      <c r="B111" s="31" t="s">
        <v>104</v>
      </c>
      <c r="C111" s="31" t="s">
        <v>110</v>
      </c>
      <c r="D111" s="31" t="s">
        <v>35</v>
      </c>
      <c r="E111" s="31" t="s">
        <v>303</v>
      </c>
      <c r="F111" s="32">
        <v>295839</v>
      </c>
      <c r="G111" s="46" t="s">
        <v>304</v>
      </c>
      <c r="H111" s="46"/>
    </row>
    <row r="112" spans="1:8" hidden="1">
      <c r="A112" s="30" t="s">
        <v>104</v>
      </c>
      <c r="B112" s="31" t="s">
        <v>104</v>
      </c>
      <c r="C112" s="31" t="s">
        <v>110</v>
      </c>
      <c r="D112" s="31" t="s">
        <v>35</v>
      </c>
      <c r="E112" s="31" t="s">
        <v>322</v>
      </c>
      <c r="F112" s="32">
        <v>419880</v>
      </c>
      <c r="G112" s="46" t="s">
        <v>304</v>
      </c>
      <c r="H112" s="46"/>
    </row>
    <row r="113" spans="1:8" hidden="1">
      <c r="A113" s="30" t="s">
        <v>104</v>
      </c>
      <c r="B113" s="31" t="s">
        <v>104</v>
      </c>
      <c r="C113" s="31" t="s">
        <v>111</v>
      </c>
      <c r="D113" s="31" t="s">
        <v>35</v>
      </c>
      <c r="E113" s="31" t="s">
        <v>4</v>
      </c>
      <c r="F113" s="32">
        <v>39227</v>
      </c>
      <c r="G113" s="47" t="s">
        <v>304</v>
      </c>
      <c r="H113" s="46"/>
    </row>
    <row r="114" spans="1:8" hidden="1">
      <c r="A114" s="30" t="s">
        <v>104</v>
      </c>
      <c r="B114" s="31" t="s">
        <v>104</v>
      </c>
      <c r="C114" s="31" t="s">
        <v>111</v>
      </c>
      <c r="D114" s="31" t="s">
        <v>35</v>
      </c>
      <c r="E114" s="31" t="s">
        <v>5</v>
      </c>
      <c r="F114" s="32">
        <v>41821</v>
      </c>
      <c r="G114" s="47" t="s">
        <v>304</v>
      </c>
      <c r="H114" s="46"/>
    </row>
    <row r="115" spans="1:8" hidden="1">
      <c r="A115" s="30" t="s">
        <v>104</v>
      </c>
      <c r="B115" s="31" t="s">
        <v>104</v>
      </c>
      <c r="C115" s="31" t="s">
        <v>111</v>
      </c>
      <c r="D115" s="31" t="s">
        <v>35</v>
      </c>
      <c r="E115" s="31" t="s">
        <v>302</v>
      </c>
      <c r="F115" s="32">
        <v>87426</v>
      </c>
      <c r="G115" s="47" t="s">
        <v>304</v>
      </c>
      <c r="H115" s="46"/>
    </row>
    <row r="116" spans="1:8" hidden="1">
      <c r="A116" s="30" t="s">
        <v>104</v>
      </c>
      <c r="B116" s="31" t="s">
        <v>104</v>
      </c>
      <c r="C116" s="31" t="s">
        <v>111</v>
      </c>
      <c r="D116" s="31" t="s">
        <v>35</v>
      </c>
      <c r="E116" s="31" t="s">
        <v>303</v>
      </c>
      <c r="F116" s="32">
        <v>88249.895449999996</v>
      </c>
      <c r="G116" s="47" t="s">
        <v>304</v>
      </c>
      <c r="H116" s="46"/>
    </row>
    <row r="117" spans="1:8" hidden="1">
      <c r="A117" s="30" t="s">
        <v>104</v>
      </c>
      <c r="B117" s="31" t="s">
        <v>104</v>
      </c>
      <c r="C117" s="31" t="s">
        <v>111</v>
      </c>
      <c r="D117" s="31" t="s">
        <v>35</v>
      </c>
      <c r="E117" s="31" t="s">
        <v>322</v>
      </c>
      <c r="F117" s="32">
        <v>149418</v>
      </c>
      <c r="G117" s="47" t="s">
        <v>304</v>
      </c>
      <c r="H117" s="46"/>
    </row>
    <row r="118" spans="1:8" hidden="1">
      <c r="A118" s="30" t="s">
        <v>104</v>
      </c>
      <c r="B118" s="31" t="s">
        <v>104</v>
      </c>
      <c r="C118" s="31" t="s">
        <v>113</v>
      </c>
      <c r="D118" s="31" t="s">
        <v>35</v>
      </c>
      <c r="E118" s="31" t="s">
        <v>302</v>
      </c>
      <c r="F118" s="32">
        <v>14452</v>
      </c>
      <c r="G118" s="47" t="s">
        <v>304</v>
      </c>
      <c r="H118" s="46"/>
    </row>
    <row r="119" spans="1:8" hidden="1">
      <c r="A119" s="30" t="s">
        <v>104</v>
      </c>
      <c r="B119" s="31" t="s">
        <v>104</v>
      </c>
      <c r="C119" s="31" t="s">
        <v>113</v>
      </c>
      <c r="D119" s="31" t="s">
        <v>35</v>
      </c>
      <c r="E119" s="31" t="s">
        <v>303</v>
      </c>
      <c r="F119" s="32">
        <v>27785.10455</v>
      </c>
      <c r="G119" s="47" t="s">
        <v>304</v>
      </c>
      <c r="H119" s="46"/>
    </row>
    <row r="120" spans="1:8" hidden="1">
      <c r="A120" s="30" t="s">
        <v>104</v>
      </c>
      <c r="B120" s="31" t="s">
        <v>104</v>
      </c>
      <c r="C120" s="31" t="s">
        <v>113</v>
      </c>
      <c r="D120" s="31" t="s">
        <v>35</v>
      </c>
      <c r="E120" s="31" t="s">
        <v>322</v>
      </c>
      <c r="F120" s="32">
        <v>121546.5</v>
      </c>
      <c r="G120" s="47" t="s">
        <v>304</v>
      </c>
      <c r="H120" s="46"/>
    </row>
    <row r="121" spans="1:8" hidden="1">
      <c r="A121" s="30" t="s">
        <v>339</v>
      </c>
      <c r="B121" s="31" t="s">
        <v>65</v>
      </c>
      <c r="C121" s="31" t="s">
        <v>102</v>
      </c>
      <c r="D121" s="31" t="s">
        <v>35</v>
      </c>
      <c r="E121" s="31" t="s">
        <v>4</v>
      </c>
      <c r="F121" s="32">
        <v>12053</v>
      </c>
      <c r="G121" s="47" t="s">
        <v>304</v>
      </c>
      <c r="H121" s="46"/>
    </row>
    <row r="122" spans="1:8" hidden="1">
      <c r="A122" s="30" t="s">
        <v>339</v>
      </c>
      <c r="B122" s="31" t="s">
        <v>65</v>
      </c>
      <c r="C122" s="31" t="s">
        <v>102</v>
      </c>
      <c r="D122" s="31" t="s">
        <v>35</v>
      </c>
      <c r="E122" s="31" t="s">
        <v>5</v>
      </c>
      <c r="F122" s="32">
        <v>311</v>
      </c>
      <c r="G122" s="47" t="s">
        <v>304</v>
      </c>
      <c r="H122" s="46"/>
    </row>
    <row r="123" spans="1:8" hidden="1">
      <c r="A123" s="30" t="s">
        <v>339</v>
      </c>
      <c r="B123" s="31" t="s">
        <v>65</v>
      </c>
      <c r="C123" s="31" t="s">
        <v>102</v>
      </c>
      <c r="D123" s="31" t="s">
        <v>35</v>
      </c>
      <c r="E123" s="31" t="s">
        <v>302</v>
      </c>
      <c r="F123" s="32">
        <v>4084.2897300000013</v>
      </c>
      <c r="G123" s="47" t="s">
        <v>304</v>
      </c>
      <c r="H123" s="46"/>
    </row>
    <row r="124" spans="1:8" hidden="1">
      <c r="A124" s="30" t="s">
        <v>339</v>
      </c>
      <c r="B124" s="31" t="s">
        <v>65</v>
      </c>
      <c r="C124" s="31" t="s">
        <v>102</v>
      </c>
      <c r="D124" s="31" t="s">
        <v>35</v>
      </c>
      <c r="E124" s="31" t="s">
        <v>303</v>
      </c>
      <c r="F124" s="32">
        <v>7874</v>
      </c>
      <c r="G124" s="47" t="s">
        <v>304</v>
      </c>
      <c r="H124" s="46"/>
    </row>
    <row r="125" spans="1:8" hidden="1">
      <c r="A125" s="30" t="s">
        <v>339</v>
      </c>
      <c r="B125" s="31" t="s">
        <v>65</v>
      </c>
      <c r="C125" s="31" t="s">
        <v>102</v>
      </c>
      <c r="D125" s="31" t="s">
        <v>35</v>
      </c>
      <c r="E125" s="31" t="s">
        <v>322</v>
      </c>
      <c r="F125" s="32">
        <v>1079.9000000000001</v>
      </c>
      <c r="G125" s="47" t="s">
        <v>304</v>
      </c>
      <c r="H125" s="46"/>
    </row>
    <row r="126" spans="1:8" hidden="1">
      <c r="A126" s="30" t="s">
        <v>1</v>
      </c>
      <c r="B126" s="31" t="s">
        <v>15</v>
      </c>
      <c r="C126" s="31" t="s">
        <v>40</v>
      </c>
      <c r="D126" s="31" t="s">
        <v>356</v>
      </c>
      <c r="E126" s="31" t="s">
        <v>4</v>
      </c>
      <c r="F126" s="32">
        <v>68</v>
      </c>
      <c r="G126" s="47" t="s">
        <v>304</v>
      </c>
      <c r="H126" s="46"/>
    </row>
    <row r="127" spans="1:8" hidden="1">
      <c r="A127" s="30" t="s">
        <v>1</v>
      </c>
      <c r="B127" s="31" t="s">
        <v>15</v>
      </c>
      <c r="C127" s="31" t="s">
        <v>40</v>
      </c>
      <c r="D127" s="31" t="s">
        <v>356</v>
      </c>
      <c r="E127" s="31" t="s">
        <v>5</v>
      </c>
      <c r="F127" s="32">
        <v>68</v>
      </c>
      <c r="G127" s="47" t="s">
        <v>304</v>
      </c>
      <c r="H127" s="46"/>
    </row>
    <row r="128" spans="1:8" hidden="1">
      <c r="A128" s="30" t="s">
        <v>1</v>
      </c>
      <c r="B128" s="31" t="s">
        <v>15</v>
      </c>
      <c r="C128" s="31" t="s">
        <v>40</v>
      </c>
      <c r="D128" s="31" t="s">
        <v>356</v>
      </c>
      <c r="E128" s="31" t="s">
        <v>302</v>
      </c>
      <c r="F128" s="32">
        <v>68</v>
      </c>
      <c r="G128" s="47" t="s">
        <v>304</v>
      </c>
      <c r="H128" s="46"/>
    </row>
    <row r="129" spans="1:8" hidden="1">
      <c r="A129" s="30" t="s">
        <v>1</v>
      </c>
      <c r="B129" s="31" t="s">
        <v>15</v>
      </c>
      <c r="C129" s="31" t="s">
        <v>40</v>
      </c>
      <c r="D129" s="31" t="s">
        <v>356</v>
      </c>
      <c r="E129" s="31" t="s">
        <v>303</v>
      </c>
      <c r="F129" s="32">
        <v>68</v>
      </c>
      <c r="G129" s="47" t="s">
        <v>304</v>
      </c>
      <c r="H129" s="46"/>
    </row>
    <row r="130" spans="1:8" hidden="1">
      <c r="A130" s="30" t="s">
        <v>1</v>
      </c>
      <c r="B130" s="31" t="s">
        <v>15</v>
      </c>
      <c r="C130" s="31" t="s">
        <v>40</v>
      </c>
      <c r="D130" s="31" t="s">
        <v>356</v>
      </c>
      <c r="E130" s="31" t="s">
        <v>322</v>
      </c>
      <c r="F130" s="32">
        <v>68</v>
      </c>
      <c r="G130" s="47" t="s">
        <v>304</v>
      </c>
      <c r="H130" s="46"/>
    </row>
    <row r="131" spans="1:8" hidden="1">
      <c r="A131" s="30" t="s">
        <v>45</v>
      </c>
      <c r="B131" s="31" t="s">
        <v>46</v>
      </c>
      <c r="C131" s="31" t="s">
        <v>47</v>
      </c>
      <c r="D131" s="31" t="s">
        <v>50</v>
      </c>
      <c r="E131" s="31" t="s">
        <v>4</v>
      </c>
      <c r="F131" s="33">
        <v>2.5</v>
      </c>
      <c r="G131" s="47" t="s">
        <v>304</v>
      </c>
      <c r="H131" s="46"/>
    </row>
    <row r="132" spans="1:8" hidden="1">
      <c r="A132" s="30" t="s">
        <v>45</v>
      </c>
      <c r="B132" s="31" t="s">
        <v>46</v>
      </c>
      <c r="C132" s="31" t="s">
        <v>47</v>
      </c>
      <c r="D132" s="31" t="s">
        <v>50</v>
      </c>
      <c r="E132" s="31" t="s">
        <v>5</v>
      </c>
      <c r="F132" s="33">
        <v>2.8</v>
      </c>
      <c r="G132" s="47" t="s">
        <v>304</v>
      </c>
      <c r="H132" s="46"/>
    </row>
    <row r="133" spans="1:8" hidden="1">
      <c r="A133" s="30" t="s">
        <v>45</v>
      </c>
      <c r="B133" s="31" t="s">
        <v>46</v>
      </c>
      <c r="C133" s="31" t="s">
        <v>47</v>
      </c>
      <c r="D133" s="31" t="s">
        <v>50</v>
      </c>
      <c r="E133" s="31" t="s">
        <v>302</v>
      </c>
      <c r="F133" s="33">
        <v>2.9</v>
      </c>
      <c r="G133" s="47" t="s">
        <v>304</v>
      </c>
      <c r="H133" s="46"/>
    </row>
    <row r="134" spans="1:8" hidden="1">
      <c r="A134" s="30" t="s">
        <v>45</v>
      </c>
      <c r="B134" s="31" t="s">
        <v>46</v>
      </c>
      <c r="C134" s="31" t="s">
        <v>47</v>
      </c>
      <c r="D134" s="31" t="s">
        <v>50</v>
      </c>
      <c r="E134" s="31" t="s">
        <v>303</v>
      </c>
      <c r="F134" s="33">
        <v>2.8881401599999998</v>
      </c>
      <c r="G134" s="47" t="s">
        <v>304</v>
      </c>
      <c r="H134" s="46"/>
    </row>
    <row r="135" spans="1:8" hidden="1">
      <c r="A135" s="30" t="s">
        <v>45</v>
      </c>
      <c r="B135" s="31" t="s">
        <v>46</v>
      </c>
      <c r="C135" s="31" t="s">
        <v>47</v>
      </c>
      <c r="D135" s="31" t="s">
        <v>50</v>
      </c>
      <c r="E135" s="31" t="s">
        <v>322</v>
      </c>
      <c r="F135" s="33">
        <v>3</v>
      </c>
      <c r="G135" s="47" t="s">
        <v>304</v>
      </c>
      <c r="H135" s="46"/>
    </row>
    <row r="136" spans="1:8" hidden="1">
      <c r="A136" s="30" t="s">
        <v>45</v>
      </c>
      <c r="B136" s="31" t="s">
        <v>46</v>
      </c>
      <c r="C136" s="31" t="s">
        <v>48</v>
      </c>
      <c r="D136" s="31" t="s">
        <v>50</v>
      </c>
      <c r="E136" s="31" t="s">
        <v>4</v>
      </c>
      <c r="F136" s="33">
        <v>2.4</v>
      </c>
      <c r="G136" s="47" t="s">
        <v>304</v>
      </c>
      <c r="H136" s="46"/>
    </row>
    <row r="137" spans="1:8" hidden="1">
      <c r="A137" s="30" t="s">
        <v>45</v>
      </c>
      <c r="B137" s="31" t="s">
        <v>46</v>
      </c>
      <c r="C137" s="31" t="s">
        <v>48</v>
      </c>
      <c r="D137" s="31" t="s">
        <v>50</v>
      </c>
      <c r="E137" s="31" t="s">
        <v>5</v>
      </c>
      <c r="F137" s="33">
        <v>2.2000000000000002</v>
      </c>
      <c r="G137" s="47" t="s">
        <v>304</v>
      </c>
      <c r="H137" s="46"/>
    </row>
    <row r="138" spans="1:8" hidden="1">
      <c r="A138" s="30" t="s">
        <v>45</v>
      </c>
      <c r="B138" s="31" t="s">
        <v>46</v>
      </c>
      <c r="C138" s="31" t="s">
        <v>48</v>
      </c>
      <c r="D138" s="31" t="s">
        <v>50</v>
      </c>
      <c r="E138" s="31" t="s">
        <v>302</v>
      </c>
      <c r="F138" s="33">
        <v>2</v>
      </c>
      <c r="G138" s="47" t="s">
        <v>304</v>
      </c>
      <c r="H138" s="46"/>
    </row>
    <row r="139" spans="1:8" hidden="1">
      <c r="A139" s="30" t="s">
        <v>45</v>
      </c>
      <c r="B139" s="31" t="s">
        <v>46</v>
      </c>
      <c r="C139" s="31" t="s">
        <v>48</v>
      </c>
      <c r="D139" s="31" t="s">
        <v>50</v>
      </c>
      <c r="E139" s="31" t="s">
        <v>303</v>
      </c>
      <c r="F139" s="33">
        <v>1.9</v>
      </c>
      <c r="G139" s="47" t="s">
        <v>304</v>
      </c>
      <c r="H139" s="46"/>
    </row>
    <row r="140" spans="1:8" hidden="1">
      <c r="A140" s="30" t="s">
        <v>45</v>
      </c>
      <c r="B140" s="31" t="s">
        <v>46</v>
      </c>
      <c r="C140" s="31" t="s">
        <v>48</v>
      </c>
      <c r="D140" s="31" t="s">
        <v>50</v>
      </c>
      <c r="E140" s="31" t="s">
        <v>322</v>
      </c>
      <c r="F140" s="33">
        <v>2.1</v>
      </c>
      <c r="G140" s="47" t="s">
        <v>304</v>
      </c>
      <c r="H140" s="46"/>
    </row>
    <row r="141" spans="1:8" hidden="1">
      <c r="A141" s="30" t="s">
        <v>45</v>
      </c>
      <c r="B141" s="31" t="s">
        <v>46</v>
      </c>
      <c r="C141" s="31" t="s">
        <v>49</v>
      </c>
      <c r="D141" s="31" t="s">
        <v>50</v>
      </c>
      <c r="E141" s="31" t="s">
        <v>4</v>
      </c>
      <c r="F141" s="33">
        <v>4.9000000000000004</v>
      </c>
      <c r="G141" s="47" t="s">
        <v>304</v>
      </c>
      <c r="H141" s="46"/>
    </row>
    <row r="142" spans="1:8" hidden="1">
      <c r="A142" s="30" t="s">
        <v>45</v>
      </c>
      <c r="B142" s="31" t="s">
        <v>46</v>
      </c>
      <c r="C142" s="31" t="s">
        <v>49</v>
      </c>
      <c r="D142" s="31" t="s">
        <v>50</v>
      </c>
      <c r="E142" s="31" t="s">
        <v>5</v>
      </c>
      <c r="F142" s="33">
        <v>5</v>
      </c>
      <c r="G142" s="47" t="s">
        <v>304</v>
      </c>
      <c r="H142" s="46"/>
    </row>
    <row r="143" spans="1:8" hidden="1">
      <c r="A143" s="30" t="s">
        <v>45</v>
      </c>
      <c r="B143" s="31" t="s">
        <v>46</v>
      </c>
      <c r="C143" s="31" t="s">
        <v>49</v>
      </c>
      <c r="D143" s="31" t="s">
        <v>50</v>
      </c>
      <c r="E143" s="31" t="s">
        <v>302</v>
      </c>
      <c r="F143" s="33">
        <v>5</v>
      </c>
      <c r="G143" s="47" t="s">
        <v>304</v>
      </c>
      <c r="H143" s="46"/>
    </row>
    <row r="144" spans="1:8" hidden="1">
      <c r="A144" s="30" t="s">
        <v>45</v>
      </c>
      <c r="B144" s="31" t="s">
        <v>46</v>
      </c>
      <c r="C144" s="31" t="s">
        <v>49</v>
      </c>
      <c r="D144" s="31" t="s">
        <v>50</v>
      </c>
      <c r="E144" s="31" t="s">
        <v>303</v>
      </c>
      <c r="F144" s="33">
        <v>4.8377992299999999</v>
      </c>
      <c r="G144" s="47" t="s">
        <v>304</v>
      </c>
      <c r="H144" s="46"/>
    </row>
    <row r="145" spans="1:8" hidden="1">
      <c r="A145" s="30" t="s">
        <v>45</v>
      </c>
      <c r="B145" s="31" t="s">
        <v>46</v>
      </c>
      <c r="C145" s="31" t="s">
        <v>49</v>
      </c>
      <c r="D145" s="31" t="s">
        <v>50</v>
      </c>
      <c r="E145" s="31" t="s">
        <v>322</v>
      </c>
      <c r="F145" s="33">
        <v>5.0999999999999996</v>
      </c>
      <c r="G145" s="47" t="s">
        <v>304</v>
      </c>
      <c r="H145" s="46"/>
    </row>
    <row r="146" spans="1:8" hidden="1">
      <c r="A146" s="30" t="s">
        <v>1</v>
      </c>
      <c r="B146" s="31" t="s">
        <v>38</v>
      </c>
      <c r="C146" s="31" t="s">
        <v>84</v>
      </c>
      <c r="D146" s="31" t="s">
        <v>81</v>
      </c>
      <c r="E146" s="31" t="s">
        <v>4</v>
      </c>
      <c r="F146" s="32">
        <v>325</v>
      </c>
      <c r="G146" s="47" t="s">
        <v>304</v>
      </c>
      <c r="H146" s="46"/>
    </row>
    <row r="147" spans="1:8" hidden="1">
      <c r="A147" s="30" t="s">
        <v>1</v>
      </c>
      <c r="B147" s="31" t="s">
        <v>38</v>
      </c>
      <c r="C147" s="31" t="s">
        <v>84</v>
      </c>
      <c r="D147" s="31" t="s">
        <v>81</v>
      </c>
      <c r="E147" s="31" t="s">
        <v>5</v>
      </c>
      <c r="F147" s="32">
        <v>325</v>
      </c>
      <c r="G147" s="47" t="s">
        <v>304</v>
      </c>
      <c r="H147" s="46"/>
    </row>
    <row r="148" spans="1:8" hidden="1">
      <c r="A148" s="30" t="s">
        <v>1</v>
      </c>
      <c r="B148" s="31" t="s">
        <v>38</v>
      </c>
      <c r="C148" s="31" t="s">
        <v>84</v>
      </c>
      <c r="D148" s="31" t="s">
        <v>81</v>
      </c>
      <c r="E148" s="31" t="s">
        <v>302</v>
      </c>
      <c r="F148" s="32">
        <v>325</v>
      </c>
      <c r="G148" s="47" t="s">
        <v>304</v>
      </c>
      <c r="H148" s="46"/>
    </row>
    <row r="149" spans="1:8" hidden="1">
      <c r="A149" s="30" t="s">
        <v>1</v>
      </c>
      <c r="B149" s="31" t="s">
        <v>38</v>
      </c>
      <c r="C149" s="31" t="s">
        <v>84</v>
      </c>
      <c r="D149" s="31" t="s">
        <v>81</v>
      </c>
      <c r="E149" s="31" t="s">
        <v>303</v>
      </c>
      <c r="F149" s="32">
        <v>325</v>
      </c>
      <c r="G149" s="47" t="s">
        <v>304</v>
      </c>
      <c r="H149" s="46"/>
    </row>
    <row r="150" spans="1:8" hidden="1">
      <c r="A150" s="30" t="s">
        <v>1</v>
      </c>
      <c r="B150" s="31" t="s">
        <v>38</v>
      </c>
      <c r="C150" s="31" t="s">
        <v>84</v>
      </c>
      <c r="D150" s="31" t="s">
        <v>81</v>
      </c>
      <c r="E150" s="31" t="s">
        <v>322</v>
      </c>
      <c r="F150" s="32">
        <v>325</v>
      </c>
      <c r="G150" s="47" t="s">
        <v>304</v>
      </c>
      <c r="H150" s="46"/>
    </row>
    <row r="151" spans="1:8" hidden="1">
      <c r="A151" s="30" t="s">
        <v>1</v>
      </c>
      <c r="B151" s="31" t="s">
        <v>38</v>
      </c>
      <c r="C151" s="31" t="s">
        <v>85</v>
      </c>
      <c r="D151" s="31" t="s">
        <v>82</v>
      </c>
      <c r="E151" s="31" t="s">
        <v>4</v>
      </c>
      <c r="F151" s="32">
        <v>315</v>
      </c>
      <c r="G151" s="47" t="s">
        <v>304</v>
      </c>
      <c r="H151" s="46"/>
    </row>
    <row r="152" spans="1:8" hidden="1">
      <c r="A152" s="30" t="s">
        <v>1</v>
      </c>
      <c r="B152" s="31" t="s">
        <v>38</v>
      </c>
      <c r="C152" s="31" t="s">
        <v>85</v>
      </c>
      <c r="D152" s="31" t="s">
        <v>82</v>
      </c>
      <c r="E152" s="31" t="s">
        <v>5</v>
      </c>
      <c r="F152" s="32">
        <v>315</v>
      </c>
      <c r="G152" s="47" t="s">
        <v>304</v>
      </c>
      <c r="H152" s="46"/>
    </row>
    <row r="153" spans="1:8" hidden="1">
      <c r="A153" s="30" t="s">
        <v>1</v>
      </c>
      <c r="B153" s="31" t="s">
        <v>38</v>
      </c>
      <c r="C153" s="31" t="s">
        <v>85</v>
      </c>
      <c r="D153" s="31" t="s">
        <v>82</v>
      </c>
      <c r="E153" s="31" t="s">
        <v>302</v>
      </c>
      <c r="F153" s="32">
        <v>315</v>
      </c>
      <c r="G153" s="47" t="s">
        <v>304</v>
      </c>
      <c r="H153" s="46"/>
    </row>
    <row r="154" spans="1:8" hidden="1">
      <c r="A154" s="30" t="s">
        <v>1</v>
      </c>
      <c r="B154" s="31" t="s">
        <v>38</v>
      </c>
      <c r="C154" s="31" t="s">
        <v>85</v>
      </c>
      <c r="D154" s="31" t="s">
        <v>82</v>
      </c>
      <c r="E154" s="31" t="s">
        <v>303</v>
      </c>
      <c r="F154" s="32">
        <v>315</v>
      </c>
      <c r="G154" s="47" t="s">
        <v>304</v>
      </c>
      <c r="H154" s="46"/>
    </row>
    <row r="155" spans="1:8" hidden="1">
      <c r="A155" s="30" t="s">
        <v>1</v>
      </c>
      <c r="B155" s="31" t="s">
        <v>38</v>
      </c>
      <c r="C155" s="31" t="s">
        <v>85</v>
      </c>
      <c r="D155" s="31" t="s">
        <v>82</v>
      </c>
      <c r="E155" s="31" t="s">
        <v>322</v>
      </c>
      <c r="F155" s="32">
        <v>315</v>
      </c>
      <c r="G155" s="47" t="s">
        <v>304</v>
      </c>
      <c r="H155" s="46"/>
    </row>
    <row r="156" spans="1:8" hidden="1">
      <c r="A156" s="30" t="s">
        <v>346</v>
      </c>
      <c r="B156" s="31" t="s">
        <v>54</v>
      </c>
      <c r="C156" s="31" t="s">
        <v>43</v>
      </c>
      <c r="D156" s="31" t="s">
        <v>33</v>
      </c>
      <c r="E156" s="31" t="s">
        <v>4</v>
      </c>
      <c r="F156" s="32">
        <v>154866.85</v>
      </c>
      <c r="G156" s="47" t="s">
        <v>304</v>
      </c>
      <c r="H156" s="46"/>
    </row>
    <row r="157" spans="1:8" hidden="1">
      <c r="A157" s="30" t="s">
        <v>346</v>
      </c>
      <c r="B157" s="31" t="s">
        <v>54</v>
      </c>
      <c r="C157" s="31" t="s">
        <v>43</v>
      </c>
      <c r="D157" s="31" t="s">
        <v>33</v>
      </c>
      <c r="E157" s="31" t="s">
        <v>5</v>
      </c>
      <c r="F157" s="32">
        <v>181530.5432601012</v>
      </c>
      <c r="G157" s="47" t="s">
        <v>304</v>
      </c>
      <c r="H157" s="46"/>
    </row>
    <row r="158" spans="1:8" hidden="1">
      <c r="A158" s="30" t="s">
        <v>346</v>
      </c>
      <c r="B158" s="31" t="s">
        <v>54</v>
      </c>
      <c r="C158" s="31" t="s">
        <v>43</v>
      </c>
      <c r="D158" s="31" t="s">
        <v>33</v>
      </c>
      <c r="E158" s="31" t="s">
        <v>302</v>
      </c>
      <c r="F158" s="32">
        <v>247898.65</v>
      </c>
      <c r="G158" s="47" t="s">
        <v>304</v>
      </c>
      <c r="H158" s="46"/>
    </row>
    <row r="159" spans="1:8" hidden="1">
      <c r="A159" s="30" t="s">
        <v>346</v>
      </c>
      <c r="B159" s="31" t="s">
        <v>54</v>
      </c>
      <c r="C159" s="31" t="s">
        <v>43</v>
      </c>
      <c r="D159" s="31" t="s">
        <v>33</v>
      </c>
      <c r="E159" s="31" t="s">
        <v>303</v>
      </c>
      <c r="F159" s="32">
        <v>252037.51719272032</v>
      </c>
      <c r="G159" s="47" t="s">
        <v>304</v>
      </c>
      <c r="H159" s="46"/>
    </row>
    <row r="160" spans="1:8" hidden="1">
      <c r="A160" s="30" t="s">
        <v>346</v>
      </c>
      <c r="B160" s="31" t="s">
        <v>54</v>
      </c>
      <c r="C160" s="31" t="s">
        <v>43</v>
      </c>
      <c r="D160" s="31" t="s">
        <v>33</v>
      </c>
      <c r="E160" s="31" t="s">
        <v>322</v>
      </c>
      <c r="F160" s="32">
        <f>5666*50</f>
        <v>283300</v>
      </c>
      <c r="G160" s="47" t="s">
        <v>304</v>
      </c>
      <c r="H160" s="46"/>
    </row>
    <row r="161" spans="1:8" hidden="1">
      <c r="A161" s="30" t="s">
        <v>346</v>
      </c>
      <c r="B161" s="31" t="s">
        <v>17</v>
      </c>
      <c r="C161" s="31" t="s">
        <v>43</v>
      </c>
      <c r="D161" s="31" t="s">
        <v>34</v>
      </c>
      <c r="E161" s="31" t="s">
        <v>4</v>
      </c>
      <c r="F161" s="32">
        <v>123132.07799999999</v>
      </c>
      <c r="G161" s="47" t="s">
        <v>304</v>
      </c>
      <c r="H161" s="46"/>
    </row>
    <row r="162" spans="1:8" hidden="1">
      <c r="A162" s="30" t="s">
        <v>346</v>
      </c>
      <c r="B162" s="31" t="s">
        <v>17</v>
      </c>
      <c r="C162" s="31" t="s">
        <v>43</v>
      </c>
      <c r="D162" s="31" t="s">
        <v>34</v>
      </c>
      <c r="E162" s="31" t="s">
        <v>5</v>
      </c>
      <c r="F162" s="32">
        <v>109362.32471423653</v>
      </c>
      <c r="G162" s="47" t="s">
        <v>304</v>
      </c>
      <c r="H162" s="46"/>
    </row>
    <row r="163" spans="1:8" hidden="1">
      <c r="A163" s="30" t="s">
        <v>346</v>
      </c>
      <c r="B163" s="31" t="s">
        <v>17</v>
      </c>
      <c r="C163" s="31" t="s">
        <v>43</v>
      </c>
      <c r="D163" s="31" t="s">
        <v>34</v>
      </c>
      <c r="E163" s="31" t="s">
        <v>302</v>
      </c>
      <c r="F163" s="32">
        <v>100998.08500000001</v>
      </c>
      <c r="G163" s="47" t="s">
        <v>304</v>
      </c>
      <c r="H163" s="46"/>
    </row>
    <row r="164" spans="1:8" hidden="1">
      <c r="A164" s="30" t="s">
        <v>346</v>
      </c>
      <c r="B164" s="31" t="s">
        <v>17</v>
      </c>
      <c r="C164" s="31" t="s">
        <v>43</v>
      </c>
      <c r="D164" s="31" t="s">
        <v>34</v>
      </c>
      <c r="E164" s="31" t="s">
        <v>303</v>
      </c>
      <c r="F164" s="32">
        <v>101261.018</v>
      </c>
      <c r="G164" s="47" t="s">
        <v>304</v>
      </c>
      <c r="H164" s="46"/>
    </row>
    <row r="165" spans="1:8" hidden="1">
      <c r="A165" s="30" t="s">
        <v>346</v>
      </c>
      <c r="B165" s="31" t="s">
        <v>17</v>
      </c>
      <c r="C165" s="31" t="s">
        <v>43</v>
      </c>
      <c r="D165" s="31" t="s">
        <v>34</v>
      </c>
      <c r="E165" s="31" t="s">
        <v>322</v>
      </c>
      <c r="F165" s="32">
        <v>90000</v>
      </c>
      <c r="G165" s="47" t="s">
        <v>304</v>
      </c>
      <c r="H165" s="46"/>
    </row>
    <row r="166" spans="1:8" hidden="1">
      <c r="A166" s="30" t="s">
        <v>346</v>
      </c>
      <c r="B166" s="31" t="s">
        <v>18</v>
      </c>
      <c r="C166" s="31" t="s">
        <v>43</v>
      </c>
      <c r="D166" s="31" t="s">
        <v>34</v>
      </c>
      <c r="E166" s="31" t="s">
        <v>4</v>
      </c>
      <c r="F166" s="32">
        <v>160581.329</v>
      </c>
      <c r="G166" s="47" t="s">
        <v>304</v>
      </c>
      <c r="H166" s="46"/>
    </row>
    <row r="167" spans="1:8" hidden="1">
      <c r="A167" s="30" t="s">
        <v>346</v>
      </c>
      <c r="B167" s="31" t="s">
        <v>18</v>
      </c>
      <c r="C167" s="31" t="s">
        <v>43</v>
      </c>
      <c r="D167" s="31" t="s">
        <v>34</v>
      </c>
      <c r="E167" s="31" t="s">
        <v>5</v>
      </c>
      <c r="F167" s="32">
        <v>176756.326</v>
      </c>
      <c r="G167" s="47" t="s">
        <v>304</v>
      </c>
      <c r="H167" s="46"/>
    </row>
    <row r="168" spans="1:8" hidden="1">
      <c r="A168" s="30" t="s">
        <v>346</v>
      </c>
      <c r="B168" s="31" t="s">
        <v>18</v>
      </c>
      <c r="C168" s="31" t="s">
        <v>43</v>
      </c>
      <c r="D168" s="31" t="s">
        <v>34</v>
      </c>
      <c r="E168" s="31" t="s">
        <v>302</v>
      </c>
      <c r="F168" s="32">
        <v>143757.519</v>
      </c>
      <c r="G168" s="47" t="s">
        <v>304</v>
      </c>
      <c r="H168" s="46"/>
    </row>
    <row r="169" spans="1:8" hidden="1">
      <c r="A169" s="30" t="s">
        <v>346</v>
      </c>
      <c r="B169" s="31" t="s">
        <v>18</v>
      </c>
      <c r="C169" s="31" t="s">
        <v>43</v>
      </c>
      <c r="D169" s="31" t="s">
        <v>34</v>
      </c>
      <c r="E169" s="31" t="s">
        <v>303</v>
      </c>
      <c r="F169" s="32">
        <v>155413.99299999999</v>
      </c>
      <c r="G169" s="47" t="s">
        <v>304</v>
      </c>
      <c r="H169" s="46"/>
    </row>
    <row r="170" spans="1:8" hidden="1">
      <c r="A170" s="30" t="s">
        <v>346</v>
      </c>
      <c r="B170" s="31" t="s">
        <v>18</v>
      </c>
      <c r="C170" s="31" t="s">
        <v>43</v>
      </c>
      <c r="D170" s="31" t="s">
        <v>34</v>
      </c>
      <c r="E170" s="31" t="s">
        <v>322</v>
      </c>
      <c r="F170" s="32">
        <f>143*1000</f>
        <v>143000</v>
      </c>
      <c r="G170" s="47" t="s">
        <v>304</v>
      </c>
      <c r="H170" s="46"/>
    </row>
    <row r="171" spans="1:8" hidden="1">
      <c r="A171" s="30" t="s">
        <v>22</v>
      </c>
      <c r="B171" s="31" t="s">
        <v>29</v>
      </c>
      <c r="C171" s="31" t="s">
        <v>41</v>
      </c>
      <c r="D171" s="31" t="s">
        <v>25</v>
      </c>
      <c r="E171" s="31" t="s">
        <v>4</v>
      </c>
      <c r="F171" s="32">
        <v>93.917992391301155</v>
      </c>
      <c r="G171" s="47" t="s">
        <v>304</v>
      </c>
      <c r="H171" s="46"/>
    </row>
    <row r="172" spans="1:8" hidden="1">
      <c r="A172" s="30" t="s">
        <v>22</v>
      </c>
      <c r="B172" s="31" t="s">
        <v>29</v>
      </c>
      <c r="C172" s="31" t="s">
        <v>41</v>
      </c>
      <c r="D172" s="31" t="s">
        <v>25</v>
      </c>
      <c r="E172" s="31" t="s">
        <v>5</v>
      </c>
      <c r="F172" s="32">
        <v>92.567353104170451</v>
      </c>
      <c r="G172" s="47" t="s">
        <v>304</v>
      </c>
      <c r="H172" s="46"/>
    </row>
    <row r="173" spans="1:8" hidden="1">
      <c r="A173" s="30" t="s">
        <v>22</v>
      </c>
      <c r="B173" s="31" t="s">
        <v>29</v>
      </c>
      <c r="C173" s="31" t="s">
        <v>41</v>
      </c>
      <c r="D173" s="31" t="s">
        <v>25</v>
      </c>
      <c r="E173" s="31" t="s">
        <v>302</v>
      </c>
      <c r="F173" s="32">
        <v>90.2</v>
      </c>
      <c r="G173" s="47" t="s">
        <v>304</v>
      </c>
      <c r="H173" s="46"/>
    </row>
    <row r="174" spans="1:8" hidden="1">
      <c r="A174" s="30" t="s">
        <v>22</v>
      </c>
      <c r="B174" s="31" t="s">
        <v>29</v>
      </c>
      <c r="C174" s="31" t="s">
        <v>41</v>
      </c>
      <c r="D174" s="31" t="s">
        <v>25</v>
      </c>
      <c r="E174" s="31" t="s">
        <v>303</v>
      </c>
      <c r="F174" s="32">
        <v>81.760000000000005</v>
      </c>
      <c r="G174" s="47" t="s">
        <v>304</v>
      </c>
      <c r="H174" s="46"/>
    </row>
    <row r="175" spans="1:8" hidden="1">
      <c r="A175" s="30" t="s">
        <v>22</v>
      </c>
      <c r="B175" s="31" t="s">
        <v>29</v>
      </c>
      <c r="C175" s="31" t="s">
        <v>41</v>
      </c>
      <c r="D175" s="31" t="s">
        <v>25</v>
      </c>
      <c r="E175" s="31" t="s">
        <v>322</v>
      </c>
      <c r="F175" s="32">
        <v>91.1</v>
      </c>
      <c r="G175" s="47" t="s">
        <v>304</v>
      </c>
      <c r="H175" s="46"/>
    </row>
    <row r="176" spans="1:8" hidden="1">
      <c r="A176" s="30" t="s">
        <v>22</v>
      </c>
      <c r="B176" s="31" t="s">
        <v>29</v>
      </c>
      <c r="C176" s="31" t="s">
        <v>31</v>
      </c>
      <c r="D176" s="31" t="s">
        <v>32</v>
      </c>
      <c r="E176" s="31" t="s">
        <v>4</v>
      </c>
      <c r="F176" s="32">
        <v>14.19</v>
      </c>
      <c r="G176" s="47" t="s">
        <v>304</v>
      </c>
      <c r="H176" s="46"/>
    </row>
    <row r="177" spans="1:8" hidden="1">
      <c r="A177" s="30" t="s">
        <v>22</v>
      </c>
      <c r="B177" s="31" t="s">
        <v>29</v>
      </c>
      <c r="C177" s="31" t="s">
        <v>31</v>
      </c>
      <c r="D177" s="31" t="s">
        <v>32</v>
      </c>
      <c r="E177" s="31" t="s">
        <v>5</v>
      </c>
      <c r="F177" s="32">
        <v>14.36</v>
      </c>
      <c r="G177" s="47" t="s">
        <v>304</v>
      </c>
      <c r="H177" s="46"/>
    </row>
    <row r="178" spans="1:8" hidden="1">
      <c r="A178" s="30" t="s">
        <v>22</v>
      </c>
      <c r="B178" s="31" t="s">
        <v>29</v>
      </c>
      <c r="C178" s="31" t="s">
        <v>31</v>
      </c>
      <c r="D178" s="31" t="s">
        <v>32</v>
      </c>
      <c r="E178" s="31" t="s">
        <v>302</v>
      </c>
      <c r="F178" s="32">
        <v>14.68</v>
      </c>
      <c r="G178" s="47" t="s">
        <v>304</v>
      </c>
      <c r="H178" s="46"/>
    </row>
    <row r="179" spans="1:8" hidden="1">
      <c r="A179" s="30" t="s">
        <v>22</v>
      </c>
      <c r="B179" s="31" t="s">
        <v>29</v>
      </c>
      <c r="C179" s="31" t="s">
        <v>31</v>
      </c>
      <c r="D179" s="31" t="s">
        <v>32</v>
      </c>
      <c r="E179" s="31" t="s">
        <v>303</v>
      </c>
      <c r="F179" s="32">
        <v>15.28</v>
      </c>
      <c r="G179" s="47" t="s">
        <v>304</v>
      </c>
      <c r="H179" s="46"/>
    </row>
    <row r="180" spans="1:8" hidden="1">
      <c r="A180" s="30" t="s">
        <v>22</v>
      </c>
      <c r="B180" s="31" t="s">
        <v>29</v>
      </c>
      <c r="C180" s="31" t="s">
        <v>31</v>
      </c>
      <c r="D180" s="31" t="s">
        <v>32</v>
      </c>
      <c r="E180" s="31" t="s">
        <v>322</v>
      </c>
      <c r="F180" s="32">
        <v>12.1</v>
      </c>
      <c r="G180" s="47" t="s">
        <v>304</v>
      </c>
      <c r="H180" s="46"/>
    </row>
    <row r="181" spans="1:8" hidden="1">
      <c r="A181" s="30" t="s">
        <v>346</v>
      </c>
      <c r="B181" s="31" t="s">
        <v>15</v>
      </c>
      <c r="C181" s="31" t="s">
        <v>44</v>
      </c>
      <c r="D181" s="31" t="s">
        <v>16</v>
      </c>
      <c r="E181" s="31" t="s">
        <v>4</v>
      </c>
      <c r="F181" s="32">
        <v>49897.36</v>
      </c>
      <c r="G181" s="47" t="s">
        <v>304</v>
      </c>
      <c r="H181" s="46"/>
    </row>
    <row r="182" spans="1:8" hidden="1">
      <c r="A182" s="30" t="s">
        <v>346</v>
      </c>
      <c r="B182" s="31" t="s">
        <v>15</v>
      </c>
      <c r="C182" s="31" t="s">
        <v>44</v>
      </c>
      <c r="D182" s="31" t="s">
        <v>16</v>
      </c>
      <c r="E182" s="31" t="s">
        <v>5</v>
      </c>
      <c r="F182" s="32">
        <v>54928.800000000003</v>
      </c>
      <c r="G182" s="47" t="s">
        <v>304</v>
      </c>
      <c r="H182" s="46"/>
    </row>
    <row r="183" spans="1:8" hidden="1">
      <c r="A183" s="30" t="s">
        <v>346</v>
      </c>
      <c r="B183" s="31" t="s">
        <v>15</v>
      </c>
      <c r="C183" s="31" t="s">
        <v>44</v>
      </c>
      <c r="D183" s="31" t="s">
        <v>16</v>
      </c>
      <c r="E183" s="31" t="s">
        <v>302</v>
      </c>
      <c r="F183" s="32">
        <v>27438.54</v>
      </c>
      <c r="G183" s="47" t="s">
        <v>304</v>
      </c>
      <c r="H183" s="46"/>
    </row>
    <row r="184" spans="1:8" hidden="1">
      <c r="A184" s="30" t="s">
        <v>346</v>
      </c>
      <c r="B184" s="31" t="s">
        <v>15</v>
      </c>
      <c r="C184" s="31" t="s">
        <v>44</v>
      </c>
      <c r="D184" s="31" t="s">
        <v>16</v>
      </c>
      <c r="E184" s="31" t="s">
        <v>303</v>
      </c>
      <c r="F184" s="32">
        <v>52267.71</v>
      </c>
      <c r="G184" s="47" t="s">
        <v>304</v>
      </c>
      <c r="H184" s="46"/>
    </row>
    <row r="185" spans="1:8" hidden="1">
      <c r="A185" s="30" t="s">
        <v>346</v>
      </c>
      <c r="B185" s="31" t="s">
        <v>15</v>
      </c>
      <c r="C185" s="31" t="s">
        <v>44</v>
      </c>
      <c r="D185" s="31" t="s">
        <v>16</v>
      </c>
      <c r="E185" s="31" t="s">
        <v>322</v>
      </c>
      <c r="F185" s="32">
        <f>44*1000</f>
        <v>44000</v>
      </c>
      <c r="G185" s="47" t="s">
        <v>304</v>
      </c>
      <c r="H185" s="46"/>
    </row>
    <row r="186" spans="1:8" hidden="1">
      <c r="A186" s="30" t="s">
        <v>346</v>
      </c>
      <c r="B186" s="31" t="s">
        <v>318</v>
      </c>
      <c r="C186" s="31" t="s">
        <v>363</v>
      </c>
      <c r="D186" s="31" t="s">
        <v>321</v>
      </c>
      <c r="E186" s="31" t="s">
        <v>4</v>
      </c>
      <c r="F186" s="32">
        <v>0</v>
      </c>
      <c r="G186" s="47" t="s">
        <v>304</v>
      </c>
      <c r="H186" s="46"/>
    </row>
    <row r="187" spans="1:8" hidden="1">
      <c r="A187" s="30" t="s">
        <v>346</v>
      </c>
      <c r="B187" s="31" t="s">
        <v>318</v>
      </c>
      <c r="C187" s="31" t="s">
        <v>363</v>
      </c>
      <c r="D187" s="31" t="s">
        <v>321</v>
      </c>
      <c r="E187" s="31" t="s">
        <v>5</v>
      </c>
      <c r="F187" s="32">
        <v>0</v>
      </c>
      <c r="G187" s="47" t="s">
        <v>304</v>
      </c>
      <c r="H187" s="46"/>
    </row>
    <row r="188" spans="1:8" hidden="1">
      <c r="A188" s="30" t="s">
        <v>346</v>
      </c>
      <c r="B188" s="31" t="s">
        <v>318</v>
      </c>
      <c r="C188" s="31" t="s">
        <v>363</v>
      </c>
      <c r="D188" s="31" t="s">
        <v>321</v>
      </c>
      <c r="E188" s="31" t="s">
        <v>302</v>
      </c>
      <c r="F188" s="32">
        <v>0</v>
      </c>
      <c r="G188" s="47" t="s">
        <v>304</v>
      </c>
      <c r="H188" s="46"/>
    </row>
    <row r="189" spans="1:8" hidden="1">
      <c r="A189" s="30" t="s">
        <v>346</v>
      </c>
      <c r="B189" s="31" t="s">
        <v>318</v>
      </c>
      <c r="C189" s="31" t="s">
        <v>363</v>
      </c>
      <c r="D189" s="31" t="s">
        <v>321</v>
      </c>
      <c r="E189" s="31" t="s">
        <v>303</v>
      </c>
      <c r="F189" s="32">
        <v>208</v>
      </c>
      <c r="G189" s="47" t="s">
        <v>304</v>
      </c>
      <c r="H189" s="46"/>
    </row>
    <row r="190" spans="1:8" hidden="1">
      <c r="A190" s="30" t="s">
        <v>346</v>
      </c>
      <c r="B190" s="31" t="s">
        <v>318</v>
      </c>
      <c r="C190" s="31" t="s">
        <v>363</v>
      </c>
      <c r="D190" s="31" t="s">
        <v>321</v>
      </c>
      <c r="E190" s="31" t="s">
        <v>322</v>
      </c>
      <c r="F190" s="32">
        <v>139</v>
      </c>
      <c r="G190" s="47" t="s">
        <v>304</v>
      </c>
      <c r="H190" s="46"/>
    </row>
    <row r="191" spans="1:8" hidden="1">
      <c r="F191" s="32"/>
      <c r="G191" s="47"/>
      <c r="H191" s="46"/>
    </row>
    <row r="192" spans="1:8" hidden="1">
      <c r="F192" s="32"/>
      <c r="G192" s="47"/>
      <c r="H192" s="46"/>
    </row>
    <row r="193" spans="1:8" hidden="1">
      <c r="F193" s="32"/>
      <c r="G193" s="47"/>
      <c r="H193" s="46"/>
    </row>
    <row r="194" spans="1:8" hidden="1">
      <c r="F194" s="32"/>
      <c r="G194" s="47"/>
      <c r="H194" s="46"/>
    </row>
    <row r="195" spans="1:8" hidden="1">
      <c r="F195" s="32"/>
      <c r="G195" s="47"/>
      <c r="H195" s="46"/>
    </row>
    <row r="196" spans="1:8" hidden="1">
      <c r="F196" s="32"/>
      <c r="G196" s="47"/>
      <c r="H196" s="46"/>
    </row>
    <row r="197" spans="1:8" hidden="1">
      <c r="A197" s="30" t="s">
        <v>346</v>
      </c>
      <c r="B197" s="31" t="s">
        <v>21</v>
      </c>
      <c r="C197" s="31" t="s">
        <v>21</v>
      </c>
      <c r="D197" s="31" t="s">
        <v>307</v>
      </c>
      <c r="E197" s="31" t="s">
        <v>348</v>
      </c>
      <c r="F197" s="32">
        <v>83</v>
      </c>
      <c r="G197" s="47" t="s">
        <v>304</v>
      </c>
      <c r="H197" s="46"/>
    </row>
    <row r="198" spans="1:8" hidden="1">
      <c r="A198" s="30" t="s">
        <v>346</v>
      </c>
      <c r="B198" s="31" t="s">
        <v>54</v>
      </c>
      <c r="C198" s="31" t="s">
        <v>43</v>
      </c>
      <c r="D198" s="31" t="s">
        <v>33</v>
      </c>
      <c r="E198" s="31" t="s">
        <v>348</v>
      </c>
      <c r="F198" s="32">
        <f>6412*50</f>
        <v>320600</v>
      </c>
      <c r="G198" s="47" t="s">
        <v>304</v>
      </c>
      <c r="H198" s="46"/>
    </row>
    <row r="199" spans="1:8" hidden="1">
      <c r="A199" s="30" t="s">
        <v>346</v>
      </c>
      <c r="B199" s="31" t="s">
        <v>17</v>
      </c>
      <c r="C199" s="31" t="s">
        <v>43</v>
      </c>
      <c r="D199" s="31" t="s">
        <v>34</v>
      </c>
      <c r="E199" s="31" t="s">
        <v>348</v>
      </c>
      <c r="F199" s="32">
        <v>100000</v>
      </c>
      <c r="G199" s="47" t="s">
        <v>304</v>
      </c>
      <c r="H199" s="46"/>
    </row>
    <row r="200" spans="1:8" hidden="1">
      <c r="A200" s="30" t="s">
        <v>346</v>
      </c>
      <c r="B200" s="31" t="s">
        <v>18</v>
      </c>
      <c r="C200" s="31" t="s">
        <v>43</v>
      </c>
      <c r="D200" s="31" t="s">
        <v>34</v>
      </c>
      <c r="E200" s="31" t="s">
        <v>348</v>
      </c>
      <c r="F200" s="32">
        <v>172000</v>
      </c>
      <c r="G200" s="47" t="s">
        <v>304</v>
      </c>
      <c r="H200" s="46"/>
    </row>
    <row r="201" spans="1:8" hidden="1">
      <c r="A201" s="30" t="s">
        <v>346</v>
      </c>
      <c r="B201" s="31" t="s">
        <v>15</v>
      </c>
      <c r="C201" s="31" t="s">
        <v>44</v>
      </c>
      <c r="D201" s="31" t="s">
        <v>16</v>
      </c>
      <c r="E201" s="31" t="s">
        <v>348</v>
      </c>
      <c r="F201" s="32">
        <v>69000</v>
      </c>
      <c r="G201" s="47" t="s">
        <v>304</v>
      </c>
      <c r="H201" s="46"/>
    </row>
    <row r="202" spans="1:8" ht="13.5" hidden="1" customHeight="1">
      <c r="A202" s="30" t="s">
        <v>346</v>
      </c>
      <c r="B202" s="31" t="s">
        <v>318</v>
      </c>
      <c r="C202" s="31" t="s">
        <v>363</v>
      </c>
      <c r="D202" s="31" t="s">
        <v>357</v>
      </c>
      <c r="E202" s="31" t="s">
        <v>348</v>
      </c>
      <c r="F202" s="32">
        <v>0</v>
      </c>
      <c r="G202" s="47" t="s">
        <v>304</v>
      </c>
      <c r="H202" s="46"/>
    </row>
    <row r="203" spans="1:8" hidden="1">
      <c r="F203" s="32"/>
      <c r="G203" s="47"/>
      <c r="H203" s="46"/>
    </row>
    <row r="204" spans="1:8" hidden="1">
      <c r="F204" s="32"/>
      <c r="G204" s="47"/>
      <c r="H204" s="46"/>
    </row>
    <row r="205" spans="1:8" hidden="1">
      <c r="F205" s="32"/>
      <c r="G205" s="47"/>
      <c r="H205" s="46"/>
    </row>
    <row r="206" spans="1:8" hidden="1">
      <c r="A206" s="30" t="s">
        <v>22</v>
      </c>
      <c r="B206" s="31" t="s">
        <v>29</v>
      </c>
      <c r="C206" s="31" t="s">
        <v>42</v>
      </c>
      <c r="D206" s="31" t="s">
        <v>30</v>
      </c>
      <c r="E206" s="31" t="s">
        <v>348</v>
      </c>
      <c r="F206" s="32">
        <v>789</v>
      </c>
      <c r="G206" s="47" t="s">
        <v>304</v>
      </c>
      <c r="H206" s="46"/>
    </row>
    <row r="207" spans="1:8" hidden="1">
      <c r="A207" s="30" t="s">
        <v>22</v>
      </c>
      <c r="B207" s="31" t="s">
        <v>23</v>
      </c>
      <c r="C207" s="31" t="s">
        <v>24</v>
      </c>
      <c r="D207" s="31" t="s">
        <v>20</v>
      </c>
      <c r="E207" s="31" t="s">
        <v>348</v>
      </c>
      <c r="F207" s="32">
        <v>2242000</v>
      </c>
      <c r="G207" s="47" t="s">
        <v>304</v>
      </c>
      <c r="H207" s="46"/>
    </row>
    <row r="208" spans="1:8" hidden="1">
      <c r="A208" s="30" t="s">
        <v>22</v>
      </c>
      <c r="B208" s="31" t="s">
        <v>23</v>
      </c>
      <c r="C208" s="31" t="s">
        <v>154</v>
      </c>
      <c r="D208" s="31" t="s">
        <v>20</v>
      </c>
      <c r="E208" s="31" t="s">
        <v>348</v>
      </c>
      <c r="F208" s="32">
        <v>3771000</v>
      </c>
      <c r="G208" s="47" t="s">
        <v>304</v>
      </c>
      <c r="H208" s="46"/>
    </row>
    <row r="209" spans="1:8" hidden="1">
      <c r="A209" s="30" t="s">
        <v>22</v>
      </c>
      <c r="B209" s="31" t="s">
        <v>26</v>
      </c>
      <c r="C209" s="31" t="s">
        <v>27</v>
      </c>
      <c r="D209" s="31" t="s">
        <v>28</v>
      </c>
      <c r="E209" s="31" t="s">
        <v>348</v>
      </c>
      <c r="F209" s="32">
        <v>3.06</v>
      </c>
      <c r="G209" s="47" t="s">
        <v>304</v>
      </c>
      <c r="H209" s="46"/>
    </row>
    <row r="210" spans="1:8" hidden="1">
      <c r="A210" s="30" t="s">
        <v>22</v>
      </c>
      <c r="B210" s="31" t="s">
        <v>29</v>
      </c>
      <c r="C210" s="31" t="s">
        <v>41</v>
      </c>
      <c r="D210" s="31" t="s">
        <v>25</v>
      </c>
      <c r="E210" s="31" t="s">
        <v>348</v>
      </c>
      <c r="F210" s="32">
        <v>94.7</v>
      </c>
      <c r="G210" s="47" t="s">
        <v>304</v>
      </c>
      <c r="H210" s="46"/>
    </row>
    <row r="211" spans="1:8" hidden="1">
      <c r="A211" s="30" t="s">
        <v>22</v>
      </c>
      <c r="B211" s="31" t="s">
        <v>29</v>
      </c>
      <c r="C211" s="31" t="s">
        <v>31</v>
      </c>
      <c r="D211" s="31" t="s">
        <v>32</v>
      </c>
      <c r="E211" s="31" t="s">
        <v>348</v>
      </c>
      <c r="F211" s="32">
        <v>12.2</v>
      </c>
      <c r="G211" s="47" t="s">
        <v>304</v>
      </c>
      <c r="H211" s="46"/>
    </row>
    <row r="212" spans="1:8" hidden="1">
      <c r="F212" s="32"/>
      <c r="G212" s="47"/>
      <c r="H212" s="46"/>
    </row>
    <row r="213" spans="1:8" hidden="1">
      <c r="A213" s="30" t="s">
        <v>45</v>
      </c>
      <c r="B213" s="31" t="s">
        <v>46</v>
      </c>
      <c r="C213" s="31" t="s">
        <v>47</v>
      </c>
      <c r="D213" s="31" t="s">
        <v>50</v>
      </c>
      <c r="E213" s="31" t="s">
        <v>348</v>
      </c>
      <c r="F213" s="33">
        <v>0.6</v>
      </c>
      <c r="G213" s="47" t="s">
        <v>304</v>
      </c>
      <c r="H213" s="46"/>
    </row>
    <row r="214" spans="1:8" hidden="1">
      <c r="A214" s="30" t="s">
        <v>45</v>
      </c>
      <c r="B214" s="31" t="s">
        <v>46</v>
      </c>
      <c r="C214" s="31" t="s">
        <v>48</v>
      </c>
      <c r="D214" s="31" t="s">
        <v>50</v>
      </c>
      <c r="E214" s="31" t="s">
        <v>348</v>
      </c>
      <c r="F214" s="33">
        <v>0.4</v>
      </c>
      <c r="G214" s="47" t="s">
        <v>304</v>
      </c>
      <c r="H214" s="46"/>
    </row>
    <row r="215" spans="1:8" hidden="1">
      <c r="A215" s="30" t="s">
        <v>45</v>
      </c>
      <c r="B215" s="31" t="s">
        <v>46</v>
      </c>
      <c r="C215" s="31" t="s">
        <v>49</v>
      </c>
      <c r="D215" s="31" t="s">
        <v>50</v>
      </c>
      <c r="E215" s="31" t="s">
        <v>348</v>
      </c>
      <c r="F215" s="32">
        <v>1</v>
      </c>
      <c r="G215" s="47" t="s">
        <v>304</v>
      </c>
      <c r="H215" s="46"/>
    </row>
    <row r="216" spans="1:8" hidden="1">
      <c r="A216" s="30" t="s">
        <v>1</v>
      </c>
      <c r="B216" s="31" t="s">
        <v>6</v>
      </c>
      <c r="C216" s="31" t="s">
        <v>8</v>
      </c>
      <c r="D216" s="31" t="s">
        <v>9</v>
      </c>
      <c r="E216" s="31" t="s">
        <v>348</v>
      </c>
      <c r="F216" s="32">
        <v>6700000</v>
      </c>
      <c r="G216" s="47" t="s">
        <v>304</v>
      </c>
      <c r="H216" s="46"/>
    </row>
    <row r="217" spans="1:8" hidden="1">
      <c r="A217" s="30" t="s">
        <v>1</v>
      </c>
      <c r="B217" s="31" t="s">
        <v>10</v>
      </c>
      <c r="C217" s="31" t="s">
        <v>14</v>
      </c>
      <c r="D217" s="31" t="s">
        <v>13</v>
      </c>
      <c r="E217" s="31" t="s">
        <v>348</v>
      </c>
      <c r="F217" s="34">
        <v>45382</v>
      </c>
      <c r="G217" s="47" t="s">
        <v>304</v>
      </c>
      <c r="H217" s="46"/>
    </row>
    <row r="218" spans="1:8" hidden="1">
      <c r="A218" s="30" t="s">
        <v>1</v>
      </c>
      <c r="B218" s="31" t="s">
        <v>10</v>
      </c>
      <c r="C218" s="31" t="s">
        <v>12</v>
      </c>
      <c r="D218" s="31" t="s">
        <v>13</v>
      </c>
      <c r="E218" s="31" t="s">
        <v>348</v>
      </c>
      <c r="F218" s="34">
        <v>45017</v>
      </c>
      <c r="G218" s="46" t="s">
        <v>304</v>
      </c>
      <c r="H218" s="46"/>
    </row>
    <row r="219" spans="1:8" hidden="1">
      <c r="A219" s="30" t="s">
        <v>1</v>
      </c>
      <c r="B219" s="31" t="s">
        <v>10</v>
      </c>
      <c r="C219" s="31" t="s">
        <v>39</v>
      </c>
      <c r="D219" s="31" t="s">
        <v>11</v>
      </c>
      <c r="E219" s="31" t="s">
        <v>348</v>
      </c>
      <c r="F219" s="32">
        <v>245</v>
      </c>
      <c r="G219" s="46" t="s">
        <v>304</v>
      </c>
      <c r="H219" s="46"/>
    </row>
    <row r="220" spans="1:8" hidden="1">
      <c r="A220" s="30" t="s">
        <v>1</v>
      </c>
      <c r="B220" s="31" t="s">
        <v>15</v>
      </c>
      <c r="C220" s="31" t="s">
        <v>40</v>
      </c>
      <c r="D220" s="31" t="s">
        <v>356</v>
      </c>
      <c r="E220" s="31" t="s">
        <v>348</v>
      </c>
      <c r="F220" s="32">
        <v>100</v>
      </c>
      <c r="G220" s="47" t="s">
        <v>304</v>
      </c>
      <c r="H220" s="46"/>
    </row>
    <row r="221" spans="1:8" hidden="1">
      <c r="A221" s="30" t="s">
        <v>1</v>
      </c>
      <c r="B221" s="31" t="s">
        <v>38</v>
      </c>
      <c r="C221" s="31" t="s">
        <v>84</v>
      </c>
      <c r="D221" s="31" t="s">
        <v>81</v>
      </c>
      <c r="E221" s="31" t="s">
        <v>348</v>
      </c>
      <c r="F221" s="32">
        <v>325</v>
      </c>
      <c r="G221" s="47" t="s">
        <v>304</v>
      </c>
      <c r="H221" s="46"/>
    </row>
    <row r="222" spans="1:8" hidden="1">
      <c r="A222" s="30" t="s">
        <v>1</v>
      </c>
      <c r="B222" s="31" t="s">
        <v>38</v>
      </c>
      <c r="C222" s="31" t="s">
        <v>85</v>
      </c>
      <c r="D222" s="31" t="s">
        <v>82</v>
      </c>
      <c r="E222" s="31" t="s">
        <v>348</v>
      </c>
      <c r="F222" s="32">
        <v>315</v>
      </c>
      <c r="G222" s="47" t="s">
        <v>304</v>
      </c>
      <c r="H222" s="46"/>
    </row>
    <row r="223" spans="1:8" hidden="1">
      <c r="A223" s="30" t="s">
        <v>104</v>
      </c>
      <c r="B223" s="31" t="s">
        <v>104</v>
      </c>
      <c r="C223" s="31" t="s">
        <v>152</v>
      </c>
      <c r="D223" s="31" t="s">
        <v>35</v>
      </c>
      <c r="E223" s="31" t="s">
        <v>348</v>
      </c>
      <c r="F223" s="32">
        <v>685777</v>
      </c>
      <c r="G223" s="46" t="s">
        <v>304</v>
      </c>
      <c r="H223" s="46"/>
    </row>
    <row r="224" spans="1:8" hidden="1">
      <c r="A224" s="30" t="s">
        <v>104</v>
      </c>
      <c r="B224" s="31" t="s">
        <v>104</v>
      </c>
      <c r="C224" s="31" t="s">
        <v>110</v>
      </c>
      <c r="D224" s="31" t="s">
        <v>35</v>
      </c>
      <c r="E224" s="31" t="s">
        <v>348</v>
      </c>
      <c r="F224" s="32">
        <v>424456</v>
      </c>
      <c r="G224" s="46" t="s">
        <v>304</v>
      </c>
      <c r="H224" s="46"/>
    </row>
    <row r="225" spans="1:8" hidden="1">
      <c r="A225" s="30" t="s">
        <v>104</v>
      </c>
      <c r="B225" s="31" t="s">
        <v>104</v>
      </c>
      <c r="C225" s="31" t="s">
        <v>111</v>
      </c>
      <c r="D225" s="31" t="s">
        <v>35</v>
      </c>
      <c r="E225" s="31" t="s">
        <v>348</v>
      </c>
      <c r="F225" s="32">
        <v>188490</v>
      </c>
      <c r="G225" s="47" t="s">
        <v>304</v>
      </c>
      <c r="H225" s="46"/>
    </row>
    <row r="226" spans="1:8" hidden="1">
      <c r="A226" s="30" t="s">
        <v>104</v>
      </c>
      <c r="B226" s="31" t="s">
        <v>104</v>
      </c>
      <c r="C226" s="31" t="s">
        <v>113</v>
      </c>
      <c r="D226" s="31" t="s">
        <v>35</v>
      </c>
      <c r="E226" s="31" t="s">
        <v>348</v>
      </c>
      <c r="F226" s="32">
        <v>136617.25</v>
      </c>
      <c r="G226" s="47" t="s">
        <v>304</v>
      </c>
      <c r="H226" s="46"/>
    </row>
    <row r="227" spans="1:8" hidden="1">
      <c r="A227" s="30" t="s">
        <v>103</v>
      </c>
      <c r="B227" s="31" t="s">
        <v>147</v>
      </c>
      <c r="C227" s="31" t="s">
        <v>116</v>
      </c>
      <c r="D227" s="31" t="s">
        <v>35</v>
      </c>
      <c r="E227" s="31" t="s">
        <v>348</v>
      </c>
      <c r="F227" s="32">
        <v>1384516</v>
      </c>
      <c r="G227" s="46" t="s">
        <v>304</v>
      </c>
      <c r="H227" s="46"/>
    </row>
    <row r="228" spans="1:8" hidden="1">
      <c r="A228" s="30" t="s">
        <v>103</v>
      </c>
      <c r="B228" s="31" t="s">
        <v>67</v>
      </c>
      <c r="C228" s="31" t="s">
        <v>67</v>
      </c>
      <c r="D228" s="31" t="s">
        <v>35</v>
      </c>
      <c r="E228" s="31" t="s">
        <v>348</v>
      </c>
      <c r="F228" s="32">
        <v>649072</v>
      </c>
      <c r="G228" s="46" t="s">
        <v>304</v>
      </c>
      <c r="H228" s="46"/>
    </row>
    <row r="229" spans="1:8" hidden="1">
      <c r="A229" s="30" t="s">
        <v>339</v>
      </c>
      <c r="B229" s="31" t="s">
        <v>65</v>
      </c>
      <c r="C229" s="31" t="s">
        <v>141</v>
      </c>
      <c r="D229" s="31" t="s">
        <v>35</v>
      </c>
      <c r="E229" s="31" t="s">
        <v>348</v>
      </c>
      <c r="F229" s="32">
        <v>660761</v>
      </c>
      <c r="G229" s="46" t="s">
        <v>304</v>
      </c>
      <c r="H229" s="46"/>
    </row>
    <row r="230" spans="1:8" hidden="1">
      <c r="A230" s="30" t="s">
        <v>339</v>
      </c>
      <c r="B230" s="31" t="s">
        <v>65</v>
      </c>
      <c r="C230" s="31" t="s">
        <v>142</v>
      </c>
      <c r="D230" s="31" t="s">
        <v>35</v>
      </c>
      <c r="E230" s="31" t="s">
        <v>348</v>
      </c>
      <c r="F230" s="32">
        <v>220617</v>
      </c>
      <c r="G230" s="46" t="s">
        <v>304</v>
      </c>
      <c r="H230" s="46"/>
    </row>
    <row r="231" spans="1:8" hidden="1">
      <c r="A231" s="30" t="s">
        <v>339</v>
      </c>
      <c r="B231" s="31" t="s">
        <v>65</v>
      </c>
      <c r="C231" s="31" t="s">
        <v>102</v>
      </c>
      <c r="D231" s="31" t="s">
        <v>35</v>
      </c>
      <c r="E231" s="31" t="s">
        <v>348</v>
      </c>
      <c r="F231" s="32">
        <f>17124+30949+1313+11275</f>
        <v>60661</v>
      </c>
      <c r="G231" s="46" t="s">
        <v>304</v>
      </c>
      <c r="H231" s="46"/>
    </row>
    <row r="232" spans="1:8" hidden="1">
      <c r="F232" s="32"/>
      <c r="G232" s="46"/>
      <c r="H232" s="46"/>
    </row>
    <row r="233" spans="1:8" hidden="1">
      <c r="F233" s="32"/>
      <c r="G233" s="46"/>
      <c r="H233" s="46"/>
    </row>
    <row r="234" spans="1:8" hidden="1">
      <c r="F234" s="32"/>
      <c r="G234" s="46"/>
      <c r="H234" s="46"/>
    </row>
    <row r="235" spans="1:8" hidden="1">
      <c r="A235" s="30" t="s">
        <v>339</v>
      </c>
      <c r="B235" s="31" t="s">
        <v>65</v>
      </c>
      <c r="C235" s="31" t="s">
        <v>131</v>
      </c>
      <c r="D235" s="31" t="s">
        <v>35</v>
      </c>
      <c r="E235" s="31" t="s">
        <v>348</v>
      </c>
      <c r="F235" s="32">
        <v>11261</v>
      </c>
      <c r="G235" s="46" t="s">
        <v>304</v>
      </c>
      <c r="H235" s="46"/>
    </row>
    <row r="236" spans="1:8" hidden="1">
      <c r="A236" s="30" t="s">
        <v>339</v>
      </c>
      <c r="B236" s="31" t="s">
        <v>65</v>
      </c>
      <c r="C236" s="31" t="s">
        <v>76</v>
      </c>
      <c r="D236" s="31" t="s">
        <v>35</v>
      </c>
      <c r="E236" s="31" t="s">
        <v>348</v>
      </c>
      <c r="F236" s="32">
        <v>241728</v>
      </c>
      <c r="G236" s="46" t="s">
        <v>304</v>
      </c>
      <c r="H236" s="46"/>
    </row>
    <row r="237" spans="1:8" hidden="1">
      <c r="A237" s="30" t="s">
        <v>339</v>
      </c>
      <c r="B237" s="31" t="s">
        <v>65</v>
      </c>
      <c r="C237" s="31" t="s">
        <v>77</v>
      </c>
      <c r="D237" s="31" t="s">
        <v>35</v>
      </c>
      <c r="E237" s="31" t="s">
        <v>348</v>
      </c>
      <c r="F237" s="32">
        <v>377453</v>
      </c>
      <c r="G237" s="46" t="s">
        <v>304</v>
      </c>
      <c r="H237" s="46"/>
    </row>
    <row r="238" spans="1:8" hidden="1">
      <c r="A238" s="30" t="s">
        <v>339</v>
      </c>
      <c r="B238" s="31" t="s">
        <v>65</v>
      </c>
      <c r="C238" s="31" t="s">
        <v>102</v>
      </c>
      <c r="D238" s="31" t="s">
        <v>35</v>
      </c>
      <c r="E238" s="31" t="s">
        <v>348</v>
      </c>
      <c r="F238" s="32">
        <v>4839</v>
      </c>
      <c r="G238" s="47" t="s">
        <v>304</v>
      </c>
      <c r="H238" s="46"/>
    </row>
    <row r="239" spans="1:8">
      <c r="A239" s="30" t="s">
        <v>346</v>
      </c>
      <c r="B239" s="31" t="s">
        <v>21</v>
      </c>
      <c r="C239" s="31" t="s">
        <v>21</v>
      </c>
      <c r="D239" s="31" t="s">
        <v>307</v>
      </c>
      <c r="E239" s="31" t="s">
        <v>379</v>
      </c>
      <c r="F239" s="32">
        <v>46</v>
      </c>
      <c r="G239" s="47" t="s">
        <v>304</v>
      </c>
      <c r="H239" s="46"/>
    </row>
    <row r="240" spans="1:8">
      <c r="A240" s="30" t="s">
        <v>346</v>
      </c>
      <c r="B240" s="31" t="s">
        <v>54</v>
      </c>
      <c r="C240" s="31" t="s">
        <v>43</v>
      </c>
      <c r="D240" s="31" t="s">
        <v>33</v>
      </c>
      <c r="E240" s="31" t="s">
        <v>379</v>
      </c>
      <c r="F240" s="32">
        <f>1705*50</f>
        <v>85250</v>
      </c>
      <c r="G240" s="47" t="s">
        <v>304</v>
      </c>
      <c r="H240" s="46"/>
    </row>
    <row r="241" spans="1:8">
      <c r="A241" s="30" t="s">
        <v>346</v>
      </c>
      <c r="B241" s="31" t="s">
        <v>17</v>
      </c>
      <c r="C241" s="31" t="s">
        <v>43</v>
      </c>
      <c r="D241" s="31" t="s">
        <v>34</v>
      </c>
      <c r="E241" s="31" t="s">
        <v>379</v>
      </c>
      <c r="F241" s="32">
        <f>27*1000</f>
        <v>27000</v>
      </c>
      <c r="G241" s="47" t="s">
        <v>304</v>
      </c>
      <c r="H241" s="46"/>
    </row>
    <row r="242" spans="1:8">
      <c r="A242" s="30" t="s">
        <v>346</v>
      </c>
      <c r="B242" s="31" t="s">
        <v>18</v>
      </c>
      <c r="C242" s="31" t="s">
        <v>43</v>
      </c>
      <c r="D242" s="31" t="s">
        <v>34</v>
      </c>
      <c r="E242" s="31" t="s">
        <v>379</v>
      </c>
      <c r="F242" s="32">
        <f>49*1000</f>
        <v>49000</v>
      </c>
      <c r="G242" s="47" t="s">
        <v>304</v>
      </c>
      <c r="H242" s="46"/>
    </row>
    <row r="243" spans="1:8">
      <c r="A243" s="30" t="s">
        <v>346</v>
      </c>
      <c r="B243" s="31" t="s">
        <v>15</v>
      </c>
      <c r="C243" s="31" t="s">
        <v>44</v>
      </c>
      <c r="D243" s="31" t="s">
        <v>16</v>
      </c>
      <c r="E243" s="31" t="s">
        <v>379</v>
      </c>
      <c r="F243" s="32">
        <f>18*1000</f>
        <v>18000</v>
      </c>
      <c r="G243" s="47" t="s">
        <v>304</v>
      </c>
      <c r="H243" s="46"/>
    </row>
    <row r="244" spans="1:8">
      <c r="A244" s="30" t="s">
        <v>346</v>
      </c>
      <c r="B244" s="31" t="s">
        <v>318</v>
      </c>
      <c r="C244" s="31" t="s">
        <v>363</v>
      </c>
      <c r="D244" s="31" t="s">
        <v>357</v>
      </c>
      <c r="E244" s="31" t="s">
        <v>379</v>
      </c>
      <c r="F244" s="32">
        <v>87</v>
      </c>
      <c r="G244" s="47" t="s">
        <v>304</v>
      </c>
      <c r="H244" s="46"/>
    </row>
    <row r="245" spans="1:8">
      <c r="A245" s="30" t="s">
        <v>22</v>
      </c>
      <c r="B245" s="31" t="s">
        <v>29</v>
      </c>
      <c r="C245" s="31" t="s">
        <v>42</v>
      </c>
      <c r="D245" s="31" t="s">
        <v>30</v>
      </c>
      <c r="E245" s="31" t="s">
        <v>379</v>
      </c>
      <c r="F245" s="32">
        <v>218</v>
      </c>
      <c r="G245" s="47" t="s">
        <v>304</v>
      </c>
      <c r="H245" s="46"/>
    </row>
    <row r="246" spans="1:8">
      <c r="A246" s="30" t="s">
        <v>22</v>
      </c>
      <c r="B246" s="31" t="s">
        <v>23</v>
      </c>
      <c r="C246" s="31" t="s">
        <v>24</v>
      </c>
      <c r="D246" s="31" t="s">
        <v>20</v>
      </c>
      <c r="E246" s="31" t="s">
        <v>379</v>
      </c>
      <c r="F246" s="32">
        <f>647*1000</f>
        <v>647000</v>
      </c>
      <c r="G246" s="47" t="s">
        <v>304</v>
      </c>
      <c r="H246" s="46"/>
    </row>
    <row r="247" spans="1:8">
      <c r="A247" s="30" t="s">
        <v>22</v>
      </c>
      <c r="B247" s="31" t="s">
        <v>23</v>
      </c>
      <c r="C247" s="31" t="s">
        <v>154</v>
      </c>
      <c r="D247" s="31" t="s">
        <v>20</v>
      </c>
      <c r="E247" s="31" t="s">
        <v>379</v>
      </c>
      <c r="F247" s="32">
        <f>1251*1000</f>
        <v>1251000</v>
      </c>
      <c r="G247" s="47" t="s">
        <v>304</v>
      </c>
      <c r="H247" s="46"/>
    </row>
    <row r="248" spans="1:8">
      <c r="A248" s="30" t="s">
        <v>22</v>
      </c>
      <c r="B248" s="31" t="s">
        <v>26</v>
      </c>
      <c r="C248" s="31" t="s">
        <v>27</v>
      </c>
      <c r="D248" s="31" t="s">
        <v>28</v>
      </c>
      <c r="E248" s="31" t="s">
        <v>379</v>
      </c>
      <c r="F248" s="32">
        <v>3.06</v>
      </c>
      <c r="G248" s="47"/>
      <c r="H248" s="46"/>
    </row>
    <row r="249" spans="1:8">
      <c r="A249" s="30" t="s">
        <v>22</v>
      </c>
      <c r="B249" s="31" t="s">
        <v>29</v>
      </c>
      <c r="C249" s="31" t="s">
        <v>41</v>
      </c>
      <c r="D249" s="31" t="s">
        <v>25</v>
      </c>
      <c r="E249" s="31" t="s">
        <v>379</v>
      </c>
      <c r="F249" s="32">
        <v>91.6</v>
      </c>
      <c r="G249" s="47" t="s">
        <v>304</v>
      </c>
      <c r="H249" s="46"/>
    </row>
    <row r="250" spans="1:8">
      <c r="A250" s="30" t="s">
        <v>22</v>
      </c>
      <c r="B250" s="31" t="s">
        <v>29</v>
      </c>
      <c r="C250" s="31" t="s">
        <v>31</v>
      </c>
      <c r="D250" s="31" t="s">
        <v>32</v>
      </c>
      <c r="E250" s="31" t="s">
        <v>379</v>
      </c>
      <c r="F250" s="32">
        <v>10.3</v>
      </c>
      <c r="G250" s="47" t="s">
        <v>304</v>
      </c>
      <c r="H250" s="46"/>
    </row>
    <row r="251" spans="1:8">
      <c r="A251" s="30" t="s">
        <v>45</v>
      </c>
      <c r="B251" s="31" t="s">
        <v>46</v>
      </c>
      <c r="C251" s="31" t="s">
        <v>47</v>
      </c>
      <c r="D251" s="31" t="s">
        <v>50</v>
      </c>
      <c r="E251" s="31" t="s">
        <v>379</v>
      </c>
      <c r="F251" s="33">
        <v>0.7</v>
      </c>
      <c r="G251" s="47" t="s">
        <v>304</v>
      </c>
      <c r="H251" s="46"/>
    </row>
    <row r="252" spans="1:8">
      <c r="A252" s="30" t="s">
        <v>45</v>
      </c>
      <c r="B252" s="31" t="s">
        <v>46</v>
      </c>
      <c r="C252" s="31" t="s">
        <v>48</v>
      </c>
      <c r="D252" s="31" t="s">
        <v>50</v>
      </c>
      <c r="E252" s="31" t="s">
        <v>379</v>
      </c>
      <c r="F252" s="33">
        <v>0.3</v>
      </c>
      <c r="G252" s="47" t="s">
        <v>304</v>
      </c>
      <c r="H252" s="46"/>
    </row>
    <row r="253" spans="1:8">
      <c r="A253" s="30" t="s">
        <v>45</v>
      </c>
      <c r="B253" s="31" t="s">
        <v>46</v>
      </c>
      <c r="C253" s="31" t="s">
        <v>49</v>
      </c>
      <c r="D253" s="31" t="s">
        <v>50</v>
      </c>
      <c r="E253" s="31" t="s">
        <v>379</v>
      </c>
      <c r="F253" s="32">
        <v>1</v>
      </c>
      <c r="G253" s="47" t="s">
        <v>304</v>
      </c>
      <c r="H253" s="46"/>
    </row>
    <row r="254" spans="1:8">
      <c r="A254" s="30" t="s">
        <v>1</v>
      </c>
      <c r="B254" s="31" t="s">
        <v>6</v>
      </c>
      <c r="C254" s="31" t="s">
        <v>8</v>
      </c>
      <c r="D254" s="31" t="s">
        <v>9</v>
      </c>
      <c r="E254" s="31" t="s">
        <v>379</v>
      </c>
      <c r="F254" s="32">
        <v>6700000</v>
      </c>
      <c r="G254" s="47" t="s">
        <v>304</v>
      </c>
      <c r="H254" s="46"/>
    </row>
    <row r="255" spans="1:8">
      <c r="A255" s="30" t="s">
        <v>1</v>
      </c>
      <c r="B255" s="31" t="s">
        <v>10</v>
      </c>
      <c r="C255" s="31" t="s">
        <v>14</v>
      </c>
      <c r="D255" s="31" t="s">
        <v>13</v>
      </c>
      <c r="E255" s="31" t="s">
        <v>379</v>
      </c>
      <c r="F255" s="34">
        <v>45747</v>
      </c>
      <c r="G255" s="47" t="s">
        <v>304</v>
      </c>
      <c r="H255" s="46"/>
    </row>
    <row r="256" spans="1:8">
      <c r="A256" s="30" t="s">
        <v>1</v>
      </c>
      <c r="B256" s="31" t="s">
        <v>10</v>
      </c>
      <c r="C256" s="31" t="s">
        <v>12</v>
      </c>
      <c r="D256" s="31" t="s">
        <v>13</v>
      </c>
      <c r="E256" s="31" t="s">
        <v>379</v>
      </c>
      <c r="F256" s="34">
        <v>45383</v>
      </c>
      <c r="G256" s="47" t="s">
        <v>304</v>
      </c>
      <c r="H256" s="46"/>
    </row>
    <row r="257" spans="1:8">
      <c r="A257" s="30" t="s">
        <v>1</v>
      </c>
      <c r="B257" s="31" t="s">
        <v>10</v>
      </c>
      <c r="C257" s="31" t="s">
        <v>39</v>
      </c>
      <c r="D257" s="31" t="s">
        <v>11</v>
      </c>
      <c r="E257" s="31" t="s">
        <v>379</v>
      </c>
      <c r="F257" s="32">
        <v>90</v>
      </c>
      <c r="G257" s="47" t="s">
        <v>304</v>
      </c>
      <c r="H257" s="46"/>
    </row>
    <row r="258" spans="1:8">
      <c r="A258" s="30" t="s">
        <v>1</v>
      </c>
      <c r="B258" s="31" t="s">
        <v>15</v>
      </c>
      <c r="C258" s="31" t="s">
        <v>40</v>
      </c>
      <c r="D258" s="31" t="s">
        <v>356</v>
      </c>
      <c r="E258" s="31" t="s">
        <v>379</v>
      </c>
      <c r="F258" s="32">
        <v>100</v>
      </c>
      <c r="G258" s="47" t="s">
        <v>304</v>
      </c>
      <c r="H258" s="46"/>
    </row>
    <row r="259" spans="1:8">
      <c r="A259" s="30" t="s">
        <v>1</v>
      </c>
      <c r="B259" s="31" t="s">
        <v>38</v>
      </c>
      <c r="C259" s="31" t="s">
        <v>84</v>
      </c>
      <c r="D259" s="31" t="s">
        <v>81</v>
      </c>
      <c r="E259" s="31" t="s">
        <v>379</v>
      </c>
      <c r="F259" s="32">
        <v>325</v>
      </c>
      <c r="G259" s="47" t="s">
        <v>304</v>
      </c>
      <c r="H259" s="46"/>
    </row>
    <row r="260" spans="1:8">
      <c r="A260" s="30" t="s">
        <v>1</v>
      </c>
      <c r="B260" s="31" t="s">
        <v>38</v>
      </c>
      <c r="C260" s="31" t="s">
        <v>85</v>
      </c>
      <c r="D260" s="31" t="s">
        <v>82</v>
      </c>
      <c r="E260" s="31" t="s">
        <v>379</v>
      </c>
      <c r="F260" s="32">
        <v>315</v>
      </c>
      <c r="G260" s="47" t="s">
        <v>304</v>
      </c>
      <c r="H260" s="46"/>
    </row>
    <row r="261" spans="1:8">
      <c r="A261" s="30" t="s">
        <v>104</v>
      </c>
      <c r="B261" s="31" t="s">
        <v>104</v>
      </c>
      <c r="C261" s="31" t="s">
        <v>152</v>
      </c>
      <c r="D261" s="31" t="s">
        <v>35</v>
      </c>
      <c r="E261" s="31" t="s">
        <v>379</v>
      </c>
      <c r="F261" s="32">
        <f>SUM(F262:F264)</f>
        <v>172882</v>
      </c>
      <c r="G261" s="47" t="s">
        <v>304</v>
      </c>
      <c r="H261" s="46"/>
    </row>
    <row r="262" spans="1:8">
      <c r="A262" s="30" t="s">
        <v>104</v>
      </c>
      <c r="B262" s="31" t="s">
        <v>104</v>
      </c>
      <c r="C262" s="31" t="s">
        <v>110</v>
      </c>
      <c r="D262" s="31" t="s">
        <v>35</v>
      </c>
      <c r="E262" s="31" t="s">
        <v>379</v>
      </c>
      <c r="F262" s="32">
        <v>78594</v>
      </c>
      <c r="G262" s="47" t="s">
        <v>304</v>
      </c>
      <c r="H262" s="46"/>
    </row>
    <row r="263" spans="1:8">
      <c r="A263" s="30" t="s">
        <v>104</v>
      </c>
      <c r="B263" s="31" t="s">
        <v>104</v>
      </c>
      <c r="C263" s="31" t="s">
        <v>111</v>
      </c>
      <c r="D263" s="31" t="s">
        <v>35</v>
      </c>
      <c r="E263" s="31" t="s">
        <v>379</v>
      </c>
      <c r="F263" s="32">
        <v>58564</v>
      </c>
      <c r="G263" s="47" t="s">
        <v>304</v>
      </c>
      <c r="H263" s="46"/>
    </row>
    <row r="264" spans="1:8">
      <c r="A264" s="30" t="s">
        <v>104</v>
      </c>
      <c r="B264" s="31" t="s">
        <v>104</v>
      </c>
      <c r="C264" s="31" t="s">
        <v>113</v>
      </c>
      <c r="D264" s="31" t="s">
        <v>35</v>
      </c>
      <c r="E264" s="31" t="s">
        <v>379</v>
      </c>
      <c r="F264" s="32">
        <v>35724</v>
      </c>
      <c r="G264" s="47" t="s">
        <v>304</v>
      </c>
      <c r="H264" s="46"/>
    </row>
    <row r="265" spans="1:8">
      <c r="A265" s="30" t="s">
        <v>103</v>
      </c>
      <c r="B265" s="31" t="s">
        <v>147</v>
      </c>
      <c r="C265" s="31" t="s">
        <v>116</v>
      </c>
      <c r="D265" s="31" t="s">
        <v>35</v>
      </c>
      <c r="E265" s="31" t="s">
        <v>379</v>
      </c>
      <c r="F265" s="32">
        <v>1588485</v>
      </c>
      <c r="G265" s="47" t="s">
        <v>304</v>
      </c>
      <c r="H265" s="46"/>
    </row>
    <row r="266" spans="1:8">
      <c r="A266" s="30" t="s">
        <v>103</v>
      </c>
      <c r="B266" s="31" t="s">
        <v>67</v>
      </c>
      <c r="C266" s="31" t="s">
        <v>67</v>
      </c>
      <c r="D266" s="31" t="s">
        <v>35</v>
      </c>
      <c r="E266" s="31" t="s">
        <v>379</v>
      </c>
      <c r="F266" s="32">
        <v>665567</v>
      </c>
      <c r="G266" s="47" t="s">
        <v>304</v>
      </c>
      <c r="H266" s="46"/>
    </row>
    <row r="267" spans="1:8">
      <c r="A267" s="30" t="s">
        <v>339</v>
      </c>
      <c r="B267" s="31" t="s">
        <v>65</v>
      </c>
      <c r="C267" s="31" t="s">
        <v>141</v>
      </c>
      <c r="D267" s="31" t="s">
        <v>35</v>
      </c>
      <c r="E267" s="31" t="s">
        <v>379</v>
      </c>
      <c r="F267" s="32">
        <v>165995</v>
      </c>
      <c r="G267" s="47" t="s">
        <v>304</v>
      </c>
      <c r="H267" s="46"/>
    </row>
    <row r="268" spans="1:8">
      <c r="A268" s="30" t="s">
        <v>339</v>
      </c>
      <c r="B268" s="31" t="s">
        <v>65</v>
      </c>
      <c r="C268" s="31" t="s">
        <v>142</v>
      </c>
      <c r="D268" s="31" t="s">
        <v>35</v>
      </c>
      <c r="E268" s="31" t="s">
        <v>379</v>
      </c>
      <c r="F268" s="32">
        <v>52886</v>
      </c>
      <c r="G268" s="47" t="s">
        <v>304</v>
      </c>
      <c r="H268" s="46"/>
    </row>
    <row r="269" spans="1:8">
      <c r="A269" s="30" t="s">
        <v>339</v>
      </c>
      <c r="B269" s="31" t="s">
        <v>65</v>
      </c>
      <c r="C269" s="31" t="s">
        <v>102</v>
      </c>
      <c r="D269" s="31" t="s">
        <v>35</v>
      </c>
      <c r="E269" s="31" t="s">
        <v>379</v>
      </c>
      <c r="F269" s="32">
        <f>2222+1335+351+9335</f>
        <v>13243</v>
      </c>
      <c r="G269" s="47" t="s">
        <v>304</v>
      </c>
      <c r="H269" s="46"/>
    </row>
    <row r="270" spans="1:8">
      <c r="A270" s="30" t="s">
        <v>339</v>
      </c>
      <c r="B270" s="31" t="s">
        <v>65</v>
      </c>
      <c r="C270" s="31" t="s">
        <v>131</v>
      </c>
      <c r="D270" s="31" t="s">
        <v>35</v>
      </c>
      <c r="E270" s="31" t="s">
        <v>379</v>
      </c>
      <c r="F270" s="32">
        <v>1812</v>
      </c>
      <c r="G270" s="47" t="s">
        <v>304</v>
      </c>
      <c r="H270" s="46"/>
    </row>
    <row r="271" spans="1:8">
      <c r="A271" s="30" t="s">
        <v>339</v>
      </c>
      <c r="B271" s="31" t="s">
        <v>65</v>
      </c>
      <c r="C271" s="31" t="s">
        <v>76</v>
      </c>
      <c r="D271" s="31" t="s">
        <v>35</v>
      </c>
      <c r="E271" s="31" t="s">
        <v>379</v>
      </c>
      <c r="F271" s="32">
        <v>72520</v>
      </c>
      <c r="G271" s="47" t="s">
        <v>304</v>
      </c>
      <c r="H271" s="46"/>
    </row>
    <row r="272" spans="1:8">
      <c r="A272" s="30" t="s">
        <v>339</v>
      </c>
      <c r="B272" s="31" t="s">
        <v>65</v>
      </c>
      <c r="C272" s="31" t="s">
        <v>77</v>
      </c>
      <c r="D272" s="31" t="s">
        <v>35</v>
      </c>
      <c r="E272" s="31" t="s">
        <v>379</v>
      </c>
      <c r="F272" s="32">
        <v>65214</v>
      </c>
      <c r="G272" s="47" t="s">
        <v>304</v>
      </c>
      <c r="H272" s="46"/>
    </row>
    <row r="273" spans="1:8">
      <c r="A273" s="30" t="s">
        <v>339</v>
      </c>
      <c r="B273" s="31" t="s">
        <v>65</v>
      </c>
      <c r="C273" s="31" t="s">
        <v>102</v>
      </c>
      <c r="D273" s="31" t="s">
        <v>35</v>
      </c>
      <c r="E273" s="31" t="s">
        <v>379</v>
      </c>
      <c r="F273" s="32">
        <v>1603</v>
      </c>
      <c r="G273" s="47" t="s">
        <v>304</v>
      </c>
      <c r="H273" s="46"/>
    </row>
  </sheetData>
  <phoneticPr fontId="5" type="noConversion"/>
  <pageMargins left="0.511811024" right="0.511811024" top="0.78740157499999996" bottom="0.78740157499999996" header="0.31496062000000002" footer="0.31496062000000002"/>
  <pageSetup paperSize="9" orientation="portrait" r:id="rId1"/>
  <ignoredErrors>
    <ignoredError sqref="F261" formulaRange="1"/>
  </ignoredErrors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6D2AF4-1411-483E-AD5C-29FE02FAD73F}">
  <sheetPr codeName="Planilha6"/>
  <dimension ref="A1:XFC189"/>
  <sheetViews>
    <sheetView showGridLines="0" zoomScale="85" zoomScaleNormal="85" workbookViewId="0">
      <pane xSplit="2" ySplit="9" topLeftCell="K10" activePane="bottomRight" state="frozen"/>
      <selection activeCell="F27" sqref="F27"/>
      <selection pane="topRight" activeCell="F27" sqref="F27"/>
      <selection pane="bottomLeft" activeCell="F27" sqref="F27"/>
      <selection pane="bottomRight" activeCell="C22" sqref="C22"/>
    </sheetView>
  </sheetViews>
  <sheetFormatPr defaultColWidth="8.81640625" defaultRowHeight="13"/>
  <cols>
    <col min="1" max="1" width="2.81640625" style="4" customWidth="1"/>
    <col min="2" max="2" width="39" style="4" customWidth="1"/>
    <col min="3" max="4" width="11.81640625" style="25" customWidth="1"/>
    <col min="5" max="7" width="10.54296875" style="25" customWidth="1"/>
    <col min="8" max="8" width="11.81640625" style="25" customWidth="1"/>
    <col min="9" max="11" width="10.54296875" style="25" customWidth="1"/>
    <col min="12" max="12" width="11.453125" style="25" customWidth="1"/>
    <col min="13" max="15" width="10.54296875" style="25" customWidth="1"/>
    <col min="16" max="16" width="12" style="25" customWidth="1"/>
    <col min="17" max="19" width="10.54296875" style="25" customWidth="1"/>
    <col min="20" max="20" width="12.81640625" style="25" customWidth="1"/>
    <col min="21" max="22" width="11.54296875" style="25" customWidth="1"/>
    <col min="23" max="16384" width="8.81640625" style="4"/>
  </cols>
  <sheetData>
    <row r="1" spans="1:1023 1030:2047 2054:3071 3078:4095 4102:5119 5126:6143 6150:7167 7174:8191 8198:9215 9222:10239 10246:11263 11270:12287 12294:13311 13318:14335 14342:15359 15366:16383" ht="6" customHeight="1"/>
    <row r="2" spans="1:1023 1030:2047 2054:3071 3078:4095 4102:5119 5126:6143 6150:7167 7174:8191 8198:9215 9222:10239 10246:11263 11270:12287 12294:13311 13318:14335 14342:15359 15366:16383" s="169" customFormat="1" ht="14.5">
      <c r="A2" s="168"/>
      <c r="B2" s="175" t="s">
        <v>332</v>
      </c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168"/>
    </row>
    <row r="3" spans="1:1023 1030:2047 2054:3071 3078:4095 4102:5119 5126:6143 6150:7167 7174:8191 8198:9215 9222:10239 10246:11263 11270:12287 12294:13311 13318:14335 14342:15359 15366:16383" s="169" customFormat="1" ht="15" customHeight="1">
      <c r="A3" s="168"/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0"/>
      <c r="U3" s="171"/>
      <c r="V3" s="170"/>
    </row>
    <row r="4" spans="1:1023 1030:2047 2054:3071 3078:4095 4102:5119 5126:6143 6150:7167 7174:8191 8198:9215 9222:10239 10246:11263 11270:12287 12294:13311 13318:14335 14342:15359 15366:16383" s="169" customFormat="1" ht="15" customHeight="1">
      <c r="A4" s="168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0"/>
      <c r="U4" s="171"/>
      <c r="V4" s="170"/>
    </row>
    <row r="5" spans="1:1023 1030:2047 2054:3071 3078:4095 4102:5119 5126:6143 6150:7167 7174:8191 8198:9215 9222:10239 10246:11263 11270:12287 12294:13311 13318:14335 14342:15359 15366:16383" s="169" customFormat="1" ht="15" customHeight="1">
      <c r="A5" s="168"/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0"/>
      <c r="U5" s="171"/>
      <c r="V5" s="170"/>
    </row>
    <row r="6" spans="1:1023 1030:2047 2054:3071 3078:4095 4102:5119 5126:6143 6150:7167 7174:8191 8198:9215 9222:10239 10246:11263 11270:12287 12294:13311 13318:14335 14342:15359 15366:16383" s="169" customFormat="1" ht="15" customHeight="1">
      <c r="A6" s="168"/>
      <c r="B6" s="172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0"/>
      <c r="U6" s="171"/>
      <c r="V6" s="170"/>
    </row>
    <row r="7" spans="1:1023 1030:2047 2054:3071 3078:4095 4102:5119 5126:6143 6150:7167 7174:8191 8198:9215 9222:10239 10246:11263 11270:12287 12294:13311 13318:14335 14342:15359 15366:16383" ht="0.65" customHeight="1">
      <c r="A7" s="50"/>
      <c r="B7" s="49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</row>
    <row r="8" spans="1:1023 1030:2047 2054:3071 3078:4095 4102:5119 5126:6143 6150:7167 7174:8191 8198:9215 9222:10239 10246:11263 11270:12287 12294:13311 13318:14335 14342:15359 15366:16383" ht="6" customHeight="1"/>
    <row r="9" spans="1:1023 1030:2047 2054:3071 3078:4095 4102:5119 5126:6143 6150:7167 7174:8191 8198:9215 9222:10239 10246:11263 11270:12287 12294:13311 13318:14335 14342:15359 15366:16383" s="57" customFormat="1" ht="20.149999999999999" customHeight="1" thickBot="1">
      <c r="A9" s="4"/>
      <c r="B9" s="52" t="s">
        <v>334</v>
      </c>
      <c r="C9" s="54" t="s">
        <v>377</v>
      </c>
      <c r="D9" s="53" t="s">
        <v>366</v>
      </c>
      <c r="E9" s="54" t="s">
        <v>368</v>
      </c>
      <c r="F9" s="54" t="s">
        <v>365</v>
      </c>
      <c r="G9" s="54" t="s">
        <v>347</v>
      </c>
      <c r="H9" s="53" t="s">
        <v>312</v>
      </c>
      <c r="I9" s="54" t="s">
        <v>313</v>
      </c>
      <c r="J9" s="54" t="s">
        <v>314</v>
      </c>
      <c r="K9" s="54" t="s">
        <v>311</v>
      </c>
      <c r="L9" s="53" t="s">
        <v>172</v>
      </c>
      <c r="M9" s="54" t="s">
        <v>300</v>
      </c>
      <c r="N9" s="55" t="s">
        <v>299</v>
      </c>
      <c r="O9" s="55" t="s">
        <v>175</v>
      </c>
      <c r="P9" s="53" t="s">
        <v>171</v>
      </c>
      <c r="Q9" s="54" t="s">
        <v>291</v>
      </c>
      <c r="R9" s="54" t="s">
        <v>290</v>
      </c>
      <c r="S9" s="54" t="s">
        <v>91</v>
      </c>
      <c r="T9" s="53" t="s">
        <v>173</v>
      </c>
      <c r="U9" s="54" t="s">
        <v>174</v>
      </c>
      <c r="V9" s="53" t="s">
        <v>180</v>
      </c>
      <c r="W9" s="56"/>
      <c r="AD9" s="56"/>
      <c r="AE9" s="56"/>
      <c r="AL9" s="56"/>
      <c r="AM9" s="56"/>
      <c r="AT9" s="56"/>
      <c r="AU9" s="56"/>
      <c r="BB9" s="56"/>
      <c r="BC9" s="56"/>
      <c r="BJ9" s="56"/>
      <c r="BK9" s="56"/>
      <c r="BR9" s="56"/>
      <c r="BS9" s="56"/>
      <c r="BZ9" s="56"/>
      <c r="CA9" s="56"/>
      <c r="CH9" s="56"/>
      <c r="CI9" s="56"/>
      <c r="CP9" s="56"/>
      <c r="CQ9" s="56"/>
      <c r="CX9" s="56"/>
      <c r="CY9" s="56"/>
      <c r="DF9" s="56"/>
      <c r="DG9" s="56"/>
      <c r="DN9" s="56"/>
      <c r="DO9" s="56"/>
      <c r="DV9" s="56"/>
      <c r="DW9" s="56"/>
      <c r="ED9" s="56"/>
      <c r="EE9" s="56"/>
      <c r="EL9" s="56"/>
      <c r="EM9" s="56"/>
      <c r="ET9" s="56"/>
      <c r="EU9" s="56"/>
      <c r="FB9" s="56"/>
      <c r="FC9" s="56"/>
      <c r="FJ9" s="56"/>
      <c r="FK9" s="56"/>
      <c r="FR9" s="56"/>
      <c r="FS9" s="56"/>
      <c r="FZ9" s="56"/>
      <c r="GA9" s="56"/>
      <c r="GH9" s="56"/>
      <c r="GI9" s="56"/>
      <c r="GP9" s="56"/>
      <c r="GQ9" s="56"/>
      <c r="GX9" s="56"/>
      <c r="GY9" s="56"/>
      <c r="HF9" s="56"/>
      <c r="HG9" s="56"/>
      <c r="HN9" s="56"/>
      <c r="HO9" s="56"/>
      <c r="HV9" s="56"/>
      <c r="HW9" s="56"/>
      <c r="ID9" s="56"/>
      <c r="IE9" s="56"/>
      <c r="IL9" s="56"/>
      <c r="IM9" s="56"/>
      <c r="IT9" s="56"/>
      <c r="IU9" s="56"/>
      <c r="JB9" s="56"/>
      <c r="JC9" s="56"/>
      <c r="JJ9" s="56"/>
      <c r="JK9" s="56"/>
      <c r="JR9" s="56"/>
      <c r="JS9" s="56"/>
      <c r="JZ9" s="56"/>
      <c r="KA9" s="56"/>
      <c r="KH9" s="56"/>
      <c r="KI9" s="56"/>
      <c r="KP9" s="56"/>
      <c r="KQ9" s="56"/>
      <c r="KX9" s="56"/>
      <c r="KY9" s="56"/>
      <c r="LF9" s="56"/>
      <c r="LG9" s="56"/>
      <c r="LN9" s="56"/>
      <c r="LO9" s="56"/>
      <c r="LV9" s="56"/>
      <c r="LW9" s="56"/>
      <c r="MD9" s="56"/>
      <c r="ME9" s="56"/>
      <c r="ML9" s="56"/>
      <c r="MM9" s="56"/>
      <c r="MT9" s="56"/>
      <c r="MU9" s="56"/>
      <c r="NB9" s="56"/>
      <c r="NC9" s="56"/>
      <c r="NJ9" s="56"/>
      <c r="NK9" s="56"/>
      <c r="NR9" s="56"/>
      <c r="NS9" s="56"/>
      <c r="NZ9" s="56"/>
      <c r="OA9" s="56"/>
      <c r="OH9" s="56"/>
      <c r="OI9" s="56"/>
      <c r="OP9" s="56"/>
      <c r="OQ9" s="56"/>
      <c r="OX9" s="56"/>
      <c r="OY9" s="56"/>
      <c r="PF9" s="56"/>
      <c r="PG9" s="56"/>
      <c r="PN9" s="56"/>
      <c r="PO9" s="56"/>
      <c r="PV9" s="56"/>
      <c r="PW9" s="56"/>
      <c r="QD9" s="56"/>
      <c r="QE9" s="56"/>
      <c r="QL9" s="56"/>
      <c r="QM9" s="56"/>
      <c r="QT9" s="56"/>
      <c r="QU9" s="56"/>
      <c r="RB9" s="56"/>
      <c r="RC9" s="56"/>
      <c r="RJ9" s="56"/>
      <c r="RK9" s="56"/>
      <c r="RR9" s="56"/>
      <c r="RS9" s="56"/>
      <c r="RZ9" s="56"/>
      <c r="SA9" s="56"/>
      <c r="SH9" s="56"/>
      <c r="SI9" s="56"/>
      <c r="SP9" s="56"/>
      <c r="SQ9" s="56"/>
      <c r="SX9" s="56"/>
      <c r="SY9" s="56"/>
      <c r="TF9" s="56"/>
      <c r="TG9" s="56"/>
      <c r="TN9" s="56"/>
      <c r="TO9" s="56"/>
      <c r="TV9" s="56"/>
      <c r="TW9" s="56"/>
      <c r="UD9" s="56"/>
      <c r="UE9" s="56"/>
      <c r="UL9" s="56"/>
      <c r="UM9" s="56"/>
      <c r="UT9" s="56"/>
      <c r="UU9" s="56"/>
      <c r="VB9" s="56"/>
      <c r="VC9" s="56"/>
      <c r="VJ9" s="56"/>
      <c r="VK9" s="56"/>
      <c r="VR9" s="56"/>
      <c r="VS9" s="56"/>
      <c r="VZ9" s="56"/>
      <c r="WA9" s="56"/>
      <c r="WH9" s="56"/>
      <c r="WI9" s="56"/>
      <c r="WP9" s="56"/>
      <c r="WQ9" s="56"/>
      <c r="WX9" s="56"/>
      <c r="WY9" s="56"/>
      <c r="XF9" s="56"/>
      <c r="XG9" s="56"/>
      <c r="XN9" s="56"/>
      <c r="XO9" s="56"/>
      <c r="XV9" s="56"/>
      <c r="XW9" s="56"/>
      <c r="YD9" s="56"/>
      <c r="YE9" s="56"/>
      <c r="YL9" s="56"/>
      <c r="YM9" s="56"/>
      <c r="YT9" s="56"/>
      <c r="YU9" s="56"/>
      <c r="ZB9" s="56"/>
      <c r="ZC9" s="56"/>
      <c r="ZJ9" s="56"/>
      <c r="ZK9" s="56"/>
      <c r="ZR9" s="56"/>
      <c r="ZS9" s="56"/>
      <c r="ZZ9" s="56"/>
      <c r="AAA9" s="56"/>
      <c r="AAH9" s="56"/>
      <c r="AAI9" s="56"/>
      <c r="AAP9" s="56"/>
      <c r="AAQ9" s="56"/>
      <c r="AAX9" s="56"/>
      <c r="AAY9" s="56"/>
      <c r="ABF9" s="56"/>
      <c r="ABG9" s="56"/>
      <c r="ABN9" s="56"/>
      <c r="ABO9" s="56"/>
      <c r="ABV9" s="56"/>
      <c r="ABW9" s="56"/>
      <c r="ACD9" s="56"/>
      <c r="ACE9" s="56"/>
      <c r="ACL9" s="56"/>
      <c r="ACM9" s="56"/>
      <c r="ACT9" s="56"/>
      <c r="ACU9" s="56"/>
      <c r="ADB9" s="56"/>
      <c r="ADC9" s="56"/>
      <c r="ADJ9" s="56"/>
      <c r="ADK9" s="56"/>
      <c r="ADR9" s="56"/>
      <c r="ADS9" s="56"/>
      <c r="ADZ9" s="56"/>
      <c r="AEA9" s="56"/>
      <c r="AEH9" s="56"/>
      <c r="AEI9" s="56"/>
      <c r="AEP9" s="56"/>
      <c r="AEQ9" s="56"/>
      <c r="AEX9" s="56"/>
      <c r="AEY9" s="56"/>
      <c r="AFF9" s="56"/>
      <c r="AFG9" s="56"/>
      <c r="AFN9" s="56"/>
      <c r="AFO9" s="56"/>
      <c r="AFV9" s="56"/>
      <c r="AFW9" s="56"/>
      <c r="AGD9" s="56"/>
      <c r="AGE9" s="56"/>
      <c r="AGL9" s="56"/>
      <c r="AGM9" s="56"/>
      <c r="AGT9" s="56"/>
      <c r="AGU9" s="56"/>
      <c r="AHB9" s="56"/>
      <c r="AHC9" s="56"/>
      <c r="AHJ9" s="56"/>
      <c r="AHK9" s="56"/>
      <c r="AHR9" s="56"/>
      <c r="AHS9" s="56"/>
      <c r="AHZ9" s="56"/>
      <c r="AIA9" s="56"/>
      <c r="AIH9" s="56"/>
      <c r="AII9" s="56"/>
      <c r="AIP9" s="56"/>
      <c r="AIQ9" s="56"/>
      <c r="AIX9" s="56"/>
      <c r="AIY9" s="56"/>
      <c r="AJF9" s="56"/>
      <c r="AJG9" s="56"/>
      <c r="AJN9" s="56"/>
      <c r="AJO9" s="56"/>
      <c r="AJV9" s="56"/>
      <c r="AJW9" s="56"/>
      <c r="AKD9" s="56"/>
      <c r="AKE9" s="56"/>
      <c r="AKL9" s="56"/>
      <c r="AKM9" s="56"/>
      <c r="AKT9" s="56"/>
      <c r="AKU9" s="56"/>
      <c r="ALB9" s="56"/>
      <c r="ALC9" s="56"/>
      <c r="ALJ9" s="56"/>
      <c r="ALK9" s="56"/>
      <c r="ALR9" s="56"/>
      <c r="ALS9" s="56"/>
      <c r="ALZ9" s="56"/>
      <c r="AMA9" s="56"/>
      <c r="AMH9" s="56"/>
      <c r="AMI9" s="56"/>
      <c r="AMP9" s="56"/>
      <c r="AMQ9" s="56"/>
      <c r="AMX9" s="56"/>
      <c r="AMY9" s="56"/>
      <c r="ANF9" s="56"/>
      <c r="ANG9" s="56"/>
      <c r="ANN9" s="56"/>
      <c r="ANO9" s="56"/>
      <c r="ANV9" s="56"/>
      <c r="ANW9" s="56"/>
      <c r="AOD9" s="56"/>
      <c r="AOE9" s="56"/>
      <c r="AOL9" s="56"/>
      <c r="AOM9" s="56"/>
      <c r="AOT9" s="56"/>
      <c r="AOU9" s="56"/>
      <c r="APB9" s="56"/>
      <c r="APC9" s="56"/>
      <c r="APJ9" s="56"/>
      <c r="APK9" s="56"/>
      <c r="APR9" s="56"/>
      <c r="APS9" s="56"/>
      <c r="APZ9" s="56"/>
      <c r="AQA9" s="56"/>
      <c r="AQH9" s="56"/>
      <c r="AQI9" s="56"/>
      <c r="AQP9" s="56"/>
      <c r="AQQ9" s="56"/>
      <c r="AQX9" s="56"/>
      <c r="AQY9" s="56"/>
      <c r="ARF9" s="56"/>
      <c r="ARG9" s="56"/>
      <c r="ARN9" s="56"/>
      <c r="ARO9" s="56"/>
      <c r="ARV9" s="56"/>
      <c r="ARW9" s="56"/>
      <c r="ASD9" s="56"/>
      <c r="ASE9" s="56"/>
      <c r="ASL9" s="56"/>
      <c r="ASM9" s="56"/>
      <c r="AST9" s="56"/>
      <c r="ASU9" s="56"/>
      <c r="ATB9" s="56"/>
      <c r="ATC9" s="56"/>
      <c r="ATJ9" s="56"/>
      <c r="ATK9" s="56"/>
      <c r="ATR9" s="56"/>
      <c r="ATS9" s="56"/>
      <c r="ATZ9" s="56"/>
      <c r="AUA9" s="56"/>
      <c r="AUH9" s="56"/>
      <c r="AUI9" s="56"/>
      <c r="AUP9" s="56"/>
      <c r="AUQ9" s="56"/>
      <c r="AUX9" s="56"/>
      <c r="AUY9" s="56"/>
      <c r="AVF9" s="56"/>
      <c r="AVG9" s="56"/>
      <c r="AVN9" s="56"/>
      <c r="AVO9" s="56"/>
      <c r="AVV9" s="56"/>
      <c r="AVW9" s="56"/>
      <c r="AWD9" s="56"/>
      <c r="AWE9" s="56"/>
      <c r="AWL9" s="56"/>
      <c r="AWM9" s="56"/>
      <c r="AWT9" s="56"/>
      <c r="AWU9" s="56"/>
      <c r="AXB9" s="56"/>
      <c r="AXC9" s="56"/>
      <c r="AXJ9" s="56"/>
      <c r="AXK9" s="56"/>
      <c r="AXR9" s="56"/>
      <c r="AXS9" s="56"/>
      <c r="AXZ9" s="56"/>
      <c r="AYA9" s="56"/>
      <c r="AYH9" s="56"/>
      <c r="AYI9" s="56"/>
      <c r="AYP9" s="56"/>
      <c r="AYQ9" s="56"/>
      <c r="AYX9" s="56"/>
      <c r="AYY9" s="56"/>
      <c r="AZF9" s="56"/>
      <c r="AZG9" s="56"/>
      <c r="AZN9" s="56"/>
      <c r="AZO9" s="56"/>
      <c r="AZV9" s="56"/>
      <c r="AZW9" s="56"/>
      <c r="BAD9" s="56"/>
      <c r="BAE9" s="56"/>
      <c r="BAL9" s="56"/>
      <c r="BAM9" s="56"/>
      <c r="BAT9" s="56"/>
      <c r="BAU9" s="56"/>
      <c r="BBB9" s="56"/>
      <c r="BBC9" s="56"/>
      <c r="BBJ9" s="56"/>
      <c r="BBK9" s="56"/>
      <c r="BBR9" s="56"/>
      <c r="BBS9" s="56"/>
      <c r="BBZ9" s="56"/>
      <c r="BCA9" s="56"/>
      <c r="BCH9" s="56"/>
      <c r="BCI9" s="56"/>
      <c r="BCP9" s="56"/>
      <c r="BCQ9" s="56"/>
      <c r="BCX9" s="56"/>
      <c r="BCY9" s="56"/>
      <c r="BDF9" s="56"/>
      <c r="BDG9" s="56"/>
      <c r="BDN9" s="56"/>
      <c r="BDO9" s="56"/>
      <c r="BDV9" s="56"/>
      <c r="BDW9" s="56"/>
      <c r="BED9" s="56"/>
      <c r="BEE9" s="56"/>
      <c r="BEL9" s="56"/>
      <c r="BEM9" s="56"/>
      <c r="BET9" s="56"/>
      <c r="BEU9" s="56"/>
      <c r="BFB9" s="56"/>
      <c r="BFC9" s="56"/>
      <c r="BFJ9" s="56"/>
      <c r="BFK9" s="56"/>
      <c r="BFR9" s="56"/>
      <c r="BFS9" s="56"/>
      <c r="BFZ9" s="56"/>
      <c r="BGA9" s="56"/>
      <c r="BGH9" s="56"/>
      <c r="BGI9" s="56"/>
      <c r="BGP9" s="56"/>
      <c r="BGQ9" s="56"/>
      <c r="BGX9" s="56"/>
      <c r="BGY9" s="56"/>
      <c r="BHF9" s="56"/>
      <c r="BHG9" s="56"/>
      <c r="BHN9" s="56"/>
      <c r="BHO9" s="56"/>
      <c r="BHV9" s="56"/>
      <c r="BHW9" s="56"/>
      <c r="BID9" s="56"/>
      <c r="BIE9" s="56"/>
      <c r="BIL9" s="56"/>
      <c r="BIM9" s="56"/>
      <c r="BIT9" s="56"/>
      <c r="BIU9" s="56"/>
      <c r="BJB9" s="56"/>
      <c r="BJC9" s="56"/>
      <c r="BJJ9" s="56"/>
      <c r="BJK9" s="56"/>
      <c r="BJR9" s="56"/>
      <c r="BJS9" s="56"/>
      <c r="BJZ9" s="56"/>
      <c r="BKA9" s="56"/>
      <c r="BKH9" s="56"/>
      <c r="BKI9" s="56"/>
      <c r="BKP9" s="56"/>
      <c r="BKQ9" s="56"/>
      <c r="BKX9" s="56"/>
      <c r="BKY9" s="56"/>
      <c r="BLF9" s="56"/>
      <c r="BLG9" s="56"/>
      <c r="BLN9" s="56"/>
      <c r="BLO9" s="56"/>
      <c r="BLV9" s="56"/>
      <c r="BLW9" s="56"/>
      <c r="BMD9" s="56"/>
      <c r="BME9" s="56"/>
      <c r="BML9" s="56"/>
      <c r="BMM9" s="56"/>
      <c r="BMT9" s="56"/>
      <c r="BMU9" s="56"/>
      <c r="BNB9" s="56"/>
      <c r="BNC9" s="56"/>
      <c r="BNJ9" s="56"/>
      <c r="BNK9" s="56"/>
      <c r="BNR9" s="56"/>
      <c r="BNS9" s="56"/>
      <c r="BNZ9" s="56"/>
      <c r="BOA9" s="56"/>
      <c r="BOH9" s="56"/>
      <c r="BOI9" s="56"/>
      <c r="BOP9" s="56"/>
      <c r="BOQ9" s="56"/>
      <c r="BOX9" s="56"/>
      <c r="BOY9" s="56"/>
      <c r="BPF9" s="56"/>
      <c r="BPG9" s="56"/>
      <c r="BPN9" s="56"/>
      <c r="BPO9" s="56"/>
      <c r="BPV9" s="56"/>
      <c r="BPW9" s="56"/>
      <c r="BQD9" s="56"/>
      <c r="BQE9" s="56"/>
      <c r="BQL9" s="56"/>
      <c r="BQM9" s="56"/>
      <c r="BQT9" s="56"/>
      <c r="BQU9" s="56"/>
      <c r="BRB9" s="56"/>
      <c r="BRC9" s="56"/>
      <c r="BRJ9" s="56"/>
      <c r="BRK9" s="56"/>
      <c r="BRR9" s="56"/>
      <c r="BRS9" s="56"/>
      <c r="BRZ9" s="56"/>
      <c r="BSA9" s="56"/>
      <c r="BSH9" s="56"/>
      <c r="BSI9" s="56"/>
      <c r="BSP9" s="56"/>
      <c r="BSQ9" s="56"/>
      <c r="BSX9" s="56"/>
      <c r="BSY9" s="56"/>
      <c r="BTF9" s="56"/>
      <c r="BTG9" s="56"/>
      <c r="BTN9" s="56"/>
      <c r="BTO9" s="56"/>
      <c r="BTV9" s="56"/>
      <c r="BTW9" s="56"/>
      <c r="BUD9" s="56"/>
      <c r="BUE9" s="56"/>
      <c r="BUL9" s="56"/>
      <c r="BUM9" s="56"/>
      <c r="BUT9" s="56"/>
      <c r="BUU9" s="56"/>
      <c r="BVB9" s="56"/>
      <c r="BVC9" s="56"/>
      <c r="BVJ9" s="56"/>
      <c r="BVK9" s="56"/>
      <c r="BVR9" s="56"/>
      <c r="BVS9" s="56"/>
      <c r="BVZ9" s="56"/>
      <c r="BWA9" s="56"/>
      <c r="BWH9" s="56"/>
      <c r="BWI9" s="56"/>
      <c r="BWP9" s="56"/>
      <c r="BWQ9" s="56"/>
      <c r="BWX9" s="56"/>
      <c r="BWY9" s="56"/>
      <c r="BXF9" s="56"/>
      <c r="BXG9" s="56"/>
      <c r="BXN9" s="56"/>
      <c r="BXO9" s="56"/>
      <c r="BXV9" s="56"/>
      <c r="BXW9" s="56"/>
      <c r="BYD9" s="56"/>
      <c r="BYE9" s="56"/>
      <c r="BYL9" s="56"/>
      <c r="BYM9" s="56"/>
      <c r="BYT9" s="56"/>
      <c r="BYU9" s="56"/>
      <c r="BZB9" s="56"/>
      <c r="BZC9" s="56"/>
      <c r="BZJ9" s="56"/>
      <c r="BZK9" s="56"/>
      <c r="BZR9" s="56"/>
      <c r="BZS9" s="56"/>
      <c r="BZZ9" s="56"/>
      <c r="CAA9" s="56"/>
      <c r="CAH9" s="56"/>
      <c r="CAI9" s="56"/>
      <c r="CAP9" s="56"/>
      <c r="CAQ9" s="56"/>
      <c r="CAX9" s="56"/>
      <c r="CAY9" s="56"/>
      <c r="CBF9" s="56"/>
      <c r="CBG9" s="56"/>
      <c r="CBN9" s="56"/>
      <c r="CBO9" s="56"/>
      <c r="CBV9" s="56"/>
      <c r="CBW9" s="56"/>
      <c r="CCD9" s="56"/>
      <c r="CCE9" s="56"/>
      <c r="CCL9" s="56"/>
      <c r="CCM9" s="56"/>
      <c r="CCT9" s="56"/>
      <c r="CCU9" s="56"/>
      <c r="CDB9" s="56"/>
      <c r="CDC9" s="56"/>
      <c r="CDJ9" s="56"/>
      <c r="CDK9" s="56"/>
      <c r="CDR9" s="56"/>
      <c r="CDS9" s="56"/>
      <c r="CDZ9" s="56"/>
      <c r="CEA9" s="56"/>
      <c r="CEH9" s="56"/>
      <c r="CEI9" s="56"/>
      <c r="CEP9" s="56"/>
      <c r="CEQ9" s="56"/>
      <c r="CEX9" s="56"/>
      <c r="CEY9" s="56"/>
      <c r="CFF9" s="56"/>
      <c r="CFG9" s="56"/>
      <c r="CFN9" s="56"/>
      <c r="CFO9" s="56"/>
      <c r="CFV9" s="56"/>
      <c r="CFW9" s="56"/>
      <c r="CGD9" s="56"/>
      <c r="CGE9" s="56"/>
      <c r="CGL9" s="56"/>
      <c r="CGM9" s="56"/>
      <c r="CGT9" s="56"/>
      <c r="CGU9" s="56"/>
      <c r="CHB9" s="56"/>
      <c r="CHC9" s="56"/>
      <c r="CHJ9" s="56"/>
      <c r="CHK9" s="56"/>
      <c r="CHR9" s="56"/>
      <c r="CHS9" s="56"/>
      <c r="CHZ9" s="56"/>
      <c r="CIA9" s="56"/>
      <c r="CIH9" s="56"/>
      <c r="CII9" s="56"/>
      <c r="CIP9" s="56"/>
      <c r="CIQ9" s="56"/>
      <c r="CIX9" s="56"/>
      <c r="CIY9" s="56"/>
      <c r="CJF9" s="56"/>
      <c r="CJG9" s="56"/>
      <c r="CJN9" s="56"/>
      <c r="CJO9" s="56"/>
      <c r="CJV9" s="56"/>
      <c r="CJW9" s="56"/>
      <c r="CKD9" s="56"/>
      <c r="CKE9" s="56"/>
      <c r="CKL9" s="56"/>
      <c r="CKM9" s="56"/>
      <c r="CKT9" s="56"/>
      <c r="CKU9" s="56"/>
      <c r="CLB9" s="56"/>
      <c r="CLC9" s="56"/>
      <c r="CLJ9" s="56"/>
      <c r="CLK9" s="56"/>
      <c r="CLR9" s="56"/>
      <c r="CLS9" s="56"/>
      <c r="CLZ9" s="56"/>
      <c r="CMA9" s="56"/>
      <c r="CMH9" s="56"/>
      <c r="CMI9" s="56"/>
      <c r="CMP9" s="56"/>
      <c r="CMQ9" s="56"/>
      <c r="CMX9" s="56"/>
      <c r="CMY9" s="56"/>
      <c r="CNF9" s="56"/>
      <c r="CNG9" s="56"/>
      <c r="CNN9" s="56"/>
      <c r="CNO9" s="56"/>
      <c r="CNV9" s="56"/>
      <c r="CNW9" s="56"/>
      <c r="COD9" s="56"/>
      <c r="COE9" s="56"/>
      <c r="COL9" s="56"/>
      <c r="COM9" s="56"/>
      <c r="COT9" s="56"/>
      <c r="COU9" s="56"/>
      <c r="CPB9" s="56"/>
      <c r="CPC9" s="56"/>
      <c r="CPJ9" s="56"/>
      <c r="CPK9" s="56"/>
      <c r="CPR9" s="56"/>
      <c r="CPS9" s="56"/>
      <c r="CPZ9" s="56"/>
      <c r="CQA9" s="56"/>
      <c r="CQH9" s="56"/>
      <c r="CQI9" s="56"/>
      <c r="CQP9" s="56"/>
      <c r="CQQ9" s="56"/>
      <c r="CQX9" s="56"/>
      <c r="CQY9" s="56"/>
      <c r="CRF9" s="56"/>
      <c r="CRG9" s="56"/>
      <c r="CRN9" s="56"/>
      <c r="CRO9" s="56"/>
      <c r="CRV9" s="56"/>
      <c r="CRW9" s="56"/>
      <c r="CSD9" s="56"/>
      <c r="CSE9" s="56"/>
      <c r="CSL9" s="56"/>
      <c r="CSM9" s="56"/>
      <c r="CST9" s="56"/>
      <c r="CSU9" s="56"/>
      <c r="CTB9" s="56"/>
      <c r="CTC9" s="56"/>
      <c r="CTJ9" s="56"/>
      <c r="CTK9" s="56"/>
      <c r="CTR9" s="56"/>
      <c r="CTS9" s="56"/>
      <c r="CTZ9" s="56"/>
      <c r="CUA9" s="56"/>
      <c r="CUH9" s="56"/>
      <c r="CUI9" s="56"/>
      <c r="CUP9" s="56"/>
      <c r="CUQ9" s="56"/>
      <c r="CUX9" s="56"/>
      <c r="CUY9" s="56"/>
      <c r="CVF9" s="56"/>
      <c r="CVG9" s="56"/>
      <c r="CVN9" s="56"/>
      <c r="CVO9" s="56"/>
      <c r="CVV9" s="56"/>
      <c r="CVW9" s="56"/>
      <c r="CWD9" s="56"/>
      <c r="CWE9" s="56"/>
      <c r="CWL9" s="56"/>
      <c r="CWM9" s="56"/>
      <c r="CWT9" s="56"/>
      <c r="CWU9" s="56"/>
      <c r="CXB9" s="56"/>
      <c r="CXC9" s="56"/>
      <c r="CXJ9" s="56"/>
      <c r="CXK9" s="56"/>
      <c r="CXR9" s="56"/>
      <c r="CXS9" s="56"/>
      <c r="CXZ9" s="56"/>
      <c r="CYA9" s="56"/>
      <c r="CYH9" s="56"/>
      <c r="CYI9" s="56"/>
      <c r="CYP9" s="56"/>
      <c r="CYQ9" s="56"/>
      <c r="CYX9" s="56"/>
      <c r="CYY9" s="56"/>
      <c r="CZF9" s="56"/>
      <c r="CZG9" s="56"/>
      <c r="CZN9" s="56"/>
      <c r="CZO9" s="56"/>
      <c r="CZV9" s="56"/>
      <c r="CZW9" s="56"/>
      <c r="DAD9" s="56"/>
      <c r="DAE9" s="56"/>
      <c r="DAL9" s="56"/>
      <c r="DAM9" s="56"/>
      <c r="DAT9" s="56"/>
      <c r="DAU9" s="56"/>
      <c r="DBB9" s="56"/>
      <c r="DBC9" s="56"/>
      <c r="DBJ9" s="56"/>
      <c r="DBK9" s="56"/>
      <c r="DBR9" s="56"/>
      <c r="DBS9" s="56"/>
      <c r="DBZ9" s="56"/>
      <c r="DCA9" s="56"/>
      <c r="DCH9" s="56"/>
      <c r="DCI9" s="56"/>
      <c r="DCP9" s="56"/>
      <c r="DCQ9" s="56"/>
      <c r="DCX9" s="56"/>
      <c r="DCY9" s="56"/>
      <c r="DDF9" s="56"/>
      <c r="DDG9" s="56"/>
      <c r="DDN9" s="56"/>
      <c r="DDO9" s="56"/>
      <c r="DDV9" s="56"/>
      <c r="DDW9" s="56"/>
      <c r="DED9" s="56"/>
      <c r="DEE9" s="56"/>
      <c r="DEL9" s="56"/>
      <c r="DEM9" s="56"/>
      <c r="DET9" s="56"/>
      <c r="DEU9" s="56"/>
      <c r="DFB9" s="56"/>
      <c r="DFC9" s="56"/>
      <c r="DFJ9" s="56"/>
      <c r="DFK9" s="56"/>
      <c r="DFR9" s="56"/>
      <c r="DFS9" s="56"/>
      <c r="DFZ9" s="56"/>
      <c r="DGA9" s="56"/>
      <c r="DGH9" s="56"/>
      <c r="DGI9" s="56"/>
      <c r="DGP9" s="56"/>
      <c r="DGQ9" s="56"/>
      <c r="DGX9" s="56"/>
      <c r="DGY9" s="56"/>
      <c r="DHF9" s="56"/>
      <c r="DHG9" s="56"/>
      <c r="DHN9" s="56"/>
      <c r="DHO9" s="56"/>
      <c r="DHV9" s="56"/>
      <c r="DHW9" s="56"/>
      <c r="DID9" s="56"/>
      <c r="DIE9" s="56"/>
      <c r="DIL9" s="56"/>
      <c r="DIM9" s="56"/>
      <c r="DIT9" s="56"/>
      <c r="DIU9" s="56"/>
      <c r="DJB9" s="56"/>
      <c r="DJC9" s="56"/>
      <c r="DJJ9" s="56"/>
      <c r="DJK9" s="56"/>
      <c r="DJR9" s="56"/>
      <c r="DJS9" s="56"/>
      <c r="DJZ9" s="56"/>
      <c r="DKA9" s="56"/>
      <c r="DKH9" s="56"/>
      <c r="DKI9" s="56"/>
      <c r="DKP9" s="56"/>
      <c r="DKQ9" s="56"/>
      <c r="DKX9" s="56"/>
      <c r="DKY9" s="56"/>
      <c r="DLF9" s="56"/>
      <c r="DLG9" s="56"/>
      <c r="DLN9" s="56"/>
      <c r="DLO9" s="56"/>
      <c r="DLV9" s="56"/>
      <c r="DLW9" s="56"/>
      <c r="DMD9" s="56"/>
      <c r="DME9" s="56"/>
      <c r="DML9" s="56"/>
      <c r="DMM9" s="56"/>
      <c r="DMT9" s="56"/>
      <c r="DMU9" s="56"/>
      <c r="DNB9" s="56"/>
      <c r="DNC9" s="56"/>
      <c r="DNJ9" s="56"/>
      <c r="DNK9" s="56"/>
      <c r="DNR9" s="56"/>
      <c r="DNS9" s="56"/>
      <c r="DNZ9" s="56"/>
      <c r="DOA9" s="56"/>
      <c r="DOH9" s="56"/>
      <c r="DOI9" s="56"/>
      <c r="DOP9" s="56"/>
      <c r="DOQ9" s="56"/>
      <c r="DOX9" s="56"/>
      <c r="DOY9" s="56"/>
      <c r="DPF9" s="56"/>
      <c r="DPG9" s="56"/>
      <c r="DPN9" s="56"/>
      <c r="DPO9" s="56"/>
      <c r="DPV9" s="56"/>
      <c r="DPW9" s="56"/>
      <c r="DQD9" s="56"/>
      <c r="DQE9" s="56"/>
      <c r="DQL9" s="56"/>
      <c r="DQM9" s="56"/>
      <c r="DQT9" s="56"/>
      <c r="DQU9" s="56"/>
      <c r="DRB9" s="56"/>
      <c r="DRC9" s="56"/>
      <c r="DRJ9" s="56"/>
      <c r="DRK9" s="56"/>
      <c r="DRR9" s="56"/>
      <c r="DRS9" s="56"/>
      <c r="DRZ9" s="56"/>
      <c r="DSA9" s="56"/>
      <c r="DSH9" s="56"/>
      <c r="DSI9" s="56"/>
      <c r="DSP9" s="56"/>
      <c r="DSQ9" s="56"/>
      <c r="DSX9" s="56"/>
      <c r="DSY9" s="56"/>
      <c r="DTF9" s="56"/>
      <c r="DTG9" s="56"/>
      <c r="DTN9" s="56"/>
      <c r="DTO9" s="56"/>
      <c r="DTV9" s="56"/>
      <c r="DTW9" s="56"/>
      <c r="DUD9" s="56"/>
      <c r="DUE9" s="56"/>
      <c r="DUL9" s="56"/>
      <c r="DUM9" s="56"/>
      <c r="DUT9" s="56"/>
      <c r="DUU9" s="56"/>
      <c r="DVB9" s="56"/>
      <c r="DVC9" s="56"/>
      <c r="DVJ9" s="56"/>
      <c r="DVK9" s="56"/>
      <c r="DVR9" s="56"/>
      <c r="DVS9" s="56"/>
      <c r="DVZ9" s="56"/>
      <c r="DWA9" s="56"/>
      <c r="DWH9" s="56"/>
      <c r="DWI9" s="56"/>
      <c r="DWP9" s="56"/>
      <c r="DWQ9" s="56"/>
      <c r="DWX9" s="56"/>
      <c r="DWY9" s="56"/>
      <c r="DXF9" s="56"/>
      <c r="DXG9" s="56"/>
      <c r="DXN9" s="56"/>
      <c r="DXO9" s="56"/>
      <c r="DXV9" s="56"/>
      <c r="DXW9" s="56"/>
      <c r="DYD9" s="56"/>
      <c r="DYE9" s="56"/>
      <c r="DYL9" s="56"/>
      <c r="DYM9" s="56"/>
      <c r="DYT9" s="56"/>
      <c r="DYU9" s="56"/>
      <c r="DZB9" s="56"/>
      <c r="DZC9" s="56"/>
      <c r="DZJ9" s="56"/>
      <c r="DZK9" s="56"/>
      <c r="DZR9" s="56"/>
      <c r="DZS9" s="56"/>
      <c r="DZZ9" s="56"/>
      <c r="EAA9" s="56"/>
      <c r="EAH9" s="56"/>
      <c r="EAI9" s="56"/>
      <c r="EAP9" s="56"/>
      <c r="EAQ9" s="56"/>
      <c r="EAX9" s="56"/>
      <c r="EAY9" s="56"/>
      <c r="EBF9" s="56"/>
      <c r="EBG9" s="56"/>
      <c r="EBN9" s="56"/>
      <c r="EBO9" s="56"/>
      <c r="EBV9" s="56"/>
      <c r="EBW9" s="56"/>
      <c r="ECD9" s="56"/>
      <c r="ECE9" s="56"/>
      <c r="ECL9" s="56"/>
      <c r="ECM9" s="56"/>
      <c r="ECT9" s="56"/>
      <c r="ECU9" s="56"/>
      <c r="EDB9" s="56"/>
      <c r="EDC9" s="56"/>
      <c r="EDJ9" s="56"/>
      <c r="EDK9" s="56"/>
      <c r="EDR9" s="56"/>
      <c r="EDS9" s="56"/>
      <c r="EDZ9" s="56"/>
      <c r="EEA9" s="56"/>
      <c r="EEH9" s="56"/>
      <c r="EEI9" s="56"/>
      <c r="EEP9" s="56"/>
      <c r="EEQ9" s="56"/>
      <c r="EEX9" s="56"/>
      <c r="EEY9" s="56"/>
      <c r="EFF9" s="56"/>
      <c r="EFG9" s="56"/>
      <c r="EFN9" s="56"/>
      <c r="EFO9" s="56"/>
      <c r="EFV9" s="56"/>
      <c r="EFW9" s="56"/>
      <c r="EGD9" s="56"/>
      <c r="EGE9" s="56"/>
      <c r="EGL9" s="56"/>
      <c r="EGM9" s="56"/>
      <c r="EGT9" s="56"/>
      <c r="EGU9" s="56"/>
      <c r="EHB9" s="56"/>
      <c r="EHC9" s="56"/>
      <c r="EHJ9" s="56"/>
      <c r="EHK9" s="56"/>
      <c r="EHR9" s="56"/>
      <c r="EHS9" s="56"/>
      <c r="EHZ9" s="56"/>
      <c r="EIA9" s="56"/>
      <c r="EIH9" s="56"/>
      <c r="EII9" s="56"/>
      <c r="EIP9" s="56"/>
      <c r="EIQ9" s="56"/>
      <c r="EIX9" s="56"/>
      <c r="EIY9" s="56"/>
      <c r="EJF9" s="56"/>
      <c r="EJG9" s="56"/>
      <c r="EJN9" s="56"/>
      <c r="EJO9" s="56"/>
      <c r="EJV9" s="56"/>
      <c r="EJW9" s="56"/>
      <c r="EKD9" s="56"/>
      <c r="EKE9" s="56"/>
      <c r="EKL9" s="56"/>
      <c r="EKM9" s="56"/>
      <c r="EKT9" s="56"/>
      <c r="EKU9" s="56"/>
      <c r="ELB9" s="56"/>
      <c r="ELC9" s="56"/>
      <c r="ELJ9" s="56"/>
      <c r="ELK9" s="56"/>
      <c r="ELR9" s="56"/>
      <c r="ELS9" s="56"/>
      <c r="ELZ9" s="56"/>
      <c r="EMA9" s="56"/>
      <c r="EMH9" s="56"/>
      <c r="EMI9" s="56"/>
      <c r="EMP9" s="56"/>
      <c r="EMQ9" s="56"/>
      <c r="EMX9" s="56"/>
      <c r="EMY9" s="56"/>
      <c r="ENF9" s="56"/>
      <c r="ENG9" s="56"/>
      <c r="ENN9" s="56"/>
      <c r="ENO9" s="56"/>
      <c r="ENV9" s="56"/>
      <c r="ENW9" s="56"/>
      <c r="EOD9" s="56"/>
      <c r="EOE9" s="56"/>
      <c r="EOL9" s="56"/>
      <c r="EOM9" s="56"/>
      <c r="EOT9" s="56"/>
      <c r="EOU9" s="56"/>
      <c r="EPB9" s="56"/>
      <c r="EPC9" s="56"/>
      <c r="EPJ9" s="56"/>
      <c r="EPK9" s="56"/>
      <c r="EPR9" s="56"/>
      <c r="EPS9" s="56"/>
      <c r="EPZ9" s="56"/>
      <c r="EQA9" s="56"/>
      <c r="EQH9" s="56"/>
      <c r="EQI9" s="56"/>
      <c r="EQP9" s="56"/>
      <c r="EQQ9" s="56"/>
      <c r="EQX9" s="56"/>
      <c r="EQY9" s="56"/>
      <c r="ERF9" s="56"/>
      <c r="ERG9" s="56"/>
      <c r="ERN9" s="56"/>
      <c r="ERO9" s="56"/>
      <c r="ERV9" s="56"/>
      <c r="ERW9" s="56"/>
      <c r="ESD9" s="56"/>
      <c r="ESE9" s="56"/>
      <c r="ESL9" s="56"/>
      <c r="ESM9" s="56"/>
      <c r="EST9" s="56"/>
      <c r="ESU9" s="56"/>
      <c r="ETB9" s="56"/>
      <c r="ETC9" s="56"/>
      <c r="ETJ9" s="56"/>
      <c r="ETK9" s="56"/>
      <c r="ETR9" s="56"/>
      <c r="ETS9" s="56"/>
      <c r="ETZ9" s="56"/>
      <c r="EUA9" s="56"/>
      <c r="EUH9" s="56"/>
      <c r="EUI9" s="56"/>
      <c r="EUP9" s="56"/>
      <c r="EUQ9" s="56"/>
      <c r="EUX9" s="56"/>
      <c r="EUY9" s="56"/>
      <c r="EVF9" s="56"/>
      <c r="EVG9" s="56"/>
      <c r="EVN9" s="56"/>
      <c r="EVO9" s="56"/>
      <c r="EVV9" s="56"/>
      <c r="EVW9" s="56"/>
      <c r="EWD9" s="56"/>
      <c r="EWE9" s="56"/>
      <c r="EWL9" s="56"/>
      <c r="EWM9" s="56"/>
      <c r="EWT9" s="56"/>
      <c r="EWU9" s="56"/>
      <c r="EXB9" s="56"/>
      <c r="EXC9" s="56"/>
      <c r="EXJ9" s="56"/>
      <c r="EXK9" s="56"/>
      <c r="EXR9" s="56"/>
      <c r="EXS9" s="56"/>
      <c r="EXZ9" s="56"/>
      <c r="EYA9" s="56"/>
      <c r="EYH9" s="56"/>
      <c r="EYI9" s="56"/>
      <c r="EYP9" s="56"/>
      <c r="EYQ9" s="56"/>
      <c r="EYX9" s="56"/>
      <c r="EYY9" s="56"/>
      <c r="EZF9" s="56"/>
      <c r="EZG9" s="56"/>
      <c r="EZN9" s="56"/>
      <c r="EZO9" s="56"/>
      <c r="EZV9" s="56"/>
      <c r="EZW9" s="56"/>
      <c r="FAD9" s="56"/>
      <c r="FAE9" s="56"/>
      <c r="FAL9" s="56"/>
      <c r="FAM9" s="56"/>
      <c r="FAT9" s="56"/>
      <c r="FAU9" s="56"/>
      <c r="FBB9" s="56"/>
      <c r="FBC9" s="56"/>
      <c r="FBJ9" s="56"/>
      <c r="FBK9" s="56"/>
      <c r="FBR9" s="56"/>
      <c r="FBS9" s="56"/>
      <c r="FBZ9" s="56"/>
      <c r="FCA9" s="56"/>
      <c r="FCH9" s="56"/>
      <c r="FCI9" s="56"/>
      <c r="FCP9" s="56"/>
      <c r="FCQ9" s="56"/>
      <c r="FCX9" s="56"/>
      <c r="FCY9" s="56"/>
      <c r="FDF9" s="56"/>
      <c r="FDG9" s="56"/>
      <c r="FDN9" s="56"/>
      <c r="FDO9" s="56"/>
      <c r="FDV9" s="56"/>
      <c r="FDW9" s="56"/>
      <c r="FED9" s="56"/>
      <c r="FEE9" s="56"/>
      <c r="FEL9" s="56"/>
      <c r="FEM9" s="56"/>
      <c r="FET9" s="56"/>
      <c r="FEU9" s="56"/>
      <c r="FFB9" s="56"/>
      <c r="FFC9" s="56"/>
      <c r="FFJ9" s="56"/>
      <c r="FFK9" s="56"/>
      <c r="FFR9" s="56"/>
      <c r="FFS9" s="56"/>
      <c r="FFZ9" s="56"/>
      <c r="FGA9" s="56"/>
      <c r="FGH9" s="56"/>
      <c r="FGI9" s="56"/>
      <c r="FGP9" s="56"/>
      <c r="FGQ9" s="56"/>
      <c r="FGX9" s="56"/>
      <c r="FGY9" s="56"/>
      <c r="FHF9" s="56"/>
      <c r="FHG9" s="56"/>
      <c r="FHN9" s="56"/>
      <c r="FHO9" s="56"/>
      <c r="FHV9" s="56"/>
      <c r="FHW9" s="56"/>
      <c r="FID9" s="56"/>
      <c r="FIE9" s="56"/>
      <c r="FIL9" s="56"/>
      <c r="FIM9" s="56"/>
      <c r="FIT9" s="56"/>
      <c r="FIU9" s="56"/>
      <c r="FJB9" s="56"/>
      <c r="FJC9" s="56"/>
      <c r="FJJ9" s="56"/>
      <c r="FJK9" s="56"/>
      <c r="FJR9" s="56"/>
      <c r="FJS9" s="56"/>
      <c r="FJZ9" s="56"/>
      <c r="FKA9" s="56"/>
      <c r="FKH9" s="56"/>
      <c r="FKI9" s="56"/>
      <c r="FKP9" s="56"/>
      <c r="FKQ9" s="56"/>
      <c r="FKX9" s="56"/>
      <c r="FKY9" s="56"/>
      <c r="FLF9" s="56"/>
      <c r="FLG9" s="56"/>
      <c r="FLN9" s="56"/>
      <c r="FLO9" s="56"/>
      <c r="FLV9" s="56"/>
      <c r="FLW9" s="56"/>
      <c r="FMD9" s="56"/>
      <c r="FME9" s="56"/>
      <c r="FML9" s="56"/>
      <c r="FMM9" s="56"/>
      <c r="FMT9" s="56"/>
      <c r="FMU9" s="56"/>
      <c r="FNB9" s="56"/>
      <c r="FNC9" s="56"/>
      <c r="FNJ9" s="56"/>
      <c r="FNK9" s="56"/>
      <c r="FNR9" s="56"/>
      <c r="FNS9" s="56"/>
      <c r="FNZ9" s="56"/>
      <c r="FOA9" s="56"/>
      <c r="FOH9" s="56"/>
      <c r="FOI9" s="56"/>
      <c r="FOP9" s="56"/>
      <c r="FOQ9" s="56"/>
      <c r="FOX9" s="56"/>
      <c r="FOY9" s="56"/>
      <c r="FPF9" s="56"/>
      <c r="FPG9" s="56"/>
      <c r="FPN9" s="56"/>
      <c r="FPO9" s="56"/>
      <c r="FPV9" s="56"/>
      <c r="FPW9" s="56"/>
      <c r="FQD9" s="56"/>
      <c r="FQE9" s="56"/>
      <c r="FQL9" s="56"/>
      <c r="FQM9" s="56"/>
      <c r="FQT9" s="56"/>
      <c r="FQU9" s="56"/>
      <c r="FRB9" s="56"/>
      <c r="FRC9" s="56"/>
      <c r="FRJ9" s="56"/>
      <c r="FRK9" s="56"/>
      <c r="FRR9" s="56"/>
      <c r="FRS9" s="56"/>
      <c r="FRZ9" s="56"/>
      <c r="FSA9" s="56"/>
      <c r="FSH9" s="56"/>
      <c r="FSI9" s="56"/>
      <c r="FSP9" s="56"/>
      <c r="FSQ9" s="56"/>
      <c r="FSX9" s="56"/>
      <c r="FSY9" s="56"/>
      <c r="FTF9" s="56"/>
      <c r="FTG9" s="56"/>
      <c r="FTN9" s="56"/>
      <c r="FTO9" s="56"/>
      <c r="FTV9" s="56"/>
      <c r="FTW9" s="56"/>
      <c r="FUD9" s="56"/>
      <c r="FUE9" s="56"/>
      <c r="FUL9" s="56"/>
      <c r="FUM9" s="56"/>
      <c r="FUT9" s="56"/>
      <c r="FUU9" s="56"/>
      <c r="FVB9" s="56"/>
      <c r="FVC9" s="56"/>
      <c r="FVJ9" s="56"/>
      <c r="FVK9" s="56"/>
      <c r="FVR9" s="56"/>
      <c r="FVS9" s="56"/>
      <c r="FVZ9" s="56"/>
      <c r="FWA9" s="56"/>
      <c r="FWH9" s="56"/>
      <c r="FWI9" s="56"/>
      <c r="FWP9" s="56"/>
      <c r="FWQ9" s="56"/>
      <c r="FWX9" s="56"/>
      <c r="FWY9" s="56"/>
      <c r="FXF9" s="56"/>
      <c r="FXG9" s="56"/>
      <c r="FXN9" s="56"/>
      <c r="FXO9" s="56"/>
      <c r="FXV9" s="56"/>
      <c r="FXW9" s="56"/>
      <c r="FYD9" s="56"/>
      <c r="FYE9" s="56"/>
      <c r="FYL9" s="56"/>
      <c r="FYM9" s="56"/>
      <c r="FYT9" s="56"/>
      <c r="FYU9" s="56"/>
      <c r="FZB9" s="56"/>
      <c r="FZC9" s="56"/>
      <c r="FZJ9" s="56"/>
      <c r="FZK9" s="56"/>
      <c r="FZR9" s="56"/>
      <c r="FZS9" s="56"/>
      <c r="FZZ9" s="56"/>
      <c r="GAA9" s="56"/>
      <c r="GAH9" s="56"/>
      <c r="GAI9" s="56"/>
      <c r="GAP9" s="56"/>
      <c r="GAQ9" s="56"/>
      <c r="GAX9" s="56"/>
      <c r="GAY9" s="56"/>
      <c r="GBF9" s="56"/>
      <c r="GBG9" s="56"/>
      <c r="GBN9" s="56"/>
      <c r="GBO9" s="56"/>
      <c r="GBV9" s="56"/>
      <c r="GBW9" s="56"/>
      <c r="GCD9" s="56"/>
      <c r="GCE9" s="56"/>
      <c r="GCL9" s="56"/>
      <c r="GCM9" s="56"/>
      <c r="GCT9" s="56"/>
      <c r="GCU9" s="56"/>
      <c r="GDB9" s="56"/>
      <c r="GDC9" s="56"/>
      <c r="GDJ9" s="56"/>
      <c r="GDK9" s="56"/>
      <c r="GDR9" s="56"/>
      <c r="GDS9" s="56"/>
      <c r="GDZ9" s="56"/>
      <c r="GEA9" s="56"/>
      <c r="GEH9" s="56"/>
      <c r="GEI9" s="56"/>
      <c r="GEP9" s="56"/>
      <c r="GEQ9" s="56"/>
      <c r="GEX9" s="56"/>
      <c r="GEY9" s="56"/>
      <c r="GFF9" s="56"/>
      <c r="GFG9" s="56"/>
      <c r="GFN9" s="56"/>
      <c r="GFO9" s="56"/>
      <c r="GFV9" s="56"/>
      <c r="GFW9" s="56"/>
      <c r="GGD9" s="56"/>
      <c r="GGE9" s="56"/>
      <c r="GGL9" s="56"/>
      <c r="GGM9" s="56"/>
      <c r="GGT9" s="56"/>
      <c r="GGU9" s="56"/>
      <c r="GHB9" s="56"/>
      <c r="GHC9" s="56"/>
      <c r="GHJ9" s="56"/>
      <c r="GHK9" s="56"/>
      <c r="GHR9" s="56"/>
      <c r="GHS9" s="56"/>
      <c r="GHZ9" s="56"/>
      <c r="GIA9" s="56"/>
      <c r="GIH9" s="56"/>
      <c r="GII9" s="56"/>
      <c r="GIP9" s="56"/>
      <c r="GIQ9" s="56"/>
      <c r="GIX9" s="56"/>
      <c r="GIY9" s="56"/>
      <c r="GJF9" s="56"/>
      <c r="GJG9" s="56"/>
      <c r="GJN9" s="56"/>
      <c r="GJO9" s="56"/>
      <c r="GJV9" s="56"/>
      <c r="GJW9" s="56"/>
      <c r="GKD9" s="56"/>
      <c r="GKE9" s="56"/>
      <c r="GKL9" s="56"/>
      <c r="GKM9" s="56"/>
      <c r="GKT9" s="56"/>
      <c r="GKU9" s="56"/>
      <c r="GLB9" s="56"/>
      <c r="GLC9" s="56"/>
      <c r="GLJ9" s="56"/>
      <c r="GLK9" s="56"/>
      <c r="GLR9" s="56"/>
      <c r="GLS9" s="56"/>
      <c r="GLZ9" s="56"/>
      <c r="GMA9" s="56"/>
      <c r="GMH9" s="56"/>
      <c r="GMI9" s="56"/>
      <c r="GMP9" s="56"/>
      <c r="GMQ9" s="56"/>
      <c r="GMX9" s="56"/>
      <c r="GMY9" s="56"/>
      <c r="GNF9" s="56"/>
      <c r="GNG9" s="56"/>
      <c r="GNN9" s="56"/>
      <c r="GNO9" s="56"/>
      <c r="GNV9" s="56"/>
      <c r="GNW9" s="56"/>
      <c r="GOD9" s="56"/>
      <c r="GOE9" s="56"/>
      <c r="GOL9" s="56"/>
      <c r="GOM9" s="56"/>
      <c r="GOT9" s="56"/>
      <c r="GOU9" s="56"/>
      <c r="GPB9" s="56"/>
      <c r="GPC9" s="56"/>
      <c r="GPJ9" s="56"/>
      <c r="GPK9" s="56"/>
      <c r="GPR9" s="56"/>
      <c r="GPS9" s="56"/>
      <c r="GPZ9" s="56"/>
      <c r="GQA9" s="56"/>
      <c r="GQH9" s="56"/>
      <c r="GQI9" s="56"/>
      <c r="GQP9" s="56"/>
      <c r="GQQ9" s="56"/>
      <c r="GQX9" s="56"/>
      <c r="GQY9" s="56"/>
      <c r="GRF9" s="56"/>
      <c r="GRG9" s="56"/>
      <c r="GRN9" s="56"/>
      <c r="GRO9" s="56"/>
      <c r="GRV9" s="56"/>
      <c r="GRW9" s="56"/>
      <c r="GSD9" s="56"/>
      <c r="GSE9" s="56"/>
      <c r="GSL9" s="56"/>
      <c r="GSM9" s="56"/>
      <c r="GST9" s="56"/>
      <c r="GSU9" s="56"/>
      <c r="GTB9" s="56"/>
      <c r="GTC9" s="56"/>
      <c r="GTJ9" s="56"/>
      <c r="GTK9" s="56"/>
      <c r="GTR9" s="56"/>
      <c r="GTS9" s="56"/>
      <c r="GTZ9" s="56"/>
      <c r="GUA9" s="56"/>
      <c r="GUH9" s="56"/>
      <c r="GUI9" s="56"/>
      <c r="GUP9" s="56"/>
      <c r="GUQ9" s="56"/>
      <c r="GUX9" s="56"/>
      <c r="GUY9" s="56"/>
      <c r="GVF9" s="56"/>
      <c r="GVG9" s="56"/>
      <c r="GVN9" s="56"/>
      <c r="GVO9" s="56"/>
      <c r="GVV9" s="56"/>
      <c r="GVW9" s="56"/>
      <c r="GWD9" s="56"/>
      <c r="GWE9" s="56"/>
      <c r="GWL9" s="56"/>
      <c r="GWM9" s="56"/>
      <c r="GWT9" s="56"/>
      <c r="GWU9" s="56"/>
      <c r="GXB9" s="56"/>
      <c r="GXC9" s="56"/>
      <c r="GXJ9" s="56"/>
      <c r="GXK9" s="56"/>
      <c r="GXR9" s="56"/>
      <c r="GXS9" s="56"/>
      <c r="GXZ9" s="56"/>
      <c r="GYA9" s="56"/>
      <c r="GYH9" s="56"/>
      <c r="GYI9" s="56"/>
      <c r="GYP9" s="56"/>
      <c r="GYQ9" s="56"/>
      <c r="GYX9" s="56"/>
      <c r="GYY9" s="56"/>
      <c r="GZF9" s="56"/>
      <c r="GZG9" s="56"/>
      <c r="GZN9" s="56"/>
      <c r="GZO9" s="56"/>
      <c r="GZV9" s="56"/>
      <c r="GZW9" s="56"/>
      <c r="HAD9" s="56"/>
      <c r="HAE9" s="56"/>
      <c r="HAL9" s="56"/>
      <c r="HAM9" s="56"/>
      <c r="HAT9" s="56"/>
      <c r="HAU9" s="56"/>
      <c r="HBB9" s="56"/>
      <c r="HBC9" s="56"/>
      <c r="HBJ9" s="56"/>
      <c r="HBK9" s="56"/>
      <c r="HBR9" s="56"/>
      <c r="HBS9" s="56"/>
      <c r="HBZ9" s="56"/>
      <c r="HCA9" s="56"/>
      <c r="HCH9" s="56"/>
      <c r="HCI9" s="56"/>
      <c r="HCP9" s="56"/>
      <c r="HCQ9" s="56"/>
      <c r="HCX9" s="56"/>
      <c r="HCY9" s="56"/>
      <c r="HDF9" s="56"/>
      <c r="HDG9" s="56"/>
      <c r="HDN9" s="56"/>
      <c r="HDO9" s="56"/>
      <c r="HDV9" s="56"/>
      <c r="HDW9" s="56"/>
      <c r="HED9" s="56"/>
      <c r="HEE9" s="56"/>
      <c r="HEL9" s="56"/>
      <c r="HEM9" s="56"/>
      <c r="HET9" s="56"/>
      <c r="HEU9" s="56"/>
      <c r="HFB9" s="56"/>
      <c r="HFC9" s="56"/>
      <c r="HFJ9" s="56"/>
      <c r="HFK9" s="56"/>
      <c r="HFR9" s="56"/>
      <c r="HFS9" s="56"/>
      <c r="HFZ9" s="56"/>
      <c r="HGA9" s="56"/>
      <c r="HGH9" s="56"/>
      <c r="HGI9" s="56"/>
      <c r="HGP9" s="56"/>
      <c r="HGQ9" s="56"/>
      <c r="HGX9" s="56"/>
      <c r="HGY9" s="56"/>
      <c r="HHF9" s="56"/>
      <c r="HHG9" s="56"/>
      <c r="HHN9" s="56"/>
      <c r="HHO9" s="56"/>
      <c r="HHV9" s="56"/>
      <c r="HHW9" s="56"/>
      <c r="HID9" s="56"/>
      <c r="HIE9" s="56"/>
      <c r="HIL9" s="56"/>
      <c r="HIM9" s="56"/>
      <c r="HIT9" s="56"/>
      <c r="HIU9" s="56"/>
      <c r="HJB9" s="56"/>
      <c r="HJC9" s="56"/>
      <c r="HJJ9" s="56"/>
      <c r="HJK9" s="56"/>
      <c r="HJR9" s="56"/>
      <c r="HJS9" s="56"/>
      <c r="HJZ9" s="56"/>
      <c r="HKA9" s="56"/>
      <c r="HKH9" s="56"/>
      <c r="HKI9" s="56"/>
      <c r="HKP9" s="56"/>
      <c r="HKQ9" s="56"/>
      <c r="HKX9" s="56"/>
      <c r="HKY9" s="56"/>
      <c r="HLF9" s="56"/>
      <c r="HLG9" s="56"/>
      <c r="HLN9" s="56"/>
      <c r="HLO9" s="56"/>
      <c r="HLV9" s="56"/>
      <c r="HLW9" s="56"/>
      <c r="HMD9" s="56"/>
      <c r="HME9" s="56"/>
      <c r="HML9" s="56"/>
      <c r="HMM9" s="56"/>
      <c r="HMT9" s="56"/>
      <c r="HMU9" s="56"/>
      <c r="HNB9" s="56"/>
      <c r="HNC9" s="56"/>
      <c r="HNJ9" s="56"/>
      <c r="HNK9" s="56"/>
      <c r="HNR9" s="56"/>
      <c r="HNS9" s="56"/>
      <c r="HNZ9" s="56"/>
      <c r="HOA9" s="56"/>
      <c r="HOH9" s="56"/>
      <c r="HOI9" s="56"/>
      <c r="HOP9" s="56"/>
      <c r="HOQ9" s="56"/>
      <c r="HOX9" s="56"/>
      <c r="HOY9" s="56"/>
      <c r="HPF9" s="56"/>
      <c r="HPG9" s="56"/>
      <c r="HPN9" s="56"/>
      <c r="HPO9" s="56"/>
      <c r="HPV9" s="56"/>
      <c r="HPW9" s="56"/>
      <c r="HQD9" s="56"/>
      <c r="HQE9" s="56"/>
      <c r="HQL9" s="56"/>
      <c r="HQM9" s="56"/>
      <c r="HQT9" s="56"/>
      <c r="HQU9" s="56"/>
      <c r="HRB9" s="56"/>
      <c r="HRC9" s="56"/>
      <c r="HRJ9" s="56"/>
      <c r="HRK9" s="56"/>
      <c r="HRR9" s="56"/>
      <c r="HRS9" s="56"/>
      <c r="HRZ9" s="56"/>
      <c r="HSA9" s="56"/>
      <c r="HSH9" s="56"/>
      <c r="HSI9" s="56"/>
      <c r="HSP9" s="56"/>
      <c r="HSQ9" s="56"/>
      <c r="HSX9" s="56"/>
      <c r="HSY9" s="56"/>
      <c r="HTF9" s="56"/>
      <c r="HTG9" s="56"/>
      <c r="HTN9" s="56"/>
      <c r="HTO9" s="56"/>
      <c r="HTV9" s="56"/>
      <c r="HTW9" s="56"/>
      <c r="HUD9" s="56"/>
      <c r="HUE9" s="56"/>
      <c r="HUL9" s="56"/>
      <c r="HUM9" s="56"/>
      <c r="HUT9" s="56"/>
      <c r="HUU9" s="56"/>
      <c r="HVB9" s="56"/>
      <c r="HVC9" s="56"/>
      <c r="HVJ9" s="56"/>
      <c r="HVK9" s="56"/>
      <c r="HVR9" s="56"/>
      <c r="HVS9" s="56"/>
      <c r="HVZ9" s="56"/>
      <c r="HWA9" s="56"/>
      <c r="HWH9" s="56"/>
      <c r="HWI9" s="56"/>
      <c r="HWP9" s="56"/>
      <c r="HWQ9" s="56"/>
      <c r="HWX9" s="56"/>
      <c r="HWY9" s="56"/>
      <c r="HXF9" s="56"/>
      <c r="HXG9" s="56"/>
      <c r="HXN9" s="56"/>
      <c r="HXO9" s="56"/>
      <c r="HXV9" s="56"/>
      <c r="HXW9" s="56"/>
      <c r="HYD9" s="56"/>
      <c r="HYE9" s="56"/>
      <c r="HYL9" s="56"/>
      <c r="HYM9" s="56"/>
      <c r="HYT9" s="56"/>
      <c r="HYU9" s="56"/>
      <c r="HZB9" s="56"/>
      <c r="HZC9" s="56"/>
      <c r="HZJ9" s="56"/>
      <c r="HZK9" s="56"/>
      <c r="HZR9" s="56"/>
      <c r="HZS9" s="56"/>
      <c r="HZZ9" s="56"/>
      <c r="IAA9" s="56"/>
      <c r="IAH9" s="56"/>
      <c r="IAI9" s="56"/>
      <c r="IAP9" s="56"/>
      <c r="IAQ9" s="56"/>
      <c r="IAX9" s="56"/>
      <c r="IAY9" s="56"/>
      <c r="IBF9" s="56"/>
      <c r="IBG9" s="56"/>
      <c r="IBN9" s="56"/>
      <c r="IBO9" s="56"/>
      <c r="IBV9" s="56"/>
      <c r="IBW9" s="56"/>
      <c r="ICD9" s="56"/>
      <c r="ICE9" s="56"/>
      <c r="ICL9" s="56"/>
      <c r="ICM9" s="56"/>
      <c r="ICT9" s="56"/>
      <c r="ICU9" s="56"/>
      <c r="IDB9" s="56"/>
      <c r="IDC9" s="56"/>
      <c r="IDJ9" s="56"/>
      <c r="IDK9" s="56"/>
      <c r="IDR9" s="56"/>
      <c r="IDS9" s="56"/>
      <c r="IDZ9" s="56"/>
      <c r="IEA9" s="56"/>
      <c r="IEH9" s="56"/>
      <c r="IEI9" s="56"/>
      <c r="IEP9" s="56"/>
      <c r="IEQ9" s="56"/>
      <c r="IEX9" s="56"/>
      <c r="IEY9" s="56"/>
      <c r="IFF9" s="56"/>
      <c r="IFG9" s="56"/>
      <c r="IFN9" s="56"/>
      <c r="IFO9" s="56"/>
      <c r="IFV9" s="56"/>
      <c r="IFW9" s="56"/>
      <c r="IGD9" s="56"/>
      <c r="IGE9" s="56"/>
      <c r="IGL9" s="56"/>
      <c r="IGM9" s="56"/>
      <c r="IGT9" s="56"/>
      <c r="IGU9" s="56"/>
      <c r="IHB9" s="56"/>
      <c r="IHC9" s="56"/>
      <c r="IHJ9" s="56"/>
      <c r="IHK9" s="56"/>
      <c r="IHR9" s="56"/>
      <c r="IHS9" s="56"/>
      <c r="IHZ9" s="56"/>
      <c r="IIA9" s="56"/>
      <c r="IIH9" s="56"/>
      <c r="III9" s="56"/>
      <c r="IIP9" s="56"/>
      <c r="IIQ9" s="56"/>
      <c r="IIX9" s="56"/>
      <c r="IIY9" s="56"/>
      <c r="IJF9" s="56"/>
      <c r="IJG9" s="56"/>
      <c r="IJN9" s="56"/>
      <c r="IJO9" s="56"/>
      <c r="IJV9" s="56"/>
      <c r="IJW9" s="56"/>
      <c r="IKD9" s="56"/>
      <c r="IKE9" s="56"/>
      <c r="IKL9" s="56"/>
      <c r="IKM9" s="56"/>
      <c r="IKT9" s="56"/>
      <c r="IKU9" s="56"/>
      <c r="ILB9" s="56"/>
      <c r="ILC9" s="56"/>
      <c r="ILJ9" s="56"/>
      <c r="ILK9" s="56"/>
      <c r="ILR9" s="56"/>
      <c r="ILS9" s="56"/>
      <c r="ILZ9" s="56"/>
      <c r="IMA9" s="56"/>
      <c r="IMH9" s="56"/>
      <c r="IMI9" s="56"/>
      <c r="IMP9" s="56"/>
      <c r="IMQ9" s="56"/>
      <c r="IMX9" s="56"/>
      <c r="IMY9" s="56"/>
      <c r="INF9" s="56"/>
      <c r="ING9" s="56"/>
      <c r="INN9" s="56"/>
      <c r="INO9" s="56"/>
      <c r="INV9" s="56"/>
      <c r="INW9" s="56"/>
      <c r="IOD9" s="56"/>
      <c r="IOE9" s="56"/>
      <c r="IOL9" s="56"/>
      <c r="IOM9" s="56"/>
      <c r="IOT9" s="56"/>
      <c r="IOU9" s="56"/>
      <c r="IPB9" s="56"/>
      <c r="IPC9" s="56"/>
      <c r="IPJ9" s="56"/>
      <c r="IPK9" s="56"/>
      <c r="IPR9" s="56"/>
      <c r="IPS9" s="56"/>
      <c r="IPZ9" s="56"/>
      <c r="IQA9" s="56"/>
      <c r="IQH9" s="56"/>
      <c r="IQI9" s="56"/>
      <c r="IQP9" s="56"/>
      <c r="IQQ9" s="56"/>
      <c r="IQX9" s="56"/>
      <c r="IQY9" s="56"/>
      <c r="IRF9" s="56"/>
      <c r="IRG9" s="56"/>
      <c r="IRN9" s="56"/>
      <c r="IRO9" s="56"/>
      <c r="IRV9" s="56"/>
      <c r="IRW9" s="56"/>
      <c r="ISD9" s="56"/>
      <c r="ISE9" s="56"/>
      <c r="ISL9" s="56"/>
      <c r="ISM9" s="56"/>
      <c r="IST9" s="56"/>
      <c r="ISU9" s="56"/>
      <c r="ITB9" s="56"/>
      <c r="ITC9" s="56"/>
      <c r="ITJ9" s="56"/>
      <c r="ITK9" s="56"/>
      <c r="ITR9" s="56"/>
      <c r="ITS9" s="56"/>
      <c r="ITZ9" s="56"/>
      <c r="IUA9" s="56"/>
      <c r="IUH9" s="56"/>
      <c r="IUI9" s="56"/>
      <c r="IUP9" s="56"/>
      <c r="IUQ9" s="56"/>
      <c r="IUX9" s="56"/>
      <c r="IUY9" s="56"/>
      <c r="IVF9" s="56"/>
      <c r="IVG9" s="56"/>
      <c r="IVN9" s="56"/>
      <c r="IVO9" s="56"/>
      <c r="IVV9" s="56"/>
      <c r="IVW9" s="56"/>
      <c r="IWD9" s="56"/>
      <c r="IWE9" s="56"/>
      <c r="IWL9" s="56"/>
      <c r="IWM9" s="56"/>
      <c r="IWT9" s="56"/>
      <c r="IWU9" s="56"/>
      <c r="IXB9" s="56"/>
      <c r="IXC9" s="56"/>
      <c r="IXJ9" s="56"/>
      <c r="IXK9" s="56"/>
      <c r="IXR9" s="56"/>
      <c r="IXS9" s="56"/>
      <c r="IXZ9" s="56"/>
      <c r="IYA9" s="56"/>
      <c r="IYH9" s="56"/>
      <c r="IYI9" s="56"/>
      <c r="IYP9" s="56"/>
      <c r="IYQ9" s="56"/>
      <c r="IYX9" s="56"/>
      <c r="IYY9" s="56"/>
      <c r="IZF9" s="56"/>
      <c r="IZG9" s="56"/>
      <c r="IZN9" s="56"/>
      <c r="IZO9" s="56"/>
      <c r="IZV9" s="56"/>
      <c r="IZW9" s="56"/>
      <c r="JAD9" s="56"/>
      <c r="JAE9" s="56"/>
      <c r="JAL9" s="56"/>
      <c r="JAM9" s="56"/>
      <c r="JAT9" s="56"/>
      <c r="JAU9" s="56"/>
      <c r="JBB9" s="56"/>
      <c r="JBC9" s="56"/>
      <c r="JBJ9" s="56"/>
      <c r="JBK9" s="56"/>
      <c r="JBR9" s="56"/>
      <c r="JBS9" s="56"/>
      <c r="JBZ9" s="56"/>
      <c r="JCA9" s="56"/>
      <c r="JCH9" s="56"/>
      <c r="JCI9" s="56"/>
      <c r="JCP9" s="56"/>
      <c r="JCQ9" s="56"/>
      <c r="JCX9" s="56"/>
      <c r="JCY9" s="56"/>
      <c r="JDF9" s="56"/>
      <c r="JDG9" s="56"/>
      <c r="JDN9" s="56"/>
      <c r="JDO9" s="56"/>
      <c r="JDV9" s="56"/>
      <c r="JDW9" s="56"/>
      <c r="JED9" s="56"/>
      <c r="JEE9" s="56"/>
      <c r="JEL9" s="56"/>
      <c r="JEM9" s="56"/>
      <c r="JET9" s="56"/>
      <c r="JEU9" s="56"/>
      <c r="JFB9" s="56"/>
      <c r="JFC9" s="56"/>
      <c r="JFJ9" s="56"/>
      <c r="JFK9" s="56"/>
      <c r="JFR9" s="56"/>
      <c r="JFS9" s="56"/>
      <c r="JFZ9" s="56"/>
      <c r="JGA9" s="56"/>
      <c r="JGH9" s="56"/>
      <c r="JGI9" s="56"/>
      <c r="JGP9" s="56"/>
      <c r="JGQ9" s="56"/>
      <c r="JGX9" s="56"/>
      <c r="JGY9" s="56"/>
      <c r="JHF9" s="56"/>
      <c r="JHG9" s="56"/>
      <c r="JHN9" s="56"/>
      <c r="JHO9" s="56"/>
      <c r="JHV9" s="56"/>
      <c r="JHW9" s="56"/>
      <c r="JID9" s="56"/>
      <c r="JIE9" s="56"/>
      <c r="JIL9" s="56"/>
      <c r="JIM9" s="56"/>
      <c r="JIT9" s="56"/>
      <c r="JIU9" s="56"/>
      <c r="JJB9" s="56"/>
      <c r="JJC9" s="56"/>
      <c r="JJJ9" s="56"/>
      <c r="JJK9" s="56"/>
      <c r="JJR9" s="56"/>
      <c r="JJS9" s="56"/>
      <c r="JJZ9" s="56"/>
      <c r="JKA9" s="56"/>
      <c r="JKH9" s="56"/>
      <c r="JKI9" s="56"/>
      <c r="JKP9" s="56"/>
      <c r="JKQ9" s="56"/>
      <c r="JKX9" s="56"/>
      <c r="JKY9" s="56"/>
      <c r="JLF9" s="56"/>
      <c r="JLG9" s="56"/>
      <c r="JLN9" s="56"/>
      <c r="JLO9" s="56"/>
      <c r="JLV9" s="56"/>
      <c r="JLW9" s="56"/>
      <c r="JMD9" s="56"/>
      <c r="JME9" s="56"/>
      <c r="JML9" s="56"/>
      <c r="JMM9" s="56"/>
      <c r="JMT9" s="56"/>
      <c r="JMU9" s="56"/>
      <c r="JNB9" s="56"/>
      <c r="JNC9" s="56"/>
      <c r="JNJ9" s="56"/>
      <c r="JNK9" s="56"/>
      <c r="JNR9" s="56"/>
      <c r="JNS9" s="56"/>
      <c r="JNZ9" s="56"/>
      <c r="JOA9" s="56"/>
      <c r="JOH9" s="56"/>
      <c r="JOI9" s="56"/>
      <c r="JOP9" s="56"/>
      <c r="JOQ9" s="56"/>
      <c r="JOX9" s="56"/>
      <c r="JOY9" s="56"/>
      <c r="JPF9" s="56"/>
      <c r="JPG9" s="56"/>
      <c r="JPN9" s="56"/>
      <c r="JPO9" s="56"/>
      <c r="JPV9" s="56"/>
      <c r="JPW9" s="56"/>
      <c r="JQD9" s="56"/>
      <c r="JQE9" s="56"/>
      <c r="JQL9" s="56"/>
      <c r="JQM9" s="56"/>
      <c r="JQT9" s="56"/>
      <c r="JQU9" s="56"/>
      <c r="JRB9" s="56"/>
      <c r="JRC9" s="56"/>
      <c r="JRJ9" s="56"/>
      <c r="JRK9" s="56"/>
      <c r="JRR9" s="56"/>
      <c r="JRS9" s="56"/>
      <c r="JRZ9" s="56"/>
      <c r="JSA9" s="56"/>
      <c r="JSH9" s="56"/>
      <c r="JSI9" s="56"/>
      <c r="JSP9" s="56"/>
      <c r="JSQ9" s="56"/>
      <c r="JSX9" s="56"/>
      <c r="JSY9" s="56"/>
      <c r="JTF9" s="56"/>
      <c r="JTG9" s="56"/>
      <c r="JTN9" s="56"/>
      <c r="JTO9" s="56"/>
      <c r="JTV9" s="56"/>
      <c r="JTW9" s="56"/>
      <c r="JUD9" s="56"/>
      <c r="JUE9" s="56"/>
      <c r="JUL9" s="56"/>
      <c r="JUM9" s="56"/>
      <c r="JUT9" s="56"/>
      <c r="JUU9" s="56"/>
      <c r="JVB9" s="56"/>
      <c r="JVC9" s="56"/>
      <c r="JVJ9" s="56"/>
      <c r="JVK9" s="56"/>
      <c r="JVR9" s="56"/>
      <c r="JVS9" s="56"/>
      <c r="JVZ9" s="56"/>
      <c r="JWA9" s="56"/>
      <c r="JWH9" s="56"/>
      <c r="JWI9" s="56"/>
      <c r="JWP9" s="56"/>
      <c r="JWQ9" s="56"/>
      <c r="JWX9" s="56"/>
      <c r="JWY9" s="56"/>
      <c r="JXF9" s="56"/>
      <c r="JXG9" s="56"/>
      <c r="JXN9" s="56"/>
      <c r="JXO9" s="56"/>
      <c r="JXV9" s="56"/>
      <c r="JXW9" s="56"/>
      <c r="JYD9" s="56"/>
      <c r="JYE9" s="56"/>
      <c r="JYL9" s="56"/>
      <c r="JYM9" s="56"/>
      <c r="JYT9" s="56"/>
      <c r="JYU9" s="56"/>
      <c r="JZB9" s="56"/>
      <c r="JZC9" s="56"/>
      <c r="JZJ9" s="56"/>
      <c r="JZK9" s="56"/>
      <c r="JZR9" s="56"/>
      <c r="JZS9" s="56"/>
      <c r="JZZ9" s="56"/>
      <c r="KAA9" s="56"/>
      <c r="KAH9" s="56"/>
      <c r="KAI9" s="56"/>
      <c r="KAP9" s="56"/>
      <c r="KAQ9" s="56"/>
      <c r="KAX9" s="56"/>
      <c r="KAY9" s="56"/>
      <c r="KBF9" s="56"/>
      <c r="KBG9" s="56"/>
      <c r="KBN9" s="56"/>
      <c r="KBO9" s="56"/>
      <c r="KBV9" s="56"/>
      <c r="KBW9" s="56"/>
      <c r="KCD9" s="56"/>
      <c r="KCE9" s="56"/>
      <c r="KCL9" s="56"/>
      <c r="KCM9" s="56"/>
      <c r="KCT9" s="56"/>
      <c r="KCU9" s="56"/>
      <c r="KDB9" s="56"/>
      <c r="KDC9" s="56"/>
      <c r="KDJ9" s="56"/>
      <c r="KDK9" s="56"/>
      <c r="KDR9" s="56"/>
      <c r="KDS9" s="56"/>
      <c r="KDZ9" s="56"/>
      <c r="KEA9" s="56"/>
      <c r="KEH9" s="56"/>
      <c r="KEI9" s="56"/>
      <c r="KEP9" s="56"/>
      <c r="KEQ9" s="56"/>
      <c r="KEX9" s="56"/>
      <c r="KEY9" s="56"/>
      <c r="KFF9" s="56"/>
      <c r="KFG9" s="56"/>
      <c r="KFN9" s="56"/>
      <c r="KFO9" s="56"/>
      <c r="KFV9" s="56"/>
      <c r="KFW9" s="56"/>
      <c r="KGD9" s="56"/>
      <c r="KGE9" s="56"/>
      <c r="KGL9" s="56"/>
      <c r="KGM9" s="56"/>
      <c r="KGT9" s="56"/>
      <c r="KGU9" s="56"/>
      <c r="KHB9" s="56"/>
      <c r="KHC9" s="56"/>
      <c r="KHJ9" s="56"/>
      <c r="KHK9" s="56"/>
      <c r="KHR9" s="56"/>
      <c r="KHS9" s="56"/>
      <c r="KHZ9" s="56"/>
      <c r="KIA9" s="56"/>
      <c r="KIH9" s="56"/>
      <c r="KII9" s="56"/>
      <c r="KIP9" s="56"/>
      <c r="KIQ9" s="56"/>
      <c r="KIX9" s="56"/>
      <c r="KIY9" s="56"/>
      <c r="KJF9" s="56"/>
      <c r="KJG9" s="56"/>
      <c r="KJN9" s="56"/>
      <c r="KJO9" s="56"/>
      <c r="KJV9" s="56"/>
      <c r="KJW9" s="56"/>
      <c r="KKD9" s="56"/>
      <c r="KKE9" s="56"/>
      <c r="KKL9" s="56"/>
      <c r="KKM9" s="56"/>
      <c r="KKT9" s="56"/>
      <c r="KKU9" s="56"/>
      <c r="KLB9" s="56"/>
      <c r="KLC9" s="56"/>
      <c r="KLJ9" s="56"/>
      <c r="KLK9" s="56"/>
      <c r="KLR9" s="56"/>
      <c r="KLS9" s="56"/>
      <c r="KLZ9" s="56"/>
      <c r="KMA9" s="56"/>
      <c r="KMH9" s="56"/>
      <c r="KMI9" s="56"/>
      <c r="KMP9" s="56"/>
      <c r="KMQ9" s="56"/>
      <c r="KMX9" s="56"/>
      <c r="KMY9" s="56"/>
      <c r="KNF9" s="56"/>
      <c r="KNG9" s="56"/>
      <c r="KNN9" s="56"/>
      <c r="KNO9" s="56"/>
      <c r="KNV9" s="56"/>
      <c r="KNW9" s="56"/>
      <c r="KOD9" s="56"/>
      <c r="KOE9" s="56"/>
      <c r="KOL9" s="56"/>
      <c r="KOM9" s="56"/>
      <c r="KOT9" s="56"/>
      <c r="KOU9" s="56"/>
      <c r="KPB9" s="56"/>
      <c r="KPC9" s="56"/>
      <c r="KPJ9" s="56"/>
      <c r="KPK9" s="56"/>
      <c r="KPR9" s="56"/>
      <c r="KPS9" s="56"/>
      <c r="KPZ9" s="56"/>
      <c r="KQA9" s="56"/>
      <c r="KQH9" s="56"/>
      <c r="KQI9" s="56"/>
      <c r="KQP9" s="56"/>
      <c r="KQQ9" s="56"/>
      <c r="KQX9" s="56"/>
      <c r="KQY9" s="56"/>
      <c r="KRF9" s="56"/>
      <c r="KRG9" s="56"/>
      <c r="KRN9" s="56"/>
      <c r="KRO9" s="56"/>
      <c r="KRV9" s="56"/>
      <c r="KRW9" s="56"/>
      <c r="KSD9" s="56"/>
      <c r="KSE9" s="56"/>
      <c r="KSL9" s="56"/>
      <c r="KSM9" s="56"/>
      <c r="KST9" s="56"/>
      <c r="KSU9" s="56"/>
      <c r="KTB9" s="56"/>
      <c r="KTC9" s="56"/>
      <c r="KTJ9" s="56"/>
      <c r="KTK9" s="56"/>
      <c r="KTR9" s="56"/>
      <c r="KTS9" s="56"/>
      <c r="KTZ9" s="56"/>
      <c r="KUA9" s="56"/>
      <c r="KUH9" s="56"/>
      <c r="KUI9" s="56"/>
      <c r="KUP9" s="56"/>
      <c r="KUQ9" s="56"/>
      <c r="KUX9" s="56"/>
      <c r="KUY9" s="56"/>
      <c r="KVF9" s="56"/>
      <c r="KVG9" s="56"/>
      <c r="KVN9" s="56"/>
      <c r="KVO9" s="56"/>
      <c r="KVV9" s="56"/>
      <c r="KVW9" s="56"/>
      <c r="KWD9" s="56"/>
      <c r="KWE9" s="56"/>
      <c r="KWL9" s="56"/>
      <c r="KWM9" s="56"/>
      <c r="KWT9" s="56"/>
      <c r="KWU9" s="56"/>
      <c r="KXB9" s="56"/>
      <c r="KXC9" s="56"/>
      <c r="KXJ9" s="56"/>
      <c r="KXK9" s="56"/>
      <c r="KXR9" s="56"/>
      <c r="KXS9" s="56"/>
      <c r="KXZ9" s="56"/>
      <c r="KYA9" s="56"/>
      <c r="KYH9" s="56"/>
      <c r="KYI9" s="56"/>
      <c r="KYP9" s="56"/>
      <c r="KYQ9" s="56"/>
      <c r="KYX9" s="56"/>
      <c r="KYY9" s="56"/>
      <c r="KZF9" s="56"/>
      <c r="KZG9" s="56"/>
      <c r="KZN9" s="56"/>
      <c r="KZO9" s="56"/>
      <c r="KZV9" s="56"/>
      <c r="KZW9" s="56"/>
      <c r="LAD9" s="56"/>
      <c r="LAE9" s="56"/>
      <c r="LAL9" s="56"/>
      <c r="LAM9" s="56"/>
      <c r="LAT9" s="56"/>
      <c r="LAU9" s="56"/>
      <c r="LBB9" s="56"/>
      <c r="LBC9" s="56"/>
      <c r="LBJ9" s="56"/>
      <c r="LBK9" s="56"/>
      <c r="LBR9" s="56"/>
      <c r="LBS9" s="56"/>
      <c r="LBZ9" s="56"/>
      <c r="LCA9" s="56"/>
      <c r="LCH9" s="56"/>
      <c r="LCI9" s="56"/>
      <c r="LCP9" s="56"/>
      <c r="LCQ9" s="56"/>
      <c r="LCX9" s="56"/>
      <c r="LCY9" s="56"/>
      <c r="LDF9" s="56"/>
      <c r="LDG9" s="56"/>
      <c r="LDN9" s="56"/>
      <c r="LDO9" s="56"/>
      <c r="LDV9" s="56"/>
      <c r="LDW9" s="56"/>
      <c r="LED9" s="56"/>
      <c r="LEE9" s="56"/>
      <c r="LEL9" s="56"/>
      <c r="LEM9" s="56"/>
      <c r="LET9" s="56"/>
      <c r="LEU9" s="56"/>
      <c r="LFB9" s="56"/>
      <c r="LFC9" s="56"/>
      <c r="LFJ9" s="56"/>
      <c r="LFK9" s="56"/>
      <c r="LFR9" s="56"/>
      <c r="LFS9" s="56"/>
      <c r="LFZ9" s="56"/>
      <c r="LGA9" s="56"/>
      <c r="LGH9" s="56"/>
      <c r="LGI9" s="56"/>
      <c r="LGP9" s="56"/>
      <c r="LGQ9" s="56"/>
      <c r="LGX9" s="56"/>
      <c r="LGY9" s="56"/>
      <c r="LHF9" s="56"/>
      <c r="LHG9" s="56"/>
      <c r="LHN9" s="56"/>
      <c r="LHO9" s="56"/>
      <c r="LHV9" s="56"/>
      <c r="LHW9" s="56"/>
      <c r="LID9" s="56"/>
      <c r="LIE9" s="56"/>
      <c r="LIL9" s="56"/>
      <c r="LIM9" s="56"/>
      <c r="LIT9" s="56"/>
      <c r="LIU9" s="56"/>
      <c r="LJB9" s="56"/>
      <c r="LJC9" s="56"/>
      <c r="LJJ9" s="56"/>
      <c r="LJK9" s="56"/>
      <c r="LJR9" s="56"/>
      <c r="LJS9" s="56"/>
      <c r="LJZ9" s="56"/>
      <c r="LKA9" s="56"/>
      <c r="LKH9" s="56"/>
      <c r="LKI9" s="56"/>
      <c r="LKP9" s="56"/>
      <c r="LKQ9" s="56"/>
      <c r="LKX9" s="56"/>
      <c r="LKY9" s="56"/>
      <c r="LLF9" s="56"/>
      <c r="LLG9" s="56"/>
      <c r="LLN9" s="56"/>
      <c r="LLO9" s="56"/>
      <c r="LLV9" s="56"/>
      <c r="LLW9" s="56"/>
      <c r="LMD9" s="56"/>
      <c r="LME9" s="56"/>
      <c r="LML9" s="56"/>
      <c r="LMM9" s="56"/>
      <c r="LMT9" s="56"/>
      <c r="LMU9" s="56"/>
      <c r="LNB9" s="56"/>
      <c r="LNC9" s="56"/>
      <c r="LNJ9" s="56"/>
      <c r="LNK9" s="56"/>
      <c r="LNR9" s="56"/>
      <c r="LNS9" s="56"/>
      <c r="LNZ9" s="56"/>
      <c r="LOA9" s="56"/>
      <c r="LOH9" s="56"/>
      <c r="LOI9" s="56"/>
      <c r="LOP9" s="56"/>
      <c r="LOQ9" s="56"/>
      <c r="LOX9" s="56"/>
      <c r="LOY9" s="56"/>
      <c r="LPF9" s="56"/>
      <c r="LPG9" s="56"/>
      <c r="LPN9" s="56"/>
      <c r="LPO9" s="56"/>
      <c r="LPV9" s="56"/>
      <c r="LPW9" s="56"/>
      <c r="LQD9" s="56"/>
      <c r="LQE9" s="56"/>
      <c r="LQL9" s="56"/>
      <c r="LQM9" s="56"/>
      <c r="LQT9" s="56"/>
      <c r="LQU9" s="56"/>
      <c r="LRB9" s="56"/>
      <c r="LRC9" s="56"/>
      <c r="LRJ9" s="56"/>
      <c r="LRK9" s="56"/>
      <c r="LRR9" s="56"/>
      <c r="LRS9" s="56"/>
      <c r="LRZ9" s="56"/>
      <c r="LSA9" s="56"/>
      <c r="LSH9" s="56"/>
      <c r="LSI9" s="56"/>
      <c r="LSP9" s="56"/>
      <c r="LSQ9" s="56"/>
      <c r="LSX9" s="56"/>
      <c r="LSY9" s="56"/>
      <c r="LTF9" s="56"/>
      <c r="LTG9" s="56"/>
      <c r="LTN9" s="56"/>
      <c r="LTO9" s="56"/>
      <c r="LTV9" s="56"/>
      <c r="LTW9" s="56"/>
      <c r="LUD9" s="56"/>
      <c r="LUE9" s="56"/>
      <c r="LUL9" s="56"/>
      <c r="LUM9" s="56"/>
      <c r="LUT9" s="56"/>
      <c r="LUU9" s="56"/>
      <c r="LVB9" s="56"/>
      <c r="LVC9" s="56"/>
      <c r="LVJ9" s="56"/>
      <c r="LVK9" s="56"/>
      <c r="LVR9" s="56"/>
      <c r="LVS9" s="56"/>
      <c r="LVZ9" s="56"/>
      <c r="LWA9" s="56"/>
      <c r="LWH9" s="56"/>
      <c r="LWI9" s="56"/>
      <c r="LWP9" s="56"/>
      <c r="LWQ9" s="56"/>
      <c r="LWX9" s="56"/>
      <c r="LWY9" s="56"/>
      <c r="LXF9" s="56"/>
      <c r="LXG9" s="56"/>
      <c r="LXN9" s="56"/>
      <c r="LXO9" s="56"/>
      <c r="LXV9" s="56"/>
      <c r="LXW9" s="56"/>
      <c r="LYD9" s="56"/>
      <c r="LYE9" s="56"/>
      <c r="LYL9" s="56"/>
      <c r="LYM9" s="56"/>
      <c r="LYT9" s="56"/>
      <c r="LYU9" s="56"/>
      <c r="LZB9" s="56"/>
      <c r="LZC9" s="56"/>
      <c r="LZJ9" s="56"/>
      <c r="LZK9" s="56"/>
      <c r="LZR9" s="56"/>
      <c r="LZS9" s="56"/>
      <c r="LZZ9" s="56"/>
      <c r="MAA9" s="56"/>
      <c r="MAH9" s="56"/>
      <c r="MAI9" s="56"/>
      <c r="MAP9" s="56"/>
      <c r="MAQ9" s="56"/>
      <c r="MAX9" s="56"/>
      <c r="MAY9" s="56"/>
      <c r="MBF9" s="56"/>
      <c r="MBG9" s="56"/>
      <c r="MBN9" s="56"/>
      <c r="MBO9" s="56"/>
      <c r="MBV9" s="56"/>
      <c r="MBW9" s="56"/>
      <c r="MCD9" s="56"/>
      <c r="MCE9" s="56"/>
      <c r="MCL9" s="56"/>
      <c r="MCM9" s="56"/>
      <c r="MCT9" s="56"/>
      <c r="MCU9" s="56"/>
      <c r="MDB9" s="56"/>
      <c r="MDC9" s="56"/>
      <c r="MDJ9" s="56"/>
      <c r="MDK9" s="56"/>
      <c r="MDR9" s="56"/>
      <c r="MDS9" s="56"/>
      <c r="MDZ9" s="56"/>
      <c r="MEA9" s="56"/>
      <c r="MEH9" s="56"/>
      <c r="MEI9" s="56"/>
      <c r="MEP9" s="56"/>
      <c r="MEQ9" s="56"/>
      <c r="MEX9" s="56"/>
      <c r="MEY9" s="56"/>
      <c r="MFF9" s="56"/>
      <c r="MFG9" s="56"/>
      <c r="MFN9" s="56"/>
      <c r="MFO9" s="56"/>
      <c r="MFV9" s="56"/>
      <c r="MFW9" s="56"/>
      <c r="MGD9" s="56"/>
      <c r="MGE9" s="56"/>
      <c r="MGL9" s="56"/>
      <c r="MGM9" s="56"/>
      <c r="MGT9" s="56"/>
      <c r="MGU9" s="56"/>
      <c r="MHB9" s="56"/>
      <c r="MHC9" s="56"/>
      <c r="MHJ9" s="56"/>
      <c r="MHK9" s="56"/>
      <c r="MHR9" s="56"/>
      <c r="MHS9" s="56"/>
      <c r="MHZ9" s="56"/>
      <c r="MIA9" s="56"/>
      <c r="MIH9" s="56"/>
      <c r="MII9" s="56"/>
      <c r="MIP9" s="56"/>
      <c r="MIQ9" s="56"/>
      <c r="MIX9" s="56"/>
      <c r="MIY9" s="56"/>
      <c r="MJF9" s="56"/>
      <c r="MJG9" s="56"/>
      <c r="MJN9" s="56"/>
      <c r="MJO9" s="56"/>
      <c r="MJV9" s="56"/>
      <c r="MJW9" s="56"/>
      <c r="MKD9" s="56"/>
      <c r="MKE9" s="56"/>
      <c r="MKL9" s="56"/>
      <c r="MKM9" s="56"/>
      <c r="MKT9" s="56"/>
      <c r="MKU9" s="56"/>
      <c r="MLB9" s="56"/>
      <c r="MLC9" s="56"/>
      <c r="MLJ9" s="56"/>
      <c r="MLK9" s="56"/>
      <c r="MLR9" s="56"/>
      <c r="MLS9" s="56"/>
      <c r="MLZ9" s="56"/>
      <c r="MMA9" s="56"/>
      <c r="MMH9" s="56"/>
      <c r="MMI9" s="56"/>
      <c r="MMP9" s="56"/>
      <c r="MMQ9" s="56"/>
      <c r="MMX9" s="56"/>
      <c r="MMY9" s="56"/>
      <c r="MNF9" s="56"/>
      <c r="MNG9" s="56"/>
      <c r="MNN9" s="56"/>
      <c r="MNO9" s="56"/>
      <c r="MNV9" s="56"/>
      <c r="MNW9" s="56"/>
      <c r="MOD9" s="56"/>
      <c r="MOE9" s="56"/>
      <c r="MOL9" s="56"/>
      <c r="MOM9" s="56"/>
      <c r="MOT9" s="56"/>
      <c r="MOU9" s="56"/>
      <c r="MPB9" s="56"/>
      <c r="MPC9" s="56"/>
      <c r="MPJ9" s="56"/>
      <c r="MPK9" s="56"/>
      <c r="MPR9" s="56"/>
      <c r="MPS9" s="56"/>
      <c r="MPZ9" s="56"/>
      <c r="MQA9" s="56"/>
      <c r="MQH9" s="56"/>
      <c r="MQI9" s="56"/>
      <c r="MQP9" s="56"/>
      <c r="MQQ9" s="56"/>
      <c r="MQX9" s="56"/>
      <c r="MQY9" s="56"/>
      <c r="MRF9" s="56"/>
      <c r="MRG9" s="56"/>
      <c r="MRN9" s="56"/>
      <c r="MRO9" s="56"/>
      <c r="MRV9" s="56"/>
      <c r="MRW9" s="56"/>
      <c r="MSD9" s="56"/>
      <c r="MSE9" s="56"/>
      <c r="MSL9" s="56"/>
      <c r="MSM9" s="56"/>
      <c r="MST9" s="56"/>
      <c r="MSU9" s="56"/>
      <c r="MTB9" s="56"/>
      <c r="MTC9" s="56"/>
      <c r="MTJ9" s="56"/>
      <c r="MTK9" s="56"/>
      <c r="MTR9" s="56"/>
      <c r="MTS9" s="56"/>
      <c r="MTZ9" s="56"/>
      <c r="MUA9" s="56"/>
      <c r="MUH9" s="56"/>
      <c r="MUI9" s="56"/>
      <c r="MUP9" s="56"/>
      <c r="MUQ9" s="56"/>
      <c r="MUX9" s="56"/>
      <c r="MUY9" s="56"/>
      <c r="MVF9" s="56"/>
      <c r="MVG9" s="56"/>
      <c r="MVN9" s="56"/>
      <c r="MVO9" s="56"/>
      <c r="MVV9" s="56"/>
      <c r="MVW9" s="56"/>
      <c r="MWD9" s="56"/>
      <c r="MWE9" s="56"/>
      <c r="MWL9" s="56"/>
      <c r="MWM9" s="56"/>
      <c r="MWT9" s="56"/>
      <c r="MWU9" s="56"/>
      <c r="MXB9" s="56"/>
      <c r="MXC9" s="56"/>
      <c r="MXJ9" s="56"/>
      <c r="MXK9" s="56"/>
      <c r="MXR9" s="56"/>
      <c r="MXS9" s="56"/>
      <c r="MXZ9" s="56"/>
      <c r="MYA9" s="56"/>
      <c r="MYH9" s="56"/>
      <c r="MYI9" s="56"/>
      <c r="MYP9" s="56"/>
      <c r="MYQ9" s="56"/>
      <c r="MYX9" s="56"/>
      <c r="MYY9" s="56"/>
      <c r="MZF9" s="56"/>
      <c r="MZG9" s="56"/>
      <c r="MZN9" s="56"/>
      <c r="MZO9" s="56"/>
      <c r="MZV9" s="56"/>
      <c r="MZW9" s="56"/>
      <c r="NAD9" s="56"/>
      <c r="NAE9" s="56"/>
      <c r="NAL9" s="56"/>
      <c r="NAM9" s="56"/>
      <c r="NAT9" s="56"/>
      <c r="NAU9" s="56"/>
      <c r="NBB9" s="56"/>
      <c r="NBC9" s="56"/>
      <c r="NBJ9" s="56"/>
      <c r="NBK9" s="56"/>
      <c r="NBR9" s="56"/>
      <c r="NBS9" s="56"/>
      <c r="NBZ9" s="56"/>
      <c r="NCA9" s="56"/>
      <c r="NCH9" s="56"/>
      <c r="NCI9" s="56"/>
      <c r="NCP9" s="56"/>
      <c r="NCQ9" s="56"/>
      <c r="NCX9" s="56"/>
      <c r="NCY9" s="56"/>
      <c r="NDF9" s="56"/>
      <c r="NDG9" s="56"/>
      <c r="NDN9" s="56"/>
      <c r="NDO9" s="56"/>
      <c r="NDV9" s="56"/>
      <c r="NDW9" s="56"/>
      <c r="NED9" s="56"/>
      <c r="NEE9" s="56"/>
      <c r="NEL9" s="56"/>
      <c r="NEM9" s="56"/>
      <c r="NET9" s="56"/>
      <c r="NEU9" s="56"/>
      <c r="NFB9" s="56"/>
      <c r="NFC9" s="56"/>
      <c r="NFJ9" s="56"/>
      <c r="NFK9" s="56"/>
      <c r="NFR9" s="56"/>
      <c r="NFS9" s="56"/>
      <c r="NFZ9" s="56"/>
      <c r="NGA9" s="56"/>
      <c r="NGH9" s="56"/>
      <c r="NGI9" s="56"/>
      <c r="NGP9" s="56"/>
      <c r="NGQ9" s="56"/>
      <c r="NGX9" s="56"/>
      <c r="NGY9" s="56"/>
      <c r="NHF9" s="56"/>
      <c r="NHG9" s="56"/>
      <c r="NHN9" s="56"/>
      <c r="NHO9" s="56"/>
      <c r="NHV9" s="56"/>
      <c r="NHW9" s="56"/>
      <c r="NID9" s="56"/>
      <c r="NIE9" s="56"/>
      <c r="NIL9" s="56"/>
      <c r="NIM9" s="56"/>
      <c r="NIT9" s="56"/>
      <c r="NIU9" s="56"/>
      <c r="NJB9" s="56"/>
      <c r="NJC9" s="56"/>
      <c r="NJJ9" s="56"/>
      <c r="NJK9" s="56"/>
      <c r="NJR9" s="56"/>
      <c r="NJS9" s="56"/>
      <c r="NJZ9" s="56"/>
      <c r="NKA9" s="56"/>
      <c r="NKH9" s="56"/>
      <c r="NKI9" s="56"/>
      <c r="NKP9" s="56"/>
      <c r="NKQ9" s="56"/>
      <c r="NKX9" s="56"/>
      <c r="NKY9" s="56"/>
      <c r="NLF9" s="56"/>
      <c r="NLG9" s="56"/>
      <c r="NLN9" s="56"/>
      <c r="NLO9" s="56"/>
      <c r="NLV9" s="56"/>
      <c r="NLW9" s="56"/>
      <c r="NMD9" s="56"/>
      <c r="NME9" s="56"/>
      <c r="NML9" s="56"/>
      <c r="NMM9" s="56"/>
      <c r="NMT9" s="56"/>
      <c r="NMU9" s="56"/>
      <c r="NNB9" s="56"/>
      <c r="NNC9" s="56"/>
      <c r="NNJ9" s="56"/>
      <c r="NNK9" s="56"/>
      <c r="NNR9" s="56"/>
      <c r="NNS9" s="56"/>
      <c r="NNZ9" s="56"/>
      <c r="NOA9" s="56"/>
      <c r="NOH9" s="56"/>
      <c r="NOI9" s="56"/>
      <c r="NOP9" s="56"/>
      <c r="NOQ9" s="56"/>
      <c r="NOX9" s="56"/>
      <c r="NOY9" s="56"/>
      <c r="NPF9" s="56"/>
      <c r="NPG9" s="56"/>
      <c r="NPN9" s="56"/>
      <c r="NPO9" s="56"/>
      <c r="NPV9" s="56"/>
      <c r="NPW9" s="56"/>
      <c r="NQD9" s="56"/>
      <c r="NQE9" s="56"/>
      <c r="NQL9" s="56"/>
      <c r="NQM9" s="56"/>
      <c r="NQT9" s="56"/>
      <c r="NQU9" s="56"/>
      <c r="NRB9" s="56"/>
      <c r="NRC9" s="56"/>
      <c r="NRJ9" s="56"/>
      <c r="NRK9" s="56"/>
      <c r="NRR9" s="56"/>
      <c r="NRS9" s="56"/>
      <c r="NRZ9" s="56"/>
      <c r="NSA9" s="56"/>
      <c r="NSH9" s="56"/>
      <c r="NSI9" s="56"/>
      <c r="NSP9" s="56"/>
      <c r="NSQ9" s="56"/>
      <c r="NSX9" s="56"/>
      <c r="NSY9" s="56"/>
      <c r="NTF9" s="56"/>
      <c r="NTG9" s="56"/>
      <c r="NTN9" s="56"/>
      <c r="NTO9" s="56"/>
      <c r="NTV9" s="56"/>
      <c r="NTW9" s="56"/>
      <c r="NUD9" s="56"/>
      <c r="NUE9" s="56"/>
      <c r="NUL9" s="56"/>
      <c r="NUM9" s="56"/>
      <c r="NUT9" s="56"/>
      <c r="NUU9" s="56"/>
      <c r="NVB9" s="56"/>
      <c r="NVC9" s="56"/>
      <c r="NVJ9" s="56"/>
      <c r="NVK9" s="56"/>
      <c r="NVR9" s="56"/>
      <c r="NVS9" s="56"/>
      <c r="NVZ9" s="56"/>
      <c r="NWA9" s="56"/>
      <c r="NWH9" s="56"/>
      <c r="NWI9" s="56"/>
      <c r="NWP9" s="56"/>
      <c r="NWQ9" s="56"/>
      <c r="NWX9" s="56"/>
      <c r="NWY9" s="56"/>
      <c r="NXF9" s="56"/>
      <c r="NXG9" s="56"/>
      <c r="NXN9" s="56"/>
      <c r="NXO9" s="56"/>
      <c r="NXV9" s="56"/>
      <c r="NXW9" s="56"/>
      <c r="NYD9" s="56"/>
      <c r="NYE9" s="56"/>
      <c r="NYL9" s="56"/>
      <c r="NYM9" s="56"/>
      <c r="NYT9" s="56"/>
      <c r="NYU9" s="56"/>
      <c r="NZB9" s="56"/>
      <c r="NZC9" s="56"/>
      <c r="NZJ9" s="56"/>
      <c r="NZK9" s="56"/>
      <c r="NZR9" s="56"/>
      <c r="NZS9" s="56"/>
      <c r="NZZ9" s="56"/>
      <c r="OAA9" s="56"/>
      <c r="OAH9" s="56"/>
      <c r="OAI9" s="56"/>
      <c r="OAP9" s="56"/>
      <c r="OAQ9" s="56"/>
      <c r="OAX9" s="56"/>
      <c r="OAY9" s="56"/>
      <c r="OBF9" s="56"/>
      <c r="OBG9" s="56"/>
      <c r="OBN9" s="56"/>
      <c r="OBO9" s="56"/>
      <c r="OBV9" s="56"/>
      <c r="OBW9" s="56"/>
      <c r="OCD9" s="56"/>
      <c r="OCE9" s="56"/>
      <c r="OCL9" s="56"/>
      <c r="OCM9" s="56"/>
      <c r="OCT9" s="56"/>
      <c r="OCU9" s="56"/>
      <c r="ODB9" s="56"/>
      <c r="ODC9" s="56"/>
      <c r="ODJ9" s="56"/>
      <c r="ODK9" s="56"/>
      <c r="ODR9" s="56"/>
      <c r="ODS9" s="56"/>
      <c r="ODZ9" s="56"/>
      <c r="OEA9" s="56"/>
      <c r="OEH9" s="56"/>
      <c r="OEI9" s="56"/>
      <c r="OEP9" s="56"/>
      <c r="OEQ9" s="56"/>
      <c r="OEX9" s="56"/>
      <c r="OEY9" s="56"/>
      <c r="OFF9" s="56"/>
      <c r="OFG9" s="56"/>
      <c r="OFN9" s="56"/>
      <c r="OFO9" s="56"/>
      <c r="OFV9" s="56"/>
      <c r="OFW9" s="56"/>
      <c r="OGD9" s="56"/>
      <c r="OGE9" s="56"/>
      <c r="OGL9" s="56"/>
      <c r="OGM9" s="56"/>
      <c r="OGT9" s="56"/>
      <c r="OGU9" s="56"/>
      <c r="OHB9" s="56"/>
      <c r="OHC9" s="56"/>
      <c r="OHJ9" s="56"/>
      <c r="OHK9" s="56"/>
      <c r="OHR9" s="56"/>
      <c r="OHS9" s="56"/>
      <c r="OHZ9" s="56"/>
      <c r="OIA9" s="56"/>
      <c r="OIH9" s="56"/>
      <c r="OII9" s="56"/>
      <c r="OIP9" s="56"/>
      <c r="OIQ9" s="56"/>
      <c r="OIX9" s="56"/>
      <c r="OIY9" s="56"/>
      <c r="OJF9" s="56"/>
      <c r="OJG9" s="56"/>
      <c r="OJN9" s="56"/>
      <c r="OJO9" s="56"/>
      <c r="OJV9" s="56"/>
      <c r="OJW9" s="56"/>
      <c r="OKD9" s="56"/>
      <c r="OKE9" s="56"/>
      <c r="OKL9" s="56"/>
      <c r="OKM9" s="56"/>
      <c r="OKT9" s="56"/>
      <c r="OKU9" s="56"/>
      <c r="OLB9" s="56"/>
      <c r="OLC9" s="56"/>
      <c r="OLJ9" s="56"/>
      <c r="OLK9" s="56"/>
      <c r="OLR9" s="56"/>
      <c r="OLS9" s="56"/>
      <c r="OLZ9" s="56"/>
      <c r="OMA9" s="56"/>
      <c r="OMH9" s="56"/>
      <c r="OMI9" s="56"/>
      <c r="OMP9" s="56"/>
      <c r="OMQ9" s="56"/>
      <c r="OMX9" s="56"/>
      <c r="OMY9" s="56"/>
      <c r="ONF9" s="56"/>
      <c r="ONG9" s="56"/>
      <c r="ONN9" s="56"/>
      <c r="ONO9" s="56"/>
      <c r="ONV9" s="56"/>
      <c r="ONW9" s="56"/>
      <c r="OOD9" s="56"/>
      <c r="OOE9" s="56"/>
      <c r="OOL9" s="56"/>
      <c r="OOM9" s="56"/>
      <c r="OOT9" s="56"/>
      <c r="OOU9" s="56"/>
      <c r="OPB9" s="56"/>
      <c r="OPC9" s="56"/>
      <c r="OPJ9" s="56"/>
      <c r="OPK9" s="56"/>
      <c r="OPR9" s="56"/>
      <c r="OPS9" s="56"/>
      <c r="OPZ9" s="56"/>
      <c r="OQA9" s="56"/>
      <c r="OQH9" s="56"/>
      <c r="OQI9" s="56"/>
      <c r="OQP9" s="56"/>
      <c r="OQQ9" s="56"/>
      <c r="OQX9" s="56"/>
      <c r="OQY9" s="56"/>
      <c r="ORF9" s="56"/>
      <c r="ORG9" s="56"/>
      <c r="ORN9" s="56"/>
      <c r="ORO9" s="56"/>
      <c r="ORV9" s="56"/>
      <c r="ORW9" s="56"/>
      <c r="OSD9" s="56"/>
      <c r="OSE9" s="56"/>
      <c r="OSL9" s="56"/>
      <c r="OSM9" s="56"/>
      <c r="OST9" s="56"/>
      <c r="OSU9" s="56"/>
      <c r="OTB9" s="56"/>
      <c r="OTC9" s="56"/>
      <c r="OTJ9" s="56"/>
      <c r="OTK9" s="56"/>
      <c r="OTR9" s="56"/>
      <c r="OTS9" s="56"/>
      <c r="OTZ9" s="56"/>
      <c r="OUA9" s="56"/>
      <c r="OUH9" s="56"/>
      <c r="OUI9" s="56"/>
      <c r="OUP9" s="56"/>
      <c r="OUQ9" s="56"/>
      <c r="OUX9" s="56"/>
      <c r="OUY9" s="56"/>
      <c r="OVF9" s="56"/>
      <c r="OVG9" s="56"/>
      <c r="OVN9" s="56"/>
      <c r="OVO9" s="56"/>
      <c r="OVV9" s="56"/>
      <c r="OVW9" s="56"/>
      <c r="OWD9" s="56"/>
      <c r="OWE9" s="56"/>
      <c r="OWL9" s="56"/>
      <c r="OWM9" s="56"/>
      <c r="OWT9" s="56"/>
      <c r="OWU9" s="56"/>
      <c r="OXB9" s="56"/>
      <c r="OXC9" s="56"/>
      <c r="OXJ9" s="56"/>
      <c r="OXK9" s="56"/>
      <c r="OXR9" s="56"/>
      <c r="OXS9" s="56"/>
      <c r="OXZ9" s="56"/>
      <c r="OYA9" s="56"/>
      <c r="OYH9" s="56"/>
      <c r="OYI9" s="56"/>
      <c r="OYP9" s="56"/>
      <c r="OYQ9" s="56"/>
      <c r="OYX9" s="56"/>
      <c r="OYY9" s="56"/>
      <c r="OZF9" s="56"/>
      <c r="OZG9" s="56"/>
      <c r="OZN9" s="56"/>
      <c r="OZO9" s="56"/>
      <c r="OZV9" s="56"/>
      <c r="OZW9" s="56"/>
      <c r="PAD9" s="56"/>
      <c r="PAE9" s="56"/>
      <c r="PAL9" s="56"/>
      <c r="PAM9" s="56"/>
      <c r="PAT9" s="56"/>
      <c r="PAU9" s="56"/>
      <c r="PBB9" s="56"/>
      <c r="PBC9" s="56"/>
      <c r="PBJ9" s="56"/>
      <c r="PBK9" s="56"/>
      <c r="PBR9" s="56"/>
      <c r="PBS9" s="56"/>
      <c r="PBZ9" s="56"/>
      <c r="PCA9" s="56"/>
      <c r="PCH9" s="56"/>
      <c r="PCI9" s="56"/>
      <c r="PCP9" s="56"/>
      <c r="PCQ9" s="56"/>
      <c r="PCX9" s="56"/>
      <c r="PCY9" s="56"/>
      <c r="PDF9" s="56"/>
      <c r="PDG9" s="56"/>
      <c r="PDN9" s="56"/>
      <c r="PDO9" s="56"/>
      <c r="PDV9" s="56"/>
      <c r="PDW9" s="56"/>
      <c r="PED9" s="56"/>
      <c r="PEE9" s="56"/>
      <c r="PEL9" s="56"/>
      <c r="PEM9" s="56"/>
      <c r="PET9" s="56"/>
      <c r="PEU9" s="56"/>
      <c r="PFB9" s="56"/>
      <c r="PFC9" s="56"/>
      <c r="PFJ9" s="56"/>
      <c r="PFK9" s="56"/>
      <c r="PFR9" s="56"/>
      <c r="PFS9" s="56"/>
      <c r="PFZ9" s="56"/>
      <c r="PGA9" s="56"/>
      <c r="PGH9" s="56"/>
      <c r="PGI9" s="56"/>
      <c r="PGP9" s="56"/>
      <c r="PGQ9" s="56"/>
      <c r="PGX9" s="56"/>
      <c r="PGY9" s="56"/>
      <c r="PHF9" s="56"/>
      <c r="PHG9" s="56"/>
      <c r="PHN9" s="56"/>
      <c r="PHO9" s="56"/>
      <c r="PHV9" s="56"/>
      <c r="PHW9" s="56"/>
      <c r="PID9" s="56"/>
      <c r="PIE9" s="56"/>
      <c r="PIL9" s="56"/>
      <c r="PIM9" s="56"/>
      <c r="PIT9" s="56"/>
      <c r="PIU9" s="56"/>
      <c r="PJB9" s="56"/>
      <c r="PJC9" s="56"/>
      <c r="PJJ9" s="56"/>
      <c r="PJK9" s="56"/>
      <c r="PJR9" s="56"/>
      <c r="PJS9" s="56"/>
      <c r="PJZ9" s="56"/>
      <c r="PKA9" s="56"/>
      <c r="PKH9" s="56"/>
      <c r="PKI9" s="56"/>
      <c r="PKP9" s="56"/>
      <c r="PKQ9" s="56"/>
      <c r="PKX9" s="56"/>
      <c r="PKY9" s="56"/>
      <c r="PLF9" s="56"/>
      <c r="PLG9" s="56"/>
      <c r="PLN9" s="56"/>
      <c r="PLO9" s="56"/>
      <c r="PLV9" s="56"/>
      <c r="PLW9" s="56"/>
      <c r="PMD9" s="56"/>
      <c r="PME9" s="56"/>
      <c r="PML9" s="56"/>
      <c r="PMM9" s="56"/>
      <c r="PMT9" s="56"/>
      <c r="PMU9" s="56"/>
      <c r="PNB9" s="56"/>
      <c r="PNC9" s="56"/>
      <c r="PNJ9" s="56"/>
      <c r="PNK9" s="56"/>
      <c r="PNR9" s="56"/>
      <c r="PNS9" s="56"/>
      <c r="PNZ9" s="56"/>
      <c r="POA9" s="56"/>
      <c r="POH9" s="56"/>
      <c r="POI9" s="56"/>
      <c r="POP9" s="56"/>
      <c r="POQ9" s="56"/>
      <c r="POX9" s="56"/>
      <c r="POY9" s="56"/>
      <c r="PPF9" s="56"/>
      <c r="PPG9" s="56"/>
      <c r="PPN9" s="56"/>
      <c r="PPO9" s="56"/>
      <c r="PPV9" s="56"/>
      <c r="PPW9" s="56"/>
      <c r="PQD9" s="56"/>
      <c r="PQE9" s="56"/>
      <c r="PQL9" s="56"/>
      <c r="PQM9" s="56"/>
      <c r="PQT9" s="56"/>
      <c r="PQU9" s="56"/>
      <c r="PRB9" s="56"/>
      <c r="PRC9" s="56"/>
      <c r="PRJ9" s="56"/>
      <c r="PRK9" s="56"/>
      <c r="PRR9" s="56"/>
      <c r="PRS9" s="56"/>
      <c r="PRZ9" s="56"/>
      <c r="PSA9" s="56"/>
      <c r="PSH9" s="56"/>
      <c r="PSI9" s="56"/>
      <c r="PSP9" s="56"/>
      <c r="PSQ9" s="56"/>
      <c r="PSX9" s="56"/>
      <c r="PSY9" s="56"/>
      <c r="PTF9" s="56"/>
      <c r="PTG9" s="56"/>
      <c r="PTN9" s="56"/>
      <c r="PTO9" s="56"/>
      <c r="PTV9" s="56"/>
      <c r="PTW9" s="56"/>
      <c r="PUD9" s="56"/>
      <c r="PUE9" s="56"/>
      <c r="PUL9" s="56"/>
      <c r="PUM9" s="56"/>
      <c r="PUT9" s="56"/>
      <c r="PUU9" s="56"/>
      <c r="PVB9" s="56"/>
      <c r="PVC9" s="56"/>
      <c r="PVJ9" s="56"/>
      <c r="PVK9" s="56"/>
      <c r="PVR9" s="56"/>
      <c r="PVS9" s="56"/>
      <c r="PVZ9" s="56"/>
      <c r="PWA9" s="56"/>
      <c r="PWH9" s="56"/>
      <c r="PWI9" s="56"/>
      <c r="PWP9" s="56"/>
      <c r="PWQ9" s="56"/>
      <c r="PWX9" s="56"/>
      <c r="PWY9" s="56"/>
      <c r="PXF9" s="56"/>
      <c r="PXG9" s="56"/>
      <c r="PXN9" s="56"/>
      <c r="PXO9" s="56"/>
      <c r="PXV9" s="56"/>
      <c r="PXW9" s="56"/>
      <c r="PYD9" s="56"/>
      <c r="PYE9" s="56"/>
      <c r="PYL9" s="56"/>
      <c r="PYM9" s="56"/>
      <c r="PYT9" s="56"/>
      <c r="PYU9" s="56"/>
      <c r="PZB9" s="56"/>
      <c r="PZC9" s="56"/>
      <c r="PZJ9" s="56"/>
      <c r="PZK9" s="56"/>
      <c r="PZR9" s="56"/>
      <c r="PZS9" s="56"/>
      <c r="PZZ9" s="56"/>
      <c r="QAA9" s="56"/>
      <c r="QAH9" s="56"/>
      <c r="QAI9" s="56"/>
      <c r="QAP9" s="56"/>
      <c r="QAQ9" s="56"/>
      <c r="QAX9" s="56"/>
      <c r="QAY9" s="56"/>
      <c r="QBF9" s="56"/>
      <c r="QBG9" s="56"/>
      <c r="QBN9" s="56"/>
      <c r="QBO9" s="56"/>
      <c r="QBV9" s="56"/>
      <c r="QBW9" s="56"/>
      <c r="QCD9" s="56"/>
      <c r="QCE9" s="56"/>
      <c r="QCL9" s="56"/>
      <c r="QCM9" s="56"/>
      <c r="QCT9" s="56"/>
      <c r="QCU9" s="56"/>
      <c r="QDB9" s="56"/>
      <c r="QDC9" s="56"/>
      <c r="QDJ9" s="56"/>
      <c r="QDK9" s="56"/>
      <c r="QDR9" s="56"/>
      <c r="QDS9" s="56"/>
      <c r="QDZ9" s="56"/>
      <c r="QEA9" s="56"/>
      <c r="QEH9" s="56"/>
      <c r="QEI9" s="56"/>
      <c r="QEP9" s="56"/>
      <c r="QEQ9" s="56"/>
      <c r="QEX9" s="56"/>
      <c r="QEY9" s="56"/>
      <c r="QFF9" s="56"/>
      <c r="QFG9" s="56"/>
      <c r="QFN9" s="56"/>
      <c r="QFO9" s="56"/>
      <c r="QFV9" s="56"/>
      <c r="QFW9" s="56"/>
      <c r="QGD9" s="56"/>
      <c r="QGE9" s="56"/>
      <c r="QGL9" s="56"/>
      <c r="QGM9" s="56"/>
      <c r="QGT9" s="56"/>
      <c r="QGU9" s="56"/>
      <c r="QHB9" s="56"/>
      <c r="QHC9" s="56"/>
      <c r="QHJ9" s="56"/>
      <c r="QHK9" s="56"/>
      <c r="QHR9" s="56"/>
      <c r="QHS9" s="56"/>
      <c r="QHZ9" s="56"/>
      <c r="QIA9" s="56"/>
      <c r="QIH9" s="56"/>
      <c r="QII9" s="56"/>
      <c r="QIP9" s="56"/>
      <c r="QIQ9" s="56"/>
      <c r="QIX9" s="56"/>
      <c r="QIY9" s="56"/>
      <c r="QJF9" s="56"/>
      <c r="QJG9" s="56"/>
      <c r="QJN9" s="56"/>
      <c r="QJO9" s="56"/>
      <c r="QJV9" s="56"/>
      <c r="QJW9" s="56"/>
      <c r="QKD9" s="56"/>
      <c r="QKE9" s="56"/>
      <c r="QKL9" s="56"/>
      <c r="QKM9" s="56"/>
      <c r="QKT9" s="56"/>
      <c r="QKU9" s="56"/>
      <c r="QLB9" s="56"/>
      <c r="QLC9" s="56"/>
      <c r="QLJ9" s="56"/>
      <c r="QLK9" s="56"/>
      <c r="QLR9" s="56"/>
      <c r="QLS9" s="56"/>
      <c r="QLZ9" s="56"/>
      <c r="QMA9" s="56"/>
      <c r="QMH9" s="56"/>
      <c r="QMI9" s="56"/>
      <c r="QMP9" s="56"/>
      <c r="QMQ9" s="56"/>
      <c r="QMX9" s="56"/>
      <c r="QMY9" s="56"/>
      <c r="QNF9" s="56"/>
      <c r="QNG9" s="56"/>
      <c r="QNN9" s="56"/>
      <c r="QNO9" s="56"/>
      <c r="QNV9" s="56"/>
      <c r="QNW9" s="56"/>
      <c r="QOD9" s="56"/>
      <c r="QOE9" s="56"/>
      <c r="QOL9" s="56"/>
      <c r="QOM9" s="56"/>
      <c r="QOT9" s="56"/>
      <c r="QOU9" s="56"/>
      <c r="QPB9" s="56"/>
      <c r="QPC9" s="56"/>
      <c r="QPJ9" s="56"/>
      <c r="QPK9" s="56"/>
      <c r="QPR9" s="56"/>
      <c r="QPS9" s="56"/>
      <c r="QPZ9" s="56"/>
      <c r="QQA9" s="56"/>
      <c r="QQH9" s="56"/>
      <c r="QQI9" s="56"/>
      <c r="QQP9" s="56"/>
      <c r="QQQ9" s="56"/>
      <c r="QQX9" s="56"/>
      <c r="QQY9" s="56"/>
      <c r="QRF9" s="56"/>
      <c r="QRG9" s="56"/>
      <c r="QRN9" s="56"/>
      <c r="QRO9" s="56"/>
      <c r="QRV9" s="56"/>
      <c r="QRW9" s="56"/>
      <c r="QSD9" s="56"/>
      <c r="QSE9" s="56"/>
      <c r="QSL9" s="56"/>
      <c r="QSM9" s="56"/>
      <c r="QST9" s="56"/>
      <c r="QSU9" s="56"/>
      <c r="QTB9" s="56"/>
      <c r="QTC9" s="56"/>
      <c r="QTJ9" s="56"/>
      <c r="QTK9" s="56"/>
      <c r="QTR9" s="56"/>
      <c r="QTS9" s="56"/>
      <c r="QTZ9" s="56"/>
      <c r="QUA9" s="56"/>
      <c r="QUH9" s="56"/>
      <c r="QUI9" s="56"/>
      <c r="QUP9" s="56"/>
      <c r="QUQ9" s="56"/>
      <c r="QUX9" s="56"/>
      <c r="QUY9" s="56"/>
      <c r="QVF9" s="56"/>
      <c r="QVG9" s="56"/>
      <c r="QVN9" s="56"/>
      <c r="QVO9" s="56"/>
      <c r="QVV9" s="56"/>
      <c r="QVW9" s="56"/>
      <c r="QWD9" s="56"/>
      <c r="QWE9" s="56"/>
      <c r="QWL9" s="56"/>
      <c r="QWM9" s="56"/>
      <c r="QWT9" s="56"/>
      <c r="QWU9" s="56"/>
      <c r="QXB9" s="56"/>
      <c r="QXC9" s="56"/>
      <c r="QXJ9" s="56"/>
      <c r="QXK9" s="56"/>
      <c r="QXR9" s="56"/>
      <c r="QXS9" s="56"/>
      <c r="QXZ9" s="56"/>
      <c r="QYA9" s="56"/>
      <c r="QYH9" s="56"/>
      <c r="QYI9" s="56"/>
      <c r="QYP9" s="56"/>
      <c r="QYQ9" s="56"/>
      <c r="QYX9" s="56"/>
      <c r="QYY9" s="56"/>
      <c r="QZF9" s="56"/>
      <c r="QZG9" s="56"/>
      <c r="QZN9" s="56"/>
      <c r="QZO9" s="56"/>
      <c r="QZV9" s="56"/>
      <c r="QZW9" s="56"/>
      <c r="RAD9" s="56"/>
      <c r="RAE9" s="56"/>
      <c r="RAL9" s="56"/>
      <c r="RAM9" s="56"/>
      <c r="RAT9" s="56"/>
      <c r="RAU9" s="56"/>
      <c r="RBB9" s="56"/>
      <c r="RBC9" s="56"/>
      <c r="RBJ9" s="56"/>
      <c r="RBK9" s="56"/>
      <c r="RBR9" s="56"/>
      <c r="RBS9" s="56"/>
      <c r="RBZ9" s="56"/>
      <c r="RCA9" s="56"/>
      <c r="RCH9" s="56"/>
      <c r="RCI9" s="56"/>
      <c r="RCP9" s="56"/>
      <c r="RCQ9" s="56"/>
      <c r="RCX9" s="56"/>
      <c r="RCY9" s="56"/>
      <c r="RDF9" s="56"/>
      <c r="RDG9" s="56"/>
      <c r="RDN9" s="56"/>
      <c r="RDO9" s="56"/>
      <c r="RDV9" s="56"/>
      <c r="RDW9" s="56"/>
      <c r="RED9" s="56"/>
      <c r="REE9" s="56"/>
      <c r="REL9" s="56"/>
      <c r="REM9" s="56"/>
      <c r="RET9" s="56"/>
      <c r="REU9" s="56"/>
      <c r="RFB9" s="56"/>
      <c r="RFC9" s="56"/>
      <c r="RFJ9" s="56"/>
      <c r="RFK9" s="56"/>
      <c r="RFR9" s="56"/>
      <c r="RFS9" s="56"/>
      <c r="RFZ9" s="56"/>
      <c r="RGA9" s="56"/>
      <c r="RGH9" s="56"/>
      <c r="RGI9" s="56"/>
      <c r="RGP9" s="56"/>
      <c r="RGQ9" s="56"/>
      <c r="RGX9" s="56"/>
      <c r="RGY9" s="56"/>
      <c r="RHF9" s="56"/>
      <c r="RHG9" s="56"/>
      <c r="RHN9" s="56"/>
      <c r="RHO9" s="56"/>
      <c r="RHV9" s="56"/>
      <c r="RHW9" s="56"/>
      <c r="RID9" s="56"/>
      <c r="RIE9" s="56"/>
      <c r="RIL9" s="56"/>
      <c r="RIM9" s="56"/>
      <c r="RIT9" s="56"/>
      <c r="RIU9" s="56"/>
      <c r="RJB9" s="56"/>
      <c r="RJC9" s="56"/>
      <c r="RJJ9" s="56"/>
      <c r="RJK9" s="56"/>
      <c r="RJR9" s="56"/>
      <c r="RJS9" s="56"/>
      <c r="RJZ9" s="56"/>
      <c r="RKA9" s="56"/>
      <c r="RKH9" s="56"/>
      <c r="RKI9" s="56"/>
      <c r="RKP9" s="56"/>
      <c r="RKQ9" s="56"/>
      <c r="RKX9" s="56"/>
      <c r="RKY9" s="56"/>
      <c r="RLF9" s="56"/>
      <c r="RLG9" s="56"/>
      <c r="RLN9" s="56"/>
      <c r="RLO9" s="56"/>
      <c r="RLV9" s="56"/>
      <c r="RLW9" s="56"/>
      <c r="RMD9" s="56"/>
      <c r="RME9" s="56"/>
      <c r="RML9" s="56"/>
      <c r="RMM9" s="56"/>
      <c r="RMT9" s="56"/>
      <c r="RMU9" s="56"/>
      <c r="RNB9" s="56"/>
      <c r="RNC9" s="56"/>
      <c r="RNJ9" s="56"/>
      <c r="RNK9" s="56"/>
      <c r="RNR9" s="56"/>
      <c r="RNS9" s="56"/>
      <c r="RNZ9" s="56"/>
      <c r="ROA9" s="56"/>
      <c r="ROH9" s="56"/>
      <c r="ROI9" s="56"/>
      <c r="ROP9" s="56"/>
      <c r="ROQ9" s="56"/>
      <c r="ROX9" s="56"/>
      <c r="ROY9" s="56"/>
      <c r="RPF9" s="56"/>
      <c r="RPG9" s="56"/>
      <c r="RPN9" s="56"/>
      <c r="RPO9" s="56"/>
      <c r="RPV9" s="56"/>
      <c r="RPW9" s="56"/>
      <c r="RQD9" s="56"/>
      <c r="RQE9" s="56"/>
      <c r="RQL9" s="56"/>
      <c r="RQM9" s="56"/>
      <c r="RQT9" s="56"/>
      <c r="RQU9" s="56"/>
      <c r="RRB9" s="56"/>
      <c r="RRC9" s="56"/>
      <c r="RRJ9" s="56"/>
      <c r="RRK9" s="56"/>
      <c r="RRR9" s="56"/>
      <c r="RRS9" s="56"/>
      <c r="RRZ9" s="56"/>
      <c r="RSA9" s="56"/>
      <c r="RSH9" s="56"/>
      <c r="RSI9" s="56"/>
      <c r="RSP9" s="56"/>
      <c r="RSQ9" s="56"/>
      <c r="RSX9" s="56"/>
      <c r="RSY9" s="56"/>
      <c r="RTF9" s="56"/>
      <c r="RTG9" s="56"/>
      <c r="RTN9" s="56"/>
      <c r="RTO9" s="56"/>
      <c r="RTV9" s="56"/>
      <c r="RTW9" s="56"/>
      <c r="RUD9" s="56"/>
      <c r="RUE9" s="56"/>
      <c r="RUL9" s="56"/>
      <c r="RUM9" s="56"/>
      <c r="RUT9" s="56"/>
      <c r="RUU9" s="56"/>
      <c r="RVB9" s="56"/>
      <c r="RVC9" s="56"/>
      <c r="RVJ9" s="56"/>
      <c r="RVK9" s="56"/>
      <c r="RVR9" s="56"/>
      <c r="RVS9" s="56"/>
      <c r="RVZ9" s="56"/>
      <c r="RWA9" s="56"/>
      <c r="RWH9" s="56"/>
      <c r="RWI9" s="56"/>
      <c r="RWP9" s="56"/>
      <c r="RWQ9" s="56"/>
      <c r="RWX9" s="56"/>
      <c r="RWY9" s="56"/>
      <c r="RXF9" s="56"/>
      <c r="RXG9" s="56"/>
      <c r="RXN9" s="56"/>
      <c r="RXO9" s="56"/>
      <c r="RXV9" s="56"/>
      <c r="RXW9" s="56"/>
      <c r="RYD9" s="56"/>
      <c r="RYE9" s="56"/>
      <c r="RYL9" s="56"/>
      <c r="RYM9" s="56"/>
      <c r="RYT9" s="56"/>
      <c r="RYU9" s="56"/>
      <c r="RZB9" s="56"/>
      <c r="RZC9" s="56"/>
      <c r="RZJ9" s="56"/>
      <c r="RZK9" s="56"/>
      <c r="RZR9" s="56"/>
      <c r="RZS9" s="56"/>
      <c r="RZZ9" s="56"/>
      <c r="SAA9" s="56"/>
      <c r="SAH9" s="56"/>
      <c r="SAI9" s="56"/>
      <c r="SAP9" s="56"/>
      <c r="SAQ9" s="56"/>
      <c r="SAX9" s="56"/>
      <c r="SAY9" s="56"/>
      <c r="SBF9" s="56"/>
      <c r="SBG9" s="56"/>
      <c r="SBN9" s="56"/>
      <c r="SBO9" s="56"/>
      <c r="SBV9" s="56"/>
      <c r="SBW9" s="56"/>
      <c r="SCD9" s="56"/>
      <c r="SCE9" s="56"/>
      <c r="SCL9" s="56"/>
      <c r="SCM9" s="56"/>
      <c r="SCT9" s="56"/>
      <c r="SCU9" s="56"/>
      <c r="SDB9" s="56"/>
      <c r="SDC9" s="56"/>
      <c r="SDJ9" s="56"/>
      <c r="SDK9" s="56"/>
      <c r="SDR9" s="56"/>
      <c r="SDS9" s="56"/>
      <c r="SDZ9" s="56"/>
      <c r="SEA9" s="56"/>
      <c r="SEH9" s="56"/>
      <c r="SEI9" s="56"/>
      <c r="SEP9" s="56"/>
      <c r="SEQ9" s="56"/>
      <c r="SEX9" s="56"/>
      <c r="SEY9" s="56"/>
      <c r="SFF9" s="56"/>
      <c r="SFG9" s="56"/>
      <c r="SFN9" s="56"/>
      <c r="SFO9" s="56"/>
      <c r="SFV9" s="56"/>
      <c r="SFW9" s="56"/>
      <c r="SGD9" s="56"/>
      <c r="SGE9" s="56"/>
      <c r="SGL9" s="56"/>
      <c r="SGM9" s="56"/>
      <c r="SGT9" s="56"/>
      <c r="SGU9" s="56"/>
      <c r="SHB9" s="56"/>
      <c r="SHC9" s="56"/>
      <c r="SHJ9" s="56"/>
      <c r="SHK9" s="56"/>
      <c r="SHR9" s="56"/>
      <c r="SHS9" s="56"/>
      <c r="SHZ9" s="56"/>
      <c r="SIA9" s="56"/>
      <c r="SIH9" s="56"/>
      <c r="SII9" s="56"/>
      <c r="SIP9" s="56"/>
      <c r="SIQ9" s="56"/>
      <c r="SIX9" s="56"/>
      <c r="SIY9" s="56"/>
      <c r="SJF9" s="56"/>
      <c r="SJG9" s="56"/>
      <c r="SJN9" s="56"/>
      <c r="SJO9" s="56"/>
      <c r="SJV9" s="56"/>
      <c r="SJW9" s="56"/>
      <c r="SKD9" s="56"/>
      <c r="SKE9" s="56"/>
      <c r="SKL9" s="56"/>
      <c r="SKM9" s="56"/>
      <c r="SKT9" s="56"/>
      <c r="SKU9" s="56"/>
      <c r="SLB9" s="56"/>
      <c r="SLC9" s="56"/>
      <c r="SLJ9" s="56"/>
      <c r="SLK9" s="56"/>
      <c r="SLR9" s="56"/>
      <c r="SLS9" s="56"/>
      <c r="SLZ9" s="56"/>
      <c r="SMA9" s="56"/>
      <c r="SMH9" s="56"/>
      <c r="SMI9" s="56"/>
      <c r="SMP9" s="56"/>
      <c r="SMQ9" s="56"/>
      <c r="SMX9" s="56"/>
      <c r="SMY9" s="56"/>
      <c r="SNF9" s="56"/>
      <c r="SNG9" s="56"/>
      <c r="SNN9" s="56"/>
      <c r="SNO9" s="56"/>
      <c r="SNV9" s="56"/>
      <c r="SNW9" s="56"/>
      <c r="SOD9" s="56"/>
      <c r="SOE9" s="56"/>
      <c r="SOL9" s="56"/>
      <c r="SOM9" s="56"/>
      <c r="SOT9" s="56"/>
      <c r="SOU9" s="56"/>
      <c r="SPB9" s="56"/>
      <c r="SPC9" s="56"/>
      <c r="SPJ9" s="56"/>
      <c r="SPK9" s="56"/>
      <c r="SPR9" s="56"/>
      <c r="SPS9" s="56"/>
      <c r="SPZ9" s="56"/>
      <c r="SQA9" s="56"/>
      <c r="SQH9" s="56"/>
      <c r="SQI9" s="56"/>
      <c r="SQP9" s="56"/>
      <c r="SQQ9" s="56"/>
      <c r="SQX9" s="56"/>
      <c r="SQY9" s="56"/>
      <c r="SRF9" s="56"/>
      <c r="SRG9" s="56"/>
      <c r="SRN9" s="56"/>
      <c r="SRO9" s="56"/>
      <c r="SRV9" s="56"/>
      <c r="SRW9" s="56"/>
      <c r="SSD9" s="56"/>
      <c r="SSE9" s="56"/>
      <c r="SSL9" s="56"/>
      <c r="SSM9" s="56"/>
      <c r="SST9" s="56"/>
      <c r="SSU9" s="56"/>
      <c r="STB9" s="56"/>
      <c r="STC9" s="56"/>
      <c r="STJ9" s="56"/>
      <c r="STK9" s="56"/>
      <c r="STR9" s="56"/>
      <c r="STS9" s="56"/>
      <c r="STZ9" s="56"/>
      <c r="SUA9" s="56"/>
      <c r="SUH9" s="56"/>
      <c r="SUI9" s="56"/>
      <c r="SUP9" s="56"/>
      <c r="SUQ9" s="56"/>
      <c r="SUX9" s="56"/>
      <c r="SUY9" s="56"/>
      <c r="SVF9" s="56"/>
      <c r="SVG9" s="56"/>
      <c r="SVN9" s="56"/>
      <c r="SVO9" s="56"/>
      <c r="SVV9" s="56"/>
      <c r="SVW9" s="56"/>
      <c r="SWD9" s="56"/>
      <c r="SWE9" s="56"/>
      <c r="SWL9" s="56"/>
      <c r="SWM9" s="56"/>
      <c r="SWT9" s="56"/>
      <c r="SWU9" s="56"/>
      <c r="SXB9" s="56"/>
      <c r="SXC9" s="56"/>
      <c r="SXJ9" s="56"/>
      <c r="SXK9" s="56"/>
      <c r="SXR9" s="56"/>
      <c r="SXS9" s="56"/>
      <c r="SXZ9" s="56"/>
      <c r="SYA9" s="56"/>
      <c r="SYH9" s="56"/>
      <c r="SYI9" s="56"/>
      <c r="SYP9" s="56"/>
      <c r="SYQ9" s="56"/>
      <c r="SYX9" s="56"/>
      <c r="SYY9" s="56"/>
      <c r="SZF9" s="56"/>
      <c r="SZG9" s="56"/>
      <c r="SZN9" s="56"/>
      <c r="SZO9" s="56"/>
      <c r="SZV9" s="56"/>
      <c r="SZW9" s="56"/>
      <c r="TAD9" s="56"/>
      <c r="TAE9" s="56"/>
      <c r="TAL9" s="56"/>
      <c r="TAM9" s="56"/>
      <c r="TAT9" s="56"/>
      <c r="TAU9" s="56"/>
      <c r="TBB9" s="56"/>
      <c r="TBC9" s="56"/>
      <c r="TBJ9" s="56"/>
      <c r="TBK9" s="56"/>
      <c r="TBR9" s="56"/>
      <c r="TBS9" s="56"/>
      <c r="TBZ9" s="56"/>
      <c r="TCA9" s="56"/>
      <c r="TCH9" s="56"/>
      <c r="TCI9" s="56"/>
      <c r="TCP9" s="56"/>
      <c r="TCQ9" s="56"/>
      <c r="TCX9" s="56"/>
      <c r="TCY9" s="56"/>
      <c r="TDF9" s="56"/>
      <c r="TDG9" s="56"/>
      <c r="TDN9" s="56"/>
      <c r="TDO9" s="56"/>
      <c r="TDV9" s="56"/>
      <c r="TDW9" s="56"/>
      <c r="TED9" s="56"/>
      <c r="TEE9" s="56"/>
      <c r="TEL9" s="56"/>
      <c r="TEM9" s="56"/>
      <c r="TET9" s="56"/>
      <c r="TEU9" s="56"/>
      <c r="TFB9" s="56"/>
      <c r="TFC9" s="56"/>
      <c r="TFJ9" s="56"/>
      <c r="TFK9" s="56"/>
      <c r="TFR9" s="56"/>
      <c r="TFS9" s="56"/>
      <c r="TFZ9" s="56"/>
      <c r="TGA9" s="56"/>
      <c r="TGH9" s="56"/>
      <c r="TGI9" s="56"/>
      <c r="TGP9" s="56"/>
      <c r="TGQ9" s="56"/>
      <c r="TGX9" s="56"/>
      <c r="TGY9" s="56"/>
      <c r="THF9" s="56"/>
      <c r="THG9" s="56"/>
      <c r="THN9" s="56"/>
      <c r="THO9" s="56"/>
      <c r="THV9" s="56"/>
      <c r="THW9" s="56"/>
      <c r="TID9" s="56"/>
      <c r="TIE9" s="56"/>
      <c r="TIL9" s="56"/>
      <c r="TIM9" s="56"/>
      <c r="TIT9" s="56"/>
      <c r="TIU9" s="56"/>
      <c r="TJB9" s="56"/>
      <c r="TJC9" s="56"/>
      <c r="TJJ9" s="56"/>
      <c r="TJK9" s="56"/>
      <c r="TJR9" s="56"/>
      <c r="TJS9" s="56"/>
      <c r="TJZ9" s="56"/>
      <c r="TKA9" s="56"/>
      <c r="TKH9" s="56"/>
      <c r="TKI9" s="56"/>
      <c r="TKP9" s="56"/>
      <c r="TKQ9" s="56"/>
      <c r="TKX9" s="56"/>
      <c r="TKY9" s="56"/>
      <c r="TLF9" s="56"/>
      <c r="TLG9" s="56"/>
      <c r="TLN9" s="56"/>
      <c r="TLO9" s="56"/>
      <c r="TLV9" s="56"/>
      <c r="TLW9" s="56"/>
      <c r="TMD9" s="56"/>
      <c r="TME9" s="56"/>
      <c r="TML9" s="56"/>
      <c r="TMM9" s="56"/>
      <c r="TMT9" s="56"/>
      <c r="TMU9" s="56"/>
      <c r="TNB9" s="56"/>
      <c r="TNC9" s="56"/>
      <c r="TNJ9" s="56"/>
      <c r="TNK9" s="56"/>
      <c r="TNR9" s="56"/>
      <c r="TNS9" s="56"/>
      <c r="TNZ9" s="56"/>
      <c r="TOA9" s="56"/>
      <c r="TOH9" s="56"/>
      <c r="TOI9" s="56"/>
      <c r="TOP9" s="56"/>
      <c r="TOQ9" s="56"/>
      <c r="TOX9" s="56"/>
      <c r="TOY9" s="56"/>
      <c r="TPF9" s="56"/>
      <c r="TPG9" s="56"/>
      <c r="TPN9" s="56"/>
      <c r="TPO9" s="56"/>
      <c r="TPV9" s="56"/>
      <c r="TPW9" s="56"/>
      <c r="TQD9" s="56"/>
      <c r="TQE9" s="56"/>
      <c r="TQL9" s="56"/>
      <c r="TQM9" s="56"/>
      <c r="TQT9" s="56"/>
      <c r="TQU9" s="56"/>
      <c r="TRB9" s="56"/>
      <c r="TRC9" s="56"/>
      <c r="TRJ9" s="56"/>
      <c r="TRK9" s="56"/>
      <c r="TRR9" s="56"/>
      <c r="TRS9" s="56"/>
      <c r="TRZ9" s="56"/>
      <c r="TSA9" s="56"/>
      <c r="TSH9" s="56"/>
      <c r="TSI9" s="56"/>
      <c r="TSP9" s="56"/>
      <c r="TSQ9" s="56"/>
      <c r="TSX9" s="56"/>
      <c r="TSY9" s="56"/>
      <c r="TTF9" s="56"/>
      <c r="TTG9" s="56"/>
      <c r="TTN9" s="56"/>
      <c r="TTO9" s="56"/>
      <c r="TTV9" s="56"/>
      <c r="TTW9" s="56"/>
      <c r="TUD9" s="56"/>
      <c r="TUE9" s="56"/>
      <c r="TUL9" s="56"/>
      <c r="TUM9" s="56"/>
      <c r="TUT9" s="56"/>
      <c r="TUU9" s="56"/>
      <c r="TVB9" s="56"/>
      <c r="TVC9" s="56"/>
      <c r="TVJ9" s="56"/>
      <c r="TVK9" s="56"/>
      <c r="TVR9" s="56"/>
      <c r="TVS9" s="56"/>
      <c r="TVZ9" s="56"/>
      <c r="TWA9" s="56"/>
      <c r="TWH9" s="56"/>
      <c r="TWI9" s="56"/>
      <c r="TWP9" s="56"/>
      <c r="TWQ9" s="56"/>
      <c r="TWX9" s="56"/>
      <c r="TWY9" s="56"/>
      <c r="TXF9" s="56"/>
      <c r="TXG9" s="56"/>
      <c r="TXN9" s="56"/>
      <c r="TXO9" s="56"/>
      <c r="TXV9" s="56"/>
      <c r="TXW9" s="56"/>
      <c r="TYD9" s="56"/>
      <c r="TYE9" s="56"/>
      <c r="TYL9" s="56"/>
      <c r="TYM9" s="56"/>
      <c r="TYT9" s="56"/>
      <c r="TYU9" s="56"/>
      <c r="TZB9" s="56"/>
      <c r="TZC9" s="56"/>
      <c r="TZJ9" s="56"/>
      <c r="TZK9" s="56"/>
      <c r="TZR9" s="56"/>
      <c r="TZS9" s="56"/>
      <c r="TZZ9" s="56"/>
      <c r="UAA9" s="56"/>
      <c r="UAH9" s="56"/>
      <c r="UAI9" s="56"/>
      <c r="UAP9" s="56"/>
      <c r="UAQ9" s="56"/>
      <c r="UAX9" s="56"/>
      <c r="UAY9" s="56"/>
      <c r="UBF9" s="56"/>
      <c r="UBG9" s="56"/>
      <c r="UBN9" s="56"/>
      <c r="UBO9" s="56"/>
      <c r="UBV9" s="56"/>
      <c r="UBW9" s="56"/>
      <c r="UCD9" s="56"/>
      <c r="UCE9" s="56"/>
      <c r="UCL9" s="56"/>
      <c r="UCM9" s="56"/>
      <c r="UCT9" s="56"/>
      <c r="UCU9" s="56"/>
      <c r="UDB9" s="56"/>
      <c r="UDC9" s="56"/>
      <c r="UDJ9" s="56"/>
      <c r="UDK9" s="56"/>
      <c r="UDR9" s="56"/>
      <c r="UDS9" s="56"/>
      <c r="UDZ9" s="56"/>
      <c r="UEA9" s="56"/>
      <c r="UEH9" s="56"/>
      <c r="UEI9" s="56"/>
      <c r="UEP9" s="56"/>
      <c r="UEQ9" s="56"/>
      <c r="UEX9" s="56"/>
      <c r="UEY9" s="56"/>
      <c r="UFF9" s="56"/>
      <c r="UFG9" s="56"/>
      <c r="UFN9" s="56"/>
      <c r="UFO9" s="56"/>
      <c r="UFV9" s="56"/>
      <c r="UFW9" s="56"/>
      <c r="UGD9" s="56"/>
      <c r="UGE9" s="56"/>
      <c r="UGL9" s="56"/>
      <c r="UGM9" s="56"/>
      <c r="UGT9" s="56"/>
      <c r="UGU9" s="56"/>
      <c r="UHB9" s="56"/>
      <c r="UHC9" s="56"/>
      <c r="UHJ9" s="56"/>
      <c r="UHK9" s="56"/>
      <c r="UHR9" s="56"/>
      <c r="UHS9" s="56"/>
      <c r="UHZ9" s="56"/>
      <c r="UIA9" s="56"/>
      <c r="UIH9" s="56"/>
      <c r="UII9" s="56"/>
      <c r="UIP9" s="56"/>
      <c r="UIQ9" s="56"/>
      <c r="UIX9" s="56"/>
      <c r="UIY9" s="56"/>
      <c r="UJF9" s="56"/>
      <c r="UJG9" s="56"/>
      <c r="UJN9" s="56"/>
      <c r="UJO9" s="56"/>
      <c r="UJV9" s="56"/>
      <c r="UJW9" s="56"/>
      <c r="UKD9" s="56"/>
      <c r="UKE9" s="56"/>
      <c r="UKL9" s="56"/>
      <c r="UKM9" s="56"/>
      <c r="UKT9" s="56"/>
      <c r="UKU9" s="56"/>
      <c r="ULB9" s="56"/>
      <c r="ULC9" s="56"/>
      <c r="ULJ9" s="56"/>
      <c r="ULK9" s="56"/>
      <c r="ULR9" s="56"/>
      <c r="ULS9" s="56"/>
      <c r="ULZ9" s="56"/>
      <c r="UMA9" s="56"/>
      <c r="UMH9" s="56"/>
      <c r="UMI9" s="56"/>
      <c r="UMP9" s="56"/>
      <c r="UMQ9" s="56"/>
      <c r="UMX9" s="56"/>
      <c r="UMY9" s="56"/>
      <c r="UNF9" s="56"/>
      <c r="UNG9" s="56"/>
      <c r="UNN9" s="56"/>
      <c r="UNO9" s="56"/>
      <c r="UNV9" s="56"/>
      <c r="UNW9" s="56"/>
      <c r="UOD9" s="56"/>
      <c r="UOE9" s="56"/>
      <c r="UOL9" s="56"/>
      <c r="UOM9" s="56"/>
      <c r="UOT9" s="56"/>
      <c r="UOU9" s="56"/>
      <c r="UPB9" s="56"/>
      <c r="UPC9" s="56"/>
      <c r="UPJ9" s="56"/>
      <c r="UPK9" s="56"/>
      <c r="UPR9" s="56"/>
      <c r="UPS9" s="56"/>
      <c r="UPZ9" s="56"/>
      <c r="UQA9" s="56"/>
      <c r="UQH9" s="56"/>
      <c r="UQI9" s="56"/>
      <c r="UQP9" s="56"/>
      <c r="UQQ9" s="56"/>
      <c r="UQX9" s="56"/>
      <c r="UQY9" s="56"/>
      <c r="URF9" s="56"/>
      <c r="URG9" s="56"/>
      <c r="URN9" s="56"/>
      <c r="URO9" s="56"/>
      <c r="URV9" s="56"/>
      <c r="URW9" s="56"/>
      <c r="USD9" s="56"/>
      <c r="USE9" s="56"/>
      <c r="USL9" s="56"/>
      <c r="USM9" s="56"/>
      <c r="UST9" s="56"/>
      <c r="USU9" s="56"/>
      <c r="UTB9" s="56"/>
      <c r="UTC9" s="56"/>
      <c r="UTJ9" s="56"/>
      <c r="UTK9" s="56"/>
      <c r="UTR9" s="56"/>
      <c r="UTS9" s="56"/>
      <c r="UTZ9" s="56"/>
      <c r="UUA9" s="56"/>
      <c r="UUH9" s="56"/>
      <c r="UUI9" s="56"/>
      <c r="UUP9" s="56"/>
      <c r="UUQ9" s="56"/>
      <c r="UUX9" s="56"/>
      <c r="UUY9" s="56"/>
      <c r="UVF9" s="56"/>
      <c r="UVG9" s="56"/>
      <c r="UVN9" s="56"/>
      <c r="UVO9" s="56"/>
      <c r="UVV9" s="56"/>
      <c r="UVW9" s="56"/>
      <c r="UWD9" s="56"/>
      <c r="UWE9" s="56"/>
      <c r="UWL9" s="56"/>
      <c r="UWM9" s="56"/>
      <c r="UWT9" s="56"/>
      <c r="UWU9" s="56"/>
      <c r="UXB9" s="56"/>
      <c r="UXC9" s="56"/>
      <c r="UXJ9" s="56"/>
      <c r="UXK9" s="56"/>
      <c r="UXR9" s="56"/>
      <c r="UXS9" s="56"/>
      <c r="UXZ9" s="56"/>
      <c r="UYA9" s="56"/>
      <c r="UYH9" s="56"/>
      <c r="UYI9" s="56"/>
      <c r="UYP9" s="56"/>
      <c r="UYQ9" s="56"/>
      <c r="UYX9" s="56"/>
      <c r="UYY9" s="56"/>
      <c r="UZF9" s="56"/>
      <c r="UZG9" s="56"/>
      <c r="UZN9" s="56"/>
      <c r="UZO9" s="56"/>
      <c r="UZV9" s="56"/>
      <c r="UZW9" s="56"/>
      <c r="VAD9" s="56"/>
      <c r="VAE9" s="56"/>
      <c r="VAL9" s="56"/>
      <c r="VAM9" s="56"/>
      <c r="VAT9" s="56"/>
      <c r="VAU9" s="56"/>
      <c r="VBB9" s="56"/>
      <c r="VBC9" s="56"/>
      <c r="VBJ9" s="56"/>
      <c r="VBK9" s="56"/>
      <c r="VBR9" s="56"/>
      <c r="VBS9" s="56"/>
      <c r="VBZ9" s="56"/>
      <c r="VCA9" s="56"/>
      <c r="VCH9" s="56"/>
      <c r="VCI9" s="56"/>
      <c r="VCP9" s="56"/>
      <c r="VCQ9" s="56"/>
      <c r="VCX9" s="56"/>
      <c r="VCY9" s="56"/>
      <c r="VDF9" s="56"/>
      <c r="VDG9" s="56"/>
      <c r="VDN9" s="56"/>
      <c r="VDO9" s="56"/>
      <c r="VDV9" s="56"/>
      <c r="VDW9" s="56"/>
      <c r="VED9" s="56"/>
      <c r="VEE9" s="56"/>
      <c r="VEL9" s="56"/>
      <c r="VEM9" s="56"/>
      <c r="VET9" s="56"/>
      <c r="VEU9" s="56"/>
      <c r="VFB9" s="56"/>
      <c r="VFC9" s="56"/>
      <c r="VFJ9" s="56"/>
      <c r="VFK9" s="56"/>
      <c r="VFR9" s="56"/>
      <c r="VFS9" s="56"/>
      <c r="VFZ9" s="56"/>
      <c r="VGA9" s="56"/>
      <c r="VGH9" s="56"/>
      <c r="VGI9" s="56"/>
      <c r="VGP9" s="56"/>
      <c r="VGQ9" s="56"/>
      <c r="VGX9" s="56"/>
      <c r="VGY9" s="56"/>
      <c r="VHF9" s="56"/>
      <c r="VHG9" s="56"/>
      <c r="VHN9" s="56"/>
      <c r="VHO9" s="56"/>
      <c r="VHV9" s="56"/>
      <c r="VHW9" s="56"/>
      <c r="VID9" s="56"/>
      <c r="VIE9" s="56"/>
      <c r="VIL9" s="56"/>
      <c r="VIM9" s="56"/>
      <c r="VIT9" s="56"/>
      <c r="VIU9" s="56"/>
      <c r="VJB9" s="56"/>
      <c r="VJC9" s="56"/>
      <c r="VJJ9" s="56"/>
      <c r="VJK9" s="56"/>
      <c r="VJR9" s="56"/>
      <c r="VJS9" s="56"/>
      <c r="VJZ9" s="56"/>
      <c r="VKA9" s="56"/>
      <c r="VKH9" s="56"/>
      <c r="VKI9" s="56"/>
      <c r="VKP9" s="56"/>
      <c r="VKQ9" s="56"/>
      <c r="VKX9" s="56"/>
      <c r="VKY9" s="56"/>
      <c r="VLF9" s="56"/>
      <c r="VLG9" s="56"/>
      <c r="VLN9" s="56"/>
      <c r="VLO9" s="56"/>
      <c r="VLV9" s="56"/>
      <c r="VLW9" s="56"/>
      <c r="VMD9" s="56"/>
      <c r="VME9" s="56"/>
      <c r="VML9" s="56"/>
      <c r="VMM9" s="56"/>
      <c r="VMT9" s="56"/>
      <c r="VMU9" s="56"/>
      <c r="VNB9" s="56"/>
      <c r="VNC9" s="56"/>
      <c r="VNJ9" s="56"/>
      <c r="VNK9" s="56"/>
      <c r="VNR9" s="56"/>
      <c r="VNS9" s="56"/>
      <c r="VNZ9" s="56"/>
      <c r="VOA9" s="56"/>
      <c r="VOH9" s="56"/>
      <c r="VOI9" s="56"/>
      <c r="VOP9" s="56"/>
      <c r="VOQ9" s="56"/>
      <c r="VOX9" s="56"/>
      <c r="VOY9" s="56"/>
      <c r="VPF9" s="56"/>
      <c r="VPG9" s="56"/>
      <c r="VPN9" s="56"/>
      <c r="VPO9" s="56"/>
      <c r="VPV9" s="56"/>
      <c r="VPW9" s="56"/>
      <c r="VQD9" s="56"/>
      <c r="VQE9" s="56"/>
      <c r="VQL9" s="56"/>
      <c r="VQM9" s="56"/>
      <c r="VQT9" s="56"/>
      <c r="VQU9" s="56"/>
      <c r="VRB9" s="56"/>
      <c r="VRC9" s="56"/>
      <c r="VRJ9" s="56"/>
      <c r="VRK9" s="56"/>
      <c r="VRR9" s="56"/>
      <c r="VRS9" s="56"/>
      <c r="VRZ9" s="56"/>
      <c r="VSA9" s="56"/>
      <c r="VSH9" s="56"/>
      <c r="VSI9" s="56"/>
      <c r="VSP9" s="56"/>
      <c r="VSQ9" s="56"/>
      <c r="VSX9" s="56"/>
      <c r="VSY9" s="56"/>
      <c r="VTF9" s="56"/>
      <c r="VTG9" s="56"/>
      <c r="VTN9" s="56"/>
      <c r="VTO9" s="56"/>
      <c r="VTV9" s="56"/>
      <c r="VTW9" s="56"/>
      <c r="VUD9" s="56"/>
      <c r="VUE9" s="56"/>
      <c r="VUL9" s="56"/>
      <c r="VUM9" s="56"/>
      <c r="VUT9" s="56"/>
      <c r="VUU9" s="56"/>
      <c r="VVB9" s="56"/>
      <c r="VVC9" s="56"/>
      <c r="VVJ9" s="56"/>
      <c r="VVK9" s="56"/>
      <c r="VVR9" s="56"/>
      <c r="VVS9" s="56"/>
      <c r="VVZ9" s="56"/>
      <c r="VWA9" s="56"/>
      <c r="VWH9" s="56"/>
      <c r="VWI9" s="56"/>
      <c r="VWP9" s="56"/>
      <c r="VWQ9" s="56"/>
      <c r="VWX9" s="56"/>
      <c r="VWY9" s="56"/>
      <c r="VXF9" s="56"/>
      <c r="VXG9" s="56"/>
      <c r="VXN9" s="56"/>
      <c r="VXO9" s="56"/>
      <c r="VXV9" s="56"/>
      <c r="VXW9" s="56"/>
      <c r="VYD9" s="56"/>
      <c r="VYE9" s="56"/>
      <c r="VYL9" s="56"/>
      <c r="VYM9" s="56"/>
      <c r="VYT9" s="56"/>
      <c r="VYU9" s="56"/>
      <c r="VZB9" s="56"/>
      <c r="VZC9" s="56"/>
      <c r="VZJ9" s="56"/>
      <c r="VZK9" s="56"/>
      <c r="VZR9" s="56"/>
      <c r="VZS9" s="56"/>
      <c r="VZZ9" s="56"/>
      <c r="WAA9" s="56"/>
      <c r="WAH9" s="56"/>
      <c r="WAI9" s="56"/>
      <c r="WAP9" s="56"/>
      <c r="WAQ9" s="56"/>
      <c r="WAX9" s="56"/>
      <c r="WAY9" s="56"/>
      <c r="WBF9" s="56"/>
      <c r="WBG9" s="56"/>
      <c r="WBN9" s="56"/>
      <c r="WBO9" s="56"/>
      <c r="WBV9" s="56"/>
      <c r="WBW9" s="56"/>
      <c r="WCD9" s="56"/>
      <c r="WCE9" s="56"/>
      <c r="WCL9" s="56"/>
      <c r="WCM9" s="56"/>
      <c r="WCT9" s="56"/>
      <c r="WCU9" s="56"/>
      <c r="WDB9" s="56"/>
      <c r="WDC9" s="56"/>
      <c r="WDJ9" s="56"/>
      <c r="WDK9" s="56"/>
      <c r="WDR9" s="56"/>
      <c r="WDS9" s="56"/>
      <c r="WDZ9" s="56"/>
      <c r="WEA9" s="56"/>
      <c r="WEH9" s="56"/>
      <c r="WEI9" s="56"/>
      <c r="WEP9" s="56"/>
      <c r="WEQ9" s="56"/>
      <c r="WEX9" s="56"/>
      <c r="WEY9" s="56"/>
      <c r="WFF9" s="56"/>
      <c r="WFG9" s="56"/>
      <c r="WFN9" s="56"/>
      <c r="WFO9" s="56"/>
      <c r="WFV9" s="56"/>
      <c r="WFW9" s="56"/>
      <c r="WGD9" s="56"/>
      <c r="WGE9" s="56"/>
      <c r="WGL9" s="56"/>
      <c r="WGM9" s="56"/>
      <c r="WGT9" s="56"/>
      <c r="WGU9" s="56"/>
      <c r="WHB9" s="56"/>
      <c r="WHC9" s="56"/>
      <c r="WHJ9" s="56"/>
      <c r="WHK9" s="56"/>
      <c r="WHR9" s="56"/>
      <c r="WHS9" s="56"/>
      <c r="WHZ9" s="56"/>
      <c r="WIA9" s="56"/>
      <c r="WIH9" s="56"/>
      <c r="WII9" s="56"/>
      <c r="WIP9" s="56"/>
      <c r="WIQ9" s="56"/>
      <c r="WIX9" s="56"/>
      <c r="WIY9" s="56"/>
      <c r="WJF9" s="56"/>
      <c r="WJG9" s="56"/>
      <c r="WJN9" s="56"/>
      <c r="WJO9" s="56"/>
      <c r="WJV9" s="56"/>
      <c r="WJW9" s="56"/>
      <c r="WKD9" s="56"/>
      <c r="WKE9" s="56"/>
      <c r="WKL9" s="56"/>
      <c r="WKM9" s="56"/>
      <c r="WKT9" s="56"/>
      <c r="WKU9" s="56"/>
      <c r="WLB9" s="56"/>
      <c r="WLC9" s="56"/>
      <c r="WLJ9" s="56"/>
      <c r="WLK9" s="56"/>
      <c r="WLR9" s="56"/>
      <c r="WLS9" s="56"/>
      <c r="WLZ9" s="56"/>
      <c r="WMA9" s="56"/>
      <c r="WMH9" s="56"/>
      <c r="WMI9" s="56"/>
      <c r="WMP9" s="56"/>
      <c r="WMQ9" s="56"/>
      <c r="WMX9" s="56"/>
      <c r="WMY9" s="56"/>
      <c r="WNF9" s="56"/>
      <c r="WNG9" s="56"/>
      <c r="WNN9" s="56"/>
      <c r="WNO9" s="56"/>
      <c r="WNV9" s="56"/>
      <c r="WNW9" s="56"/>
      <c r="WOD9" s="56"/>
      <c r="WOE9" s="56"/>
      <c r="WOL9" s="56"/>
      <c r="WOM9" s="56"/>
      <c r="WOT9" s="56"/>
      <c r="WOU9" s="56"/>
      <c r="WPB9" s="56"/>
      <c r="WPC9" s="56"/>
      <c r="WPJ9" s="56"/>
      <c r="WPK9" s="56"/>
      <c r="WPR9" s="56"/>
      <c r="WPS9" s="56"/>
      <c r="WPZ9" s="56"/>
      <c r="WQA9" s="56"/>
      <c r="WQH9" s="56"/>
      <c r="WQI9" s="56"/>
      <c r="WQP9" s="56"/>
      <c r="WQQ9" s="56"/>
      <c r="WQX9" s="56"/>
      <c r="WQY9" s="56"/>
      <c r="WRF9" s="56"/>
      <c r="WRG9" s="56"/>
      <c r="WRN9" s="56"/>
      <c r="WRO9" s="56"/>
      <c r="WRV9" s="56"/>
      <c r="WRW9" s="56"/>
      <c r="WSD9" s="56"/>
      <c r="WSE9" s="56"/>
      <c r="WSL9" s="56"/>
      <c r="WSM9" s="56"/>
      <c r="WST9" s="56"/>
      <c r="WSU9" s="56"/>
      <c r="WTB9" s="56"/>
      <c r="WTC9" s="56"/>
      <c r="WTJ9" s="56"/>
      <c r="WTK9" s="56"/>
      <c r="WTR9" s="56"/>
      <c r="WTS9" s="56"/>
      <c r="WTZ9" s="56"/>
      <c r="WUA9" s="56"/>
      <c r="WUH9" s="56"/>
      <c r="WUI9" s="56"/>
      <c r="WUP9" s="56"/>
      <c r="WUQ9" s="56"/>
      <c r="WUX9" s="56"/>
      <c r="WUY9" s="56"/>
      <c r="WVF9" s="56"/>
      <c r="WVG9" s="56"/>
      <c r="WVN9" s="56"/>
      <c r="WVO9" s="56"/>
      <c r="WVV9" s="56"/>
      <c r="WVW9" s="56"/>
      <c r="WWD9" s="56"/>
      <c r="WWE9" s="56"/>
      <c r="WWL9" s="56"/>
      <c r="WWM9" s="56"/>
      <c r="WWT9" s="56"/>
      <c r="WWU9" s="56"/>
      <c r="WXB9" s="56"/>
      <c r="WXC9" s="56"/>
      <c r="WXJ9" s="56"/>
      <c r="WXK9" s="56"/>
      <c r="WXR9" s="56"/>
      <c r="WXS9" s="56"/>
      <c r="WXZ9" s="56"/>
      <c r="WYA9" s="56"/>
      <c r="WYH9" s="56"/>
      <c r="WYI9" s="56"/>
      <c r="WYP9" s="56"/>
      <c r="WYQ9" s="56"/>
      <c r="WYX9" s="56"/>
      <c r="WYY9" s="56"/>
      <c r="WZF9" s="56"/>
      <c r="WZG9" s="56"/>
      <c r="WZN9" s="56"/>
      <c r="WZO9" s="56"/>
      <c r="WZV9" s="56"/>
      <c r="WZW9" s="56"/>
      <c r="XAD9" s="56"/>
      <c r="XAE9" s="56"/>
      <c r="XAL9" s="56"/>
      <c r="XAM9" s="56"/>
      <c r="XAT9" s="56"/>
      <c r="XAU9" s="56"/>
      <c r="XBB9" s="56"/>
      <c r="XBC9" s="56"/>
      <c r="XBJ9" s="56"/>
      <c r="XBK9" s="56"/>
      <c r="XBR9" s="56"/>
      <c r="XBS9" s="56"/>
      <c r="XBZ9" s="56"/>
      <c r="XCA9" s="56"/>
      <c r="XCH9" s="56"/>
      <c r="XCI9" s="56"/>
      <c r="XCP9" s="56"/>
      <c r="XCQ9" s="56"/>
      <c r="XCX9" s="56"/>
      <c r="XCY9" s="56"/>
      <c r="XDF9" s="56"/>
      <c r="XDG9" s="56"/>
      <c r="XDN9" s="56"/>
      <c r="XDO9" s="56"/>
      <c r="XDV9" s="56"/>
      <c r="XDW9" s="56"/>
      <c r="XED9" s="56"/>
      <c r="XEE9" s="56"/>
      <c r="XEL9" s="56"/>
      <c r="XEM9" s="56"/>
      <c r="XET9" s="56"/>
      <c r="XEU9" s="56"/>
      <c r="XFB9" s="56"/>
      <c r="XFC9" s="56"/>
    </row>
    <row r="10" spans="1:1023 1030:2047 2054:3071 3078:4095 4102:5119 5126:6143 6150:7167 7174:8191 8198:9215 9222:10239 10246:11263 11270:12287 12294:13311 13318:14335 14342:15359 15366:16383" s="61" customFormat="1" ht="15" customHeight="1" thickBot="1">
      <c r="A10" s="58"/>
      <c r="B10" s="59" t="s">
        <v>88</v>
      </c>
      <c r="C10" s="60">
        <v>373273</v>
      </c>
      <c r="D10" s="60">
        <v>1577321</v>
      </c>
      <c r="E10" s="60">
        <v>1144283</v>
      </c>
      <c r="F10" s="60">
        <v>749812</v>
      </c>
      <c r="G10" s="60">
        <v>369618</v>
      </c>
      <c r="H10" s="60">
        <v>1494787</v>
      </c>
      <c r="I10" s="60">
        <f xml:space="preserve"> 1103208</f>
        <v>1103208</v>
      </c>
      <c r="J10" s="60">
        <v>684072</v>
      </c>
      <c r="K10" s="60">
        <v>267999</v>
      </c>
      <c r="L10" s="60">
        <v>1464214</v>
      </c>
      <c r="M10" s="60">
        <v>1099340</v>
      </c>
      <c r="N10" s="60">
        <v>706937</v>
      </c>
      <c r="O10" s="60">
        <v>319749</v>
      </c>
      <c r="P10" s="60">
        <v>908052</v>
      </c>
      <c r="Q10" s="60">
        <v>641834</v>
      </c>
      <c r="R10" s="60">
        <v>420100</v>
      </c>
      <c r="S10" s="60">
        <v>173917</v>
      </c>
      <c r="T10" s="60">
        <v>849320</v>
      </c>
      <c r="U10" s="60">
        <v>450439</v>
      </c>
      <c r="V10" s="60">
        <v>733748</v>
      </c>
    </row>
    <row r="11" spans="1:1023 1030:2047 2054:3071 3078:4095 4102:5119 5126:6143 6150:7167 7174:8191 8198:9215 9222:10239 10246:11263 11270:12287 12294:13311 13318:14335 14342:15359 15366:16383" s="61" customFormat="1" ht="15" customHeight="1" thickBot="1">
      <c r="A11" s="58"/>
      <c r="B11" s="59" t="s">
        <v>166</v>
      </c>
      <c r="C11" s="60">
        <v>-214858</v>
      </c>
      <c r="D11" s="60">
        <v>-1081684</v>
      </c>
      <c r="E11" s="60">
        <v>-732669</v>
      </c>
      <c r="F11" s="60">
        <v>-387740</v>
      </c>
      <c r="G11" s="60">
        <v>-214106</v>
      </c>
      <c r="H11" s="60">
        <v>-944265</v>
      </c>
      <c r="I11" s="60">
        <v>-638488</v>
      </c>
      <c r="J11" s="60">
        <v>-347043</v>
      </c>
      <c r="K11" s="60">
        <v>-92115</v>
      </c>
      <c r="L11" s="60">
        <v>-699640</v>
      </c>
      <c r="M11" s="60">
        <v>-473511</v>
      </c>
      <c r="N11" s="60">
        <v>-241804</v>
      </c>
      <c r="O11" s="60">
        <v>-49433</v>
      </c>
      <c r="P11" s="60">
        <v>-559153</v>
      </c>
      <c r="Q11" s="60">
        <v>-365924</v>
      </c>
      <c r="R11" s="60">
        <v>-246491</v>
      </c>
      <c r="S11" s="60">
        <v>-117515</v>
      </c>
      <c r="T11" s="60">
        <v>-597519</v>
      </c>
      <c r="U11" s="60">
        <v>-298181</v>
      </c>
      <c r="V11" s="60">
        <v>-552930</v>
      </c>
    </row>
    <row r="12" spans="1:1023 1030:2047 2054:3071 3078:4095 4102:5119 5126:6143 6150:7167 7174:8191 8198:9215 9222:10239 10246:11263 11270:12287 12294:13311 13318:14335 14342:15359 15366:16383" s="61" customFormat="1" ht="15" customHeight="1" thickBot="1">
      <c r="A12" s="62"/>
      <c r="B12" s="63" t="s">
        <v>167</v>
      </c>
      <c r="C12" s="64">
        <f t="shared" ref="C12:K12" si="0">C10+C11</f>
        <v>158415</v>
      </c>
      <c r="D12" s="64">
        <f t="shared" si="0"/>
        <v>495637</v>
      </c>
      <c r="E12" s="64">
        <f t="shared" si="0"/>
        <v>411614</v>
      </c>
      <c r="F12" s="64">
        <f t="shared" si="0"/>
        <v>362072</v>
      </c>
      <c r="G12" s="64">
        <f t="shared" si="0"/>
        <v>155512</v>
      </c>
      <c r="H12" s="64">
        <f t="shared" si="0"/>
        <v>550522</v>
      </c>
      <c r="I12" s="64">
        <f t="shared" si="0"/>
        <v>464720</v>
      </c>
      <c r="J12" s="64">
        <f t="shared" si="0"/>
        <v>337029</v>
      </c>
      <c r="K12" s="64">
        <f t="shared" si="0"/>
        <v>175884</v>
      </c>
      <c r="L12" s="64">
        <f t="shared" ref="L12:V12" si="1">L10+L11</f>
        <v>764574</v>
      </c>
      <c r="M12" s="64">
        <f t="shared" si="1"/>
        <v>625829</v>
      </c>
      <c r="N12" s="64">
        <f t="shared" si="1"/>
        <v>465133</v>
      </c>
      <c r="O12" s="64">
        <f t="shared" si="1"/>
        <v>270316</v>
      </c>
      <c r="P12" s="64">
        <f t="shared" si="1"/>
        <v>348899</v>
      </c>
      <c r="Q12" s="64">
        <f t="shared" si="1"/>
        <v>275910</v>
      </c>
      <c r="R12" s="64">
        <f t="shared" si="1"/>
        <v>173609</v>
      </c>
      <c r="S12" s="64">
        <f t="shared" si="1"/>
        <v>56402</v>
      </c>
      <c r="T12" s="64">
        <f t="shared" si="1"/>
        <v>251801</v>
      </c>
      <c r="U12" s="64">
        <f t="shared" si="1"/>
        <v>152258</v>
      </c>
      <c r="V12" s="64">
        <f t="shared" si="1"/>
        <v>180818</v>
      </c>
    </row>
    <row r="13" spans="1:1023 1030:2047 2054:3071 3078:4095 4102:5119 5126:6143 6150:7167 7174:8191 8198:9215 9222:10239 10246:11263 11270:12287 12294:13311 13318:14335 14342:15359 15366:16383" s="61" customFormat="1" ht="15" customHeight="1" thickBot="1">
      <c r="A13" s="58"/>
      <c r="B13" s="59" t="s">
        <v>162</v>
      </c>
      <c r="C13" s="60">
        <v>-23838</v>
      </c>
      <c r="D13" s="60">
        <v>-125012</v>
      </c>
      <c r="E13" s="60">
        <v>-99595</v>
      </c>
      <c r="F13" s="60">
        <v>-62509</v>
      </c>
      <c r="G13" s="60">
        <v>-16259</v>
      </c>
      <c r="H13" s="60">
        <v>-122527</v>
      </c>
      <c r="I13" s="60">
        <v>-56602</v>
      </c>
      <c r="J13" s="60">
        <v>-35842</v>
      </c>
      <c r="K13" s="60">
        <v>-13563</v>
      </c>
      <c r="L13" s="60">
        <v>-109071</v>
      </c>
      <c r="M13" s="60">
        <v>-53802</v>
      </c>
      <c r="N13" s="60">
        <v>-33523</v>
      </c>
      <c r="O13" s="60">
        <v>-13322</v>
      </c>
      <c r="P13" s="60">
        <v>-39296</v>
      </c>
      <c r="Q13" s="60">
        <v>-31695</v>
      </c>
      <c r="R13" s="60">
        <v>-20085</v>
      </c>
      <c r="S13" s="60">
        <v>-18402</v>
      </c>
      <c r="T13" s="60">
        <v>-75945</v>
      </c>
      <c r="U13" s="60">
        <v>-40602</v>
      </c>
      <c r="V13" s="60">
        <v>-59831</v>
      </c>
    </row>
    <row r="14" spans="1:1023 1030:2047 2054:3071 3078:4095 4102:5119 5126:6143 6150:7167 7174:8191 8198:9215 9222:10239 10246:11263 11270:12287 12294:13311 13318:14335 14342:15359 15366:16383" s="61" customFormat="1" ht="15" customHeight="1" thickBot="1">
      <c r="A14" s="58"/>
      <c r="B14" s="59" t="s">
        <v>161</v>
      </c>
      <c r="C14" s="60">
        <v>-31410</v>
      </c>
      <c r="D14" s="60">
        <v>-107896</v>
      </c>
      <c r="E14" s="60">
        <v>-79711</v>
      </c>
      <c r="F14" s="60">
        <v>-43586</v>
      </c>
      <c r="G14" s="60">
        <v>-30550</v>
      </c>
      <c r="H14" s="60">
        <v>-80000</v>
      </c>
      <c r="I14" s="60">
        <v>-99396</v>
      </c>
      <c r="J14" s="60">
        <v>-62994</v>
      </c>
      <c r="K14" s="60">
        <v>-36161</v>
      </c>
      <c r="L14" s="60">
        <v>-64541</v>
      </c>
      <c r="M14" s="60">
        <v>-83659</v>
      </c>
      <c r="N14" s="60">
        <v>-52425</v>
      </c>
      <c r="O14" s="60">
        <v>-22365</v>
      </c>
      <c r="P14" s="60">
        <v>-75350</v>
      </c>
      <c r="Q14" s="60">
        <v>-58170</v>
      </c>
      <c r="R14" s="60">
        <v>-38992</v>
      </c>
      <c r="S14" s="60">
        <v>-8808</v>
      </c>
      <c r="T14" s="60">
        <v>-37004</v>
      </c>
      <c r="U14" s="60">
        <v>-19968</v>
      </c>
      <c r="V14" s="60">
        <v>-30490</v>
      </c>
    </row>
    <row r="15" spans="1:1023 1030:2047 2054:3071 3078:4095 4102:5119 5126:6143 6150:7167 7174:8191 8198:9215 9222:10239 10246:11263 11270:12287 12294:13311 13318:14335 14342:15359 15366:16383" s="61" customFormat="1" ht="15" customHeight="1" thickBot="1">
      <c r="A15" s="58"/>
      <c r="B15" s="59" t="s">
        <v>163</v>
      </c>
      <c r="C15" s="60">
        <v>-65</v>
      </c>
      <c r="D15" s="60">
        <v>-116</v>
      </c>
      <c r="E15" s="60">
        <v>1947</v>
      </c>
      <c r="F15" s="60">
        <v>-161</v>
      </c>
      <c r="G15" s="60">
        <v>-62</v>
      </c>
      <c r="H15" s="60">
        <v>-253</v>
      </c>
      <c r="I15" s="60">
        <v>-157</v>
      </c>
      <c r="J15" s="60">
        <v>32</v>
      </c>
      <c r="K15" s="60">
        <v>6</v>
      </c>
      <c r="L15" s="60">
        <v>0</v>
      </c>
      <c r="M15" s="60">
        <v>9</v>
      </c>
      <c r="N15" s="60">
        <v>9</v>
      </c>
      <c r="O15" s="60">
        <v>9</v>
      </c>
      <c r="P15" s="60">
        <v>93</v>
      </c>
      <c r="Q15" s="60">
        <v>153</v>
      </c>
      <c r="R15" s="60">
        <v>153</v>
      </c>
      <c r="S15" s="60">
        <v>0</v>
      </c>
      <c r="T15" s="60">
        <v>-701</v>
      </c>
      <c r="U15" s="60">
        <v>-701</v>
      </c>
      <c r="V15" s="60">
        <v>357</v>
      </c>
    </row>
    <row r="16" spans="1:1023 1030:2047 2054:3071 3078:4095 4102:5119 5126:6143 6150:7167 7174:8191 8198:9215 9222:10239 10246:11263 11270:12287 12294:13311 13318:14335 14342:15359 15366:16383" s="61" customFormat="1" ht="15" customHeight="1" thickBot="1">
      <c r="A16" s="58"/>
      <c r="B16" s="59" t="s">
        <v>164</v>
      </c>
      <c r="C16" s="60">
        <v>-16137</v>
      </c>
      <c r="D16" s="60">
        <v>-48665</v>
      </c>
      <c r="E16" s="60">
        <v>-43783</v>
      </c>
      <c r="F16" s="60">
        <v>-25306</v>
      </c>
      <c r="G16" s="60">
        <v>-9953</v>
      </c>
      <c r="H16" s="60">
        <v>-8255.3751900000207</v>
      </c>
      <c r="I16" s="60">
        <v>-6092</v>
      </c>
      <c r="J16" s="60">
        <v>12468</v>
      </c>
      <c r="K16" s="60">
        <v>-1704</v>
      </c>
      <c r="L16" s="60">
        <v>39160</v>
      </c>
      <c r="M16" s="60">
        <v>4710</v>
      </c>
      <c r="N16" s="60">
        <v>14867</v>
      </c>
      <c r="O16" s="60">
        <v>12860</v>
      </c>
      <c r="P16" s="60">
        <v>16401</v>
      </c>
      <c r="Q16" s="60">
        <v>21091</v>
      </c>
      <c r="R16" s="60">
        <v>1659</v>
      </c>
      <c r="S16" s="60">
        <v>3087</v>
      </c>
      <c r="T16" s="60">
        <v>-36398</v>
      </c>
      <c r="U16" s="60">
        <v>-6760</v>
      </c>
      <c r="V16" s="60">
        <v>-474153</v>
      </c>
    </row>
    <row r="17" spans="1:22" s="61" customFormat="1" ht="15" customHeight="1" thickBot="1">
      <c r="A17" s="58"/>
      <c r="B17" s="59" t="s">
        <v>327</v>
      </c>
      <c r="C17" s="60">
        <v>1048</v>
      </c>
      <c r="D17" s="60">
        <v>-2635</v>
      </c>
      <c r="E17" s="60">
        <v>-3416</v>
      </c>
      <c r="F17" s="60">
        <v>203</v>
      </c>
      <c r="G17" s="60">
        <v>-83</v>
      </c>
      <c r="H17" s="60">
        <v>-7956</v>
      </c>
      <c r="I17" s="60">
        <v>-12100</v>
      </c>
      <c r="J17" s="60">
        <v>-9824</v>
      </c>
      <c r="K17" s="60">
        <v>-7089</v>
      </c>
      <c r="L17" s="60">
        <v>-14445</v>
      </c>
      <c r="M17" s="60">
        <v>-4003</v>
      </c>
      <c r="N17" s="60">
        <v>-5470</v>
      </c>
      <c r="O17" s="60">
        <v>-2142</v>
      </c>
      <c r="P17" s="60">
        <v>-21284</v>
      </c>
      <c r="Q17" s="60">
        <v>-17727</v>
      </c>
      <c r="R17" s="60">
        <v>1845</v>
      </c>
      <c r="S17" s="60">
        <v>-315</v>
      </c>
      <c r="T17" s="60">
        <v>0</v>
      </c>
      <c r="U17" s="60"/>
      <c r="V17" s="60"/>
    </row>
    <row r="18" spans="1:22" s="61" customFormat="1" ht="15" customHeight="1" thickBot="1">
      <c r="A18" s="62"/>
      <c r="B18" s="63" t="s">
        <v>66</v>
      </c>
      <c r="C18" s="64">
        <f t="shared" ref="C18:K18" si="2">SUM(C12:C17)</f>
        <v>88013</v>
      </c>
      <c r="D18" s="64">
        <f t="shared" si="2"/>
        <v>211313</v>
      </c>
      <c r="E18" s="64">
        <f t="shared" si="2"/>
        <v>187056</v>
      </c>
      <c r="F18" s="64">
        <f t="shared" si="2"/>
        <v>230713</v>
      </c>
      <c r="G18" s="64">
        <f t="shared" si="2"/>
        <v>98605</v>
      </c>
      <c r="H18" s="64">
        <f t="shared" si="2"/>
        <v>331530.62480999995</v>
      </c>
      <c r="I18" s="64">
        <f t="shared" si="2"/>
        <v>290373</v>
      </c>
      <c r="J18" s="64">
        <f t="shared" si="2"/>
        <v>240869</v>
      </c>
      <c r="K18" s="64">
        <f t="shared" si="2"/>
        <v>117373</v>
      </c>
      <c r="L18" s="64">
        <f t="shared" ref="L18:V18" si="3">SUM(L12:L17)</f>
        <v>615677</v>
      </c>
      <c r="M18" s="64">
        <f t="shared" si="3"/>
        <v>489084</v>
      </c>
      <c r="N18" s="64">
        <f t="shared" si="3"/>
        <v>388591</v>
      </c>
      <c r="O18" s="64">
        <f t="shared" si="3"/>
        <v>245356</v>
      </c>
      <c r="P18" s="64">
        <f t="shared" si="3"/>
        <v>229463</v>
      </c>
      <c r="Q18" s="64">
        <f t="shared" si="3"/>
        <v>189562</v>
      </c>
      <c r="R18" s="64">
        <f t="shared" si="3"/>
        <v>118189</v>
      </c>
      <c r="S18" s="64">
        <f t="shared" si="3"/>
        <v>31964</v>
      </c>
      <c r="T18" s="64">
        <f t="shared" si="3"/>
        <v>101753</v>
      </c>
      <c r="U18" s="64">
        <f t="shared" si="3"/>
        <v>84227</v>
      </c>
      <c r="V18" s="64">
        <f t="shared" si="3"/>
        <v>-383299</v>
      </c>
    </row>
    <row r="19" spans="1:22" s="61" customFormat="1" ht="15" customHeight="1" thickBot="1">
      <c r="A19" s="58"/>
      <c r="B19" s="59" t="s">
        <v>168</v>
      </c>
      <c r="C19" s="60">
        <v>19490</v>
      </c>
      <c r="D19" s="60">
        <v>-431675</v>
      </c>
      <c r="E19" s="60">
        <v>-350948</v>
      </c>
      <c r="F19" s="60">
        <v>-134312</v>
      </c>
      <c r="G19" s="60">
        <v>7288</v>
      </c>
      <c r="H19" s="60">
        <v>-206438</v>
      </c>
      <c r="I19" s="60">
        <v>-160065</v>
      </c>
      <c r="J19" s="60">
        <v>-89745</v>
      </c>
      <c r="K19" s="60">
        <v>-47615</v>
      </c>
      <c r="L19" s="60">
        <v>-112084</v>
      </c>
      <c r="M19" s="60">
        <v>-66566</v>
      </c>
      <c r="N19" s="60">
        <v>-39111</v>
      </c>
      <c r="O19" s="60">
        <v>-20189</v>
      </c>
      <c r="P19" s="60">
        <v>-33986</v>
      </c>
      <c r="Q19" s="60">
        <v>-19667</v>
      </c>
      <c r="R19" s="60">
        <v>5577</v>
      </c>
      <c r="S19" s="60">
        <v>-14466</v>
      </c>
      <c r="T19" s="60">
        <v>-55107</v>
      </c>
      <c r="U19" s="60">
        <v>-36151</v>
      </c>
      <c r="V19" s="60">
        <v>-82987</v>
      </c>
    </row>
    <row r="20" spans="1:22" s="61" customFormat="1" ht="15" customHeight="1" thickBot="1">
      <c r="A20" s="62"/>
      <c r="B20" s="63" t="s">
        <v>89</v>
      </c>
      <c r="C20" s="64">
        <f t="shared" ref="C20:K20" si="4">SUM(C18:C19)</f>
        <v>107503</v>
      </c>
      <c r="D20" s="64">
        <f t="shared" si="4"/>
        <v>-220362</v>
      </c>
      <c r="E20" s="64">
        <f t="shared" si="4"/>
        <v>-163892</v>
      </c>
      <c r="F20" s="64">
        <f t="shared" si="4"/>
        <v>96401</v>
      </c>
      <c r="G20" s="64">
        <f t="shared" si="4"/>
        <v>105893</v>
      </c>
      <c r="H20" s="64">
        <f t="shared" si="4"/>
        <v>125092.62480999995</v>
      </c>
      <c r="I20" s="64">
        <f t="shared" si="4"/>
        <v>130308</v>
      </c>
      <c r="J20" s="64">
        <f t="shared" si="4"/>
        <v>151124</v>
      </c>
      <c r="K20" s="64">
        <f t="shared" si="4"/>
        <v>69758</v>
      </c>
      <c r="L20" s="64">
        <f t="shared" ref="L20:V20" si="5">SUM(L18:L19)</f>
        <v>503593</v>
      </c>
      <c r="M20" s="64">
        <f t="shared" si="5"/>
        <v>422518</v>
      </c>
      <c r="N20" s="64">
        <f t="shared" si="5"/>
        <v>349480</v>
      </c>
      <c r="O20" s="64">
        <f t="shared" si="5"/>
        <v>225167</v>
      </c>
      <c r="P20" s="64">
        <f t="shared" si="5"/>
        <v>195477</v>
      </c>
      <c r="Q20" s="64">
        <f t="shared" si="5"/>
        <v>169895</v>
      </c>
      <c r="R20" s="64">
        <f t="shared" si="5"/>
        <v>123766</v>
      </c>
      <c r="S20" s="64">
        <f t="shared" si="5"/>
        <v>17498</v>
      </c>
      <c r="T20" s="64">
        <f t="shared" si="5"/>
        <v>46646</v>
      </c>
      <c r="U20" s="64">
        <f t="shared" si="5"/>
        <v>48076</v>
      </c>
      <c r="V20" s="64">
        <f t="shared" si="5"/>
        <v>-466286</v>
      </c>
    </row>
    <row r="21" spans="1:22" s="61" customFormat="1" ht="15" customHeight="1" thickBot="1">
      <c r="A21" s="58"/>
      <c r="B21" s="59" t="s">
        <v>169</v>
      </c>
      <c r="C21" s="60">
        <v>-13348</v>
      </c>
      <c r="D21" s="60">
        <v>-67</v>
      </c>
      <c r="E21" s="60">
        <v>0</v>
      </c>
      <c r="F21" s="60">
        <v>0</v>
      </c>
      <c r="G21" s="60">
        <v>6</v>
      </c>
      <c r="H21" s="60">
        <v>-70</v>
      </c>
      <c r="I21" s="60">
        <v>-70</v>
      </c>
      <c r="J21" s="60">
        <v>-70</v>
      </c>
      <c r="K21" s="60">
        <v>-70</v>
      </c>
      <c r="L21" s="60">
        <v>-19780</v>
      </c>
      <c r="M21" s="60">
        <v>-19053</v>
      </c>
      <c r="N21" s="60">
        <v>-332</v>
      </c>
      <c r="O21" s="60">
        <v>-234</v>
      </c>
      <c r="P21" s="60">
        <v>-1282</v>
      </c>
      <c r="Q21" s="60">
        <v>-1165</v>
      </c>
      <c r="R21" s="60">
        <v>-423</v>
      </c>
      <c r="S21" s="60" t="s">
        <v>37</v>
      </c>
      <c r="T21" s="60">
        <v>0</v>
      </c>
      <c r="U21" s="60">
        <v>0</v>
      </c>
      <c r="V21" s="60"/>
    </row>
    <row r="22" spans="1:22" s="61" customFormat="1" ht="15" customHeight="1" thickBot="1">
      <c r="A22" s="58"/>
      <c r="B22" s="59" t="s">
        <v>170</v>
      </c>
      <c r="C22" s="60">
        <v>15474</v>
      </c>
      <c r="D22" s="60">
        <v>13694</v>
      </c>
      <c r="E22" s="60">
        <v>77034</v>
      </c>
      <c r="F22" s="60">
        <v>26808</v>
      </c>
      <c r="G22" s="60">
        <v>28320</v>
      </c>
      <c r="H22" s="60">
        <v>96724</v>
      </c>
      <c r="I22" s="60">
        <v>89076</v>
      </c>
      <c r="J22" s="60">
        <v>-11617</v>
      </c>
      <c r="K22" s="60">
        <v>-15440</v>
      </c>
      <c r="L22" s="60">
        <v>-31699</v>
      </c>
      <c r="M22" s="60">
        <v>-36412</v>
      </c>
      <c r="N22" s="60">
        <v>-43505</v>
      </c>
      <c r="O22" s="60">
        <v>-42834</v>
      </c>
      <c r="P22" s="60">
        <v>6187</v>
      </c>
      <c r="Q22" s="60">
        <v>-1820</v>
      </c>
      <c r="R22" s="60">
        <v>-342</v>
      </c>
      <c r="S22" s="60">
        <v>1696</v>
      </c>
      <c r="T22" s="60">
        <v>8456</v>
      </c>
      <c r="U22" s="60">
        <v>-7966</v>
      </c>
      <c r="V22" s="60">
        <v>46912</v>
      </c>
    </row>
    <row r="23" spans="1:22" s="61" customFormat="1" ht="15" customHeight="1" thickBot="1">
      <c r="A23" s="62"/>
      <c r="B23" s="63" t="s">
        <v>183</v>
      </c>
      <c r="C23" s="64">
        <f t="shared" ref="C23:K23" si="6">SUM(C20:C22)</f>
        <v>109629</v>
      </c>
      <c r="D23" s="64">
        <f t="shared" si="6"/>
        <v>-206735</v>
      </c>
      <c r="E23" s="64">
        <f t="shared" si="6"/>
        <v>-86858</v>
      </c>
      <c r="F23" s="64">
        <f t="shared" si="6"/>
        <v>123209</v>
      </c>
      <c r="G23" s="64">
        <f t="shared" si="6"/>
        <v>134219</v>
      </c>
      <c r="H23" s="64">
        <f t="shared" si="6"/>
        <v>221746.62480999995</v>
      </c>
      <c r="I23" s="64">
        <f t="shared" si="6"/>
        <v>219314</v>
      </c>
      <c r="J23" s="64">
        <f t="shared" si="6"/>
        <v>139437</v>
      </c>
      <c r="K23" s="64">
        <f t="shared" si="6"/>
        <v>54248</v>
      </c>
      <c r="L23" s="64">
        <f t="shared" ref="L23:V23" si="7">SUM(L20:L22)</f>
        <v>452114</v>
      </c>
      <c r="M23" s="64">
        <f>SUM(M20:M22)</f>
        <v>367053</v>
      </c>
      <c r="N23" s="64">
        <f t="shared" si="7"/>
        <v>305643</v>
      </c>
      <c r="O23" s="64">
        <f t="shared" si="7"/>
        <v>182099</v>
      </c>
      <c r="P23" s="64">
        <f t="shared" si="7"/>
        <v>200382</v>
      </c>
      <c r="Q23" s="64">
        <f t="shared" si="7"/>
        <v>166910</v>
      </c>
      <c r="R23" s="64">
        <f t="shared" si="7"/>
        <v>123001</v>
      </c>
      <c r="S23" s="64">
        <f t="shared" si="7"/>
        <v>19194</v>
      </c>
      <c r="T23" s="64">
        <f t="shared" si="7"/>
        <v>55102</v>
      </c>
      <c r="U23" s="64">
        <f t="shared" si="7"/>
        <v>40110</v>
      </c>
      <c r="V23" s="64">
        <f t="shared" si="7"/>
        <v>-419374</v>
      </c>
    </row>
    <row r="24" spans="1:22" s="61" customFormat="1" ht="15" customHeight="1" thickBot="1">
      <c r="A24" s="62"/>
      <c r="B24" s="63" t="s">
        <v>182</v>
      </c>
      <c r="C24" s="64">
        <v>0</v>
      </c>
      <c r="D24" s="64">
        <v>0</v>
      </c>
      <c r="E24" s="64">
        <v>0</v>
      </c>
      <c r="F24" s="64">
        <v>0</v>
      </c>
      <c r="G24" s="64">
        <v>0</v>
      </c>
      <c r="H24" s="64">
        <v>0</v>
      </c>
      <c r="I24" s="64">
        <v>0</v>
      </c>
      <c r="J24" s="64">
        <v>0</v>
      </c>
      <c r="K24" s="64">
        <v>0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64">
        <v>0</v>
      </c>
      <c r="S24" s="64">
        <v>0</v>
      </c>
      <c r="T24" s="64">
        <v>0</v>
      </c>
      <c r="U24" s="64">
        <v>0</v>
      </c>
      <c r="V24" s="64">
        <v>0</v>
      </c>
    </row>
    <row r="25" spans="1:22" s="61" customFormat="1" ht="15" customHeight="1" thickBot="1">
      <c r="A25" s="58"/>
      <c r="B25" s="59" t="s">
        <v>90</v>
      </c>
      <c r="C25" s="60">
        <f>(19490-116756-27232)-C19</f>
        <v>-143988</v>
      </c>
      <c r="D25" s="60" t="s">
        <v>37</v>
      </c>
      <c r="E25" s="60" t="s">
        <v>37</v>
      </c>
      <c r="F25" s="60">
        <f>-273007-F19</f>
        <v>-138695</v>
      </c>
      <c r="G25" s="60">
        <f>-162488-G19</f>
        <v>-169776</v>
      </c>
      <c r="H25" s="60">
        <v>-282146</v>
      </c>
      <c r="I25" s="60">
        <f>-319223-I19</f>
        <v>-159158</v>
      </c>
      <c r="J25" s="60">
        <f>-325466-J19</f>
        <v>-235721</v>
      </c>
      <c r="K25" s="60">
        <v>-119472</v>
      </c>
      <c r="L25" s="60">
        <v>-267297</v>
      </c>
      <c r="M25" s="60">
        <v>-161926</v>
      </c>
      <c r="N25" s="60">
        <v>-104842</v>
      </c>
      <c r="O25" s="60">
        <v>-35826</v>
      </c>
      <c r="P25" s="60">
        <v>-165467</v>
      </c>
      <c r="Q25" s="60">
        <v>-120973</v>
      </c>
      <c r="R25" s="60">
        <v>-92238</v>
      </c>
      <c r="S25" s="60">
        <v>-50217</v>
      </c>
      <c r="T25" s="60">
        <f>-170508-T23</f>
        <v>-225610</v>
      </c>
      <c r="U25" s="60">
        <v>-116698</v>
      </c>
      <c r="V25" s="60">
        <f>-590833-V23</f>
        <v>-171459</v>
      </c>
    </row>
    <row r="26" spans="1:22" s="61" customFormat="1" ht="15" customHeight="1" thickBot="1">
      <c r="A26" s="58"/>
      <c r="B26" s="59" t="s">
        <v>165</v>
      </c>
      <c r="C26" s="60">
        <v>0</v>
      </c>
      <c r="D26" s="60" t="s">
        <v>37</v>
      </c>
      <c r="E26" s="60" t="s">
        <v>37</v>
      </c>
      <c r="F26" s="60">
        <f>203-F17</f>
        <v>0</v>
      </c>
      <c r="G26" s="60">
        <f>-83-G17</f>
        <v>0</v>
      </c>
      <c r="H26" s="60">
        <f>I26</f>
        <v>98909</v>
      </c>
      <c r="I26" s="60">
        <f>86809-I17</f>
        <v>98909</v>
      </c>
      <c r="J26" s="60">
        <v>0</v>
      </c>
      <c r="K26" s="60">
        <v>0</v>
      </c>
      <c r="L26" s="60">
        <v>0</v>
      </c>
      <c r="M26" s="60">
        <v>0</v>
      </c>
      <c r="N26" s="60">
        <v>0</v>
      </c>
      <c r="O26" s="60">
        <v>0</v>
      </c>
      <c r="P26" s="60">
        <v>0</v>
      </c>
      <c r="Q26" s="60">
        <v>0</v>
      </c>
      <c r="R26" s="60">
        <v>0</v>
      </c>
      <c r="S26" s="60">
        <v>0</v>
      </c>
      <c r="T26" s="60">
        <v>0</v>
      </c>
      <c r="U26" s="60">
        <v>0</v>
      </c>
      <c r="V26" s="60">
        <v>0</v>
      </c>
    </row>
    <row r="27" spans="1:22" s="61" customFormat="1" ht="15" customHeight="1" thickBot="1">
      <c r="A27" s="58"/>
      <c r="B27" s="59" t="s">
        <v>170</v>
      </c>
      <c r="C27" s="60">
        <v>0</v>
      </c>
      <c r="D27" s="60" t="s">
        <v>37</v>
      </c>
      <c r="E27" s="60" t="s">
        <v>37</v>
      </c>
      <c r="F27" s="60">
        <v>0</v>
      </c>
      <c r="G27" s="60">
        <v>0</v>
      </c>
      <c r="H27" s="60">
        <v>531347</v>
      </c>
      <c r="I27" s="60">
        <f>I12</f>
        <v>464720</v>
      </c>
      <c r="J27" s="60">
        <v>0</v>
      </c>
      <c r="K27" s="60">
        <v>0</v>
      </c>
      <c r="L27" s="60">
        <v>0</v>
      </c>
      <c r="M27" s="60">
        <v>0</v>
      </c>
      <c r="N27" s="60">
        <v>0</v>
      </c>
      <c r="O27" s="60">
        <v>0</v>
      </c>
      <c r="P27" s="60">
        <v>0</v>
      </c>
      <c r="Q27" s="60">
        <v>0</v>
      </c>
      <c r="R27" s="60">
        <v>0</v>
      </c>
      <c r="S27" s="60">
        <v>0</v>
      </c>
      <c r="T27" s="60">
        <v>0</v>
      </c>
      <c r="U27" s="60">
        <v>0</v>
      </c>
      <c r="V27" s="60">
        <v>0</v>
      </c>
    </row>
    <row r="28" spans="1:22" s="68" customFormat="1" ht="15" customHeight="1" thickBot="1">
      <c r="A28" s="65"/>
      <c r="B28" s="66" t="s">
        <v>184</v>
      </c>
      <c r="C28" s="67">
        <f t="shared" ref="C28:H28" si="8">SUM(C23:C27)</f>
        <v>-34359</v>
      </c>
      <c r="D28" s="67">
        <f t="shared" si="8"/>
        <v>-206735</v>
      </c>
      <c r="E28" s="67">
        <f t="shared" si="8"/>
        <v>-86858</v>
      </c>
      <c r="F28" s="67">
        <f t="shared" si="8"/>
        <v>-15486</v>
      </c>
      <c r="G28" s="67">
        <f t="shared" si="8"/>
        <v>-35557</v>
      </c>
      <c r="H28" s="67">
        <f t="shared" si="8"/>
        <v>569856.62480999995</v>
      </c>
      <c r="I28" s="67">
        <f>SUM(I23:I26)</f>
        <v>159065</v>
      </c>
      <c r="J28" s="67">
        <f t="shared" ref="J28:V28" si="9">SUM(J23:J26)</f>
        <v>-96284</v>
      </c>
      <c r="K28" s="67">
        <f t="shared" si="9"/>
        <v>-65224</v>
      </c>
      <c r="L28" s="67">
        <f t="shared" si="9"/>
        <v>184817</v>
      </c>
      <c r="M28" s="67">
        <f t="shared" si="9"/>
        <v>205127</v>
      </c>
      <c r="N28" s="67">
        <f t="shared" si="9"/>
        <v>200801</v>
      </c>
      <c r="O28" s="67">
        <f t="shared" si="9"/>
        <v>146273</v>
      </c>
      <c r="P28" s="67">
        <f t="shared" si="9"/>
        <v>34915</v>
      </c>
      <c r="Q28" s="67">
        <f t="shared" si="9"/>
        <v>45937</v>
      </c>
      <c r="R28" s="67">
        <f t="shared" si="9"/>
        <v>30763</v>
      </c>
      <c r="S28" s="67">
        <f t="shared" si="9"/>
        <v>-31023</v>
      </c>
      <c r="T28" s="67">
        <f t="shared" si="9"/>
        <v>-170508</v>
      </c>
      <c r="U28" s="67">
        <f t="shared" si="9"/>
        <v>-76588</v>
      </c>
      <c r="V28" s="67">
        <f t="shared" si="9"/>
        <v>-590833</v>
      </c>
    </row>
    <row r="29" spans="1:22" s="61" customFormat="1">
      <c r="B29" s="71" t="s">
        <v>181</v>
      </c>
      <c r="C29" s="225"/>
      <c r="D29" s="69"/>
      <c r="E29" s="69"/>
      <c r="F29" s="69"/>
      <c r="G29" s="69"/>
      <c r="H29" s="69"/>
      <c r="I29" s="69"/>
      <c r="J29" s="69"/>
      <c r="K29" s="69"/>
      <c r="L29" s="70"/>
      <c r="M29" s="70"/>
      <c r="N29" s="70"/>
      <c r="O29" s="70"/>
      <c r="P29" s="70"/>
      <c r="Q29" s="70"/>
      <c r="R29" s="70"/>
    </row>
    <row r="30" spans="1:22" s="61" customFormat="1">
      <c r="C30" s="226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</row>
    <row r="31" spans="1:22" s="61" customFormat="1"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</row>
    <row r="32" spans="1:22" s="213" customFormat="1">
      <c r="B32" s="213" t="s">
        <v>281</v>
      </c>
      <c r="C32" s="215"/>
      <c r="D32" s="215"/>
      <c r="E32" s="215"/>
      <c r="F32" s="215"/>
      <c r="G32" s="215"/>
      <c r="H32" s="215">
        <f>569857-H28</f>
        <v>0.37519000004976988</v>
      </c>
      <c r="I32" s="215">
        <f>159065-I28</f>
        <v>0</v>
      </c>
      <c r="J32" s="215">
        <f>-96284-J28</f>
        <v>0</v>
      </c>
      <c r="K32" s="215">
        <f>-65224-K28</f>
        <v>0</v>
      </c>
      <c r="L32" s="215">
        <f>184817-L28</f>
        <v>0</v>
      </c>
      <c r="M32" s="215">
        <f>205127-M28</f>
        <v>0</v>
      </c>
      <c r="N32" s="215">
        <f>200801-N28</f>
        <v>0</v>
      </c>
      <c r="O32" s="215">
        <f>146273-O28</f>
        <v>0</v>
      </c>
      <c r="P32" s="215">
        <f>34915-P28</f>
        <v>0</v>
      </c>
      <c r="Q32" s="215">
        <f>45937-Q28</f>
        <v>0</v>
      </c>
      <c r="R32" s="215">
        <f>30763-R28</f>
        <v>0</v>
      </c>
      <c r="S32" s="215">
        <f>-31023-S28</f>
        <v>0</v>
      </c>
      <c r="T32" s="215">
        <f>-170508-T28</f>
        <v>0</v>
      </c>
      <c r="U32" s="215">
        <f>-76588-U28</f>
        <v>0</v>
      </c>
      <c r="V32" s="215">
        <f>-590833-V28</f>
        <v>0</v>
      </c>
    </row>
    <row r="33" spans="2:22" s="61" customFormat="1">
      <c r="B33" s="81"/>
      <c r="C33" s="216"/>
      <c r="D33" s="216"/>
      <c r="E33" s="216"/>
      <c r="F33" s="216"/>
      <c r="G33" s="216"/>
      <c r="H33" s="216"/>
      <c r="I33" s="216"/>
      <c r="J33" s="216"/>
      <c r="K33" s="216"/>
      <c r="L33" s="216"/>
      <c r="M33" s="216"/>
      <c r="N33" s="216"/>
      <c r="O33" s="216"/>
      <c r="P33" s="216"/>
      <c r="Q33" s="216"/>
      <c r="R33" s="216"/>
      <c r="S33" s="216"/>
      <c r="T33" s="216"/>
      <c r="U33" s="216"/>
      <c r="V33" s="58"/>
    </row>
    <row r="34" spans="2:22" s="61" customFormat="1">
      <c r="B34" s="81"/>
      <c r="C34" s="216"/>
      <c r="D34" s="216"/>
      <c r="E34" s="216"/>
      <c r="F34" s="216"/>
      <c r="G34" s="216"/>
      <c r="H34" s="216"/>
      <c r="I34" s="216"/>
      <c r="J34" s="216"/>
      <c r="K34" s="216"/>
      <c r="L34" s="216"/>
      <c r="M34" s="216"/>
      <c r="N34" s="216"/>
      <c r="O34" s="216"/>
      <c r="P34" s="216"/>
      <c r="Q34" s="216"/>
      <c r="R34" s="216"/>
      <c r="S34" s="216"/>
      <c r="T34" s="216"/>
      <c r="U34" s="216"/>
      <c r="V34" s="58"/>
    </row>
    <row r="35" spans="2:22" s="61" customFormat="1">
      <c r="B35" s="81"/>
      <c r="C35" s="216"/>
      <c r="D35" s="216"/>
      <c r="E35" s="216"/>
      <c r="F35" s="216"/>
      <c r="G35" s="216"/>
      <c r="H35" s="216"/>
      <c r="I35" s="216"/>
      <c r="J35" s="216"/>
      <c r="K35" s="216"/>
      <c r="L35" s="216"/>
      <c r="M35" s="216"/>
      <c r="N35" s="216"/>
      <c r="O35" s="216"/>
      <c r="P35" s="216"/>
      <c r="Q35" s="216"/>
      <c r="R35" s="216"/>
      <c r="S35" s="216"/>
      <c r="T35" s="216"/>
      <c r="U35" s="216"/>
      <c r="V35" s="58"/>
    </row>
    <row r="36" spans="2:22" s="61" customFormat="1">
      <c r="B36" s="81"/>
      <c r="C36" s="216"/>
      <c r="D36" s="216"/>
      <c r="E36" s="216"/>
      <c r="F36" s="216"/>
      <c r="G36" s="216"/>
      <c r="H36" s="216"/>
      <c r="I36" s="216"/>
      <c r="J36" s="216"/>
      <c r="K36" s="216"/>
      <c r="L36" s="216"/>
      <c r="M36" s="216"/>
      <c r="N36" s="216"/>
      <c r="O36" s="216"/>
      <c r="P36" s="216"/>
      <c r="Q36" s="216"/>
      <c r="R36" s="216"/>
      <c r="S36" s="216"/>
      <c r="T36" s="216"/>
      <c r="U36" s="216"/>
      <c r="V36" s="58"/>
    </row>
    <row r="37" spans="2:22" s="61" customFormat="1">
      <c r="B37" s="81"/>
      <c r="C37" s="216"/>
      <c r="D37" s="216"/>
      <c r="E37" s="216"/>
      <c r="F37" s="216"/>
      <c r="G37" s="216"/>
      <c r="H37" s="216"/>
      <c r="I37" s="216"/>
      <c r="J37" s="216"/>
      <c r="K37" s="216"/>
      <c r="L37" s="216"/>
      <c r="M37" s="216"/>
      <c r="N37" s="216"/>
      <c r="O37" s="216"/>
      <c r="P37" s="216"/>
      <c r="Q37" s="216"/>
      <c r="R37" s="216"/>
      <c r="S37" s="216"/>
      <c r="T37" s="216"/>
      <c r="U37" s="216"/>
      <c r="V37" s="58"/>
    </row>
    <row r="38" spans="2:22" s="61" customFormat="1">
      <c r="B38" s="81"/>
      <c r="C38" s="216"/>
      <c r="D38" s="216"/>
      <c r="E38" s="216"/>
      <c r="F38" s="216"/>
      <c r="G38" s="216"/>
      <c r="H38" s="216"/>
      <c r="I38" s="216"/>
      <c r="J38" s="216"/>
      <c r="K38" s="216"/>
      <c r="L38" s="216"/>
      <c r="M38" s="216"/>
      <c r="N38" s="216"/>
      <c r="O38" s="216"/>
      <c r="P38" s="216"/>
      <c r="Q38" s="216"/>
      <c r="R38" s="216"/>
      <c r="S38" s="216"/>
      <c r="T38" s="216"/>
      <c r="U38" s="216"/>
      <c r="V38" s="58"/>
    </row>
    <row r="39" spans="2:22" s="61" customFormat="1">
      <c r="B39" s="81"/>
      <c r="C39" s="216"/>
      <c r="D39" s="216"/>
      <c r="E39" s="216"/>
      <c r="F39" s="216"/>
      <c r="G39" s="216"/>
      <c r="H39" s="216"/>
      <c r="I39" s="216"/>
      <c r="J39" s="216"/>
      <c r="K39" s="216"/>
      <c r="L39" s="216"/>
      <c r="M39" s="216"/>
      <c r="N39" s="216"/>
      <c r="O39" s="216"/>
      <c r="P39" s="216"/>
      <c r="Q39" s="216"/>
      <c r="R39" s="216"/>
      <c r="S39" s="216"/>
      <c r="T39" s="216"/>
      <c r="U39" s="216"/>
      <c r="V39" s="58"/>
    </row>
    <row r="40" spans="2:22" s="61" customFormat="1">
      <c r="B40" s="81"/>
      <c r="C40" s="216"/>
      <c r="D40" s="216"/>
      <c r="E40" s="216"/>
      <c r="F40" s="216"/>
      <c r="G40" s="216"/>
      <c r="H40" s="216"/>
      <c r="I40" s="216"/>
      <c r="J40" s="216"/>
      <c r="K40" s="216"/>
      <c r="L40" s="216"/>
      <c r="M40" s="216"/>
      <c r="N40" s="216"/>
      <c r="O40" s="216"/>
      <c r="P40" s="216"/>
      <c r="Q40" s="216"/>
      <c r="R40" s="216"/>
      <c r="S40" s="216"/>
      <c r="T40" s="216"/>
      <c r="U40" s="216"/>
      <c r="V40" s="58"/>
    </row>
    <row r="41" spans="2:22" s="61" customFormat="1">
      <c r="B41" s="81"/>
      <c r="C41" s="216"/>
      <c r="D41" s="216"/>
      <c r="E41" s="216"/>
      <c r="F41" s="216"/>
      <c r="G41" s="216"/>
      <c r="H41" s="216"/>
      <c r="I41" s="216"/>
      <c r="J41" s="216"/>
      <c r="K41" s="216"/>
      <c r="L41" s="216"/>
      <c r="M41" s="216"/>
      <c r="N41" s="216"/>
      <c r="O41" s="216"/>
      <c r="P41" s="216"/>
      <c r="Q41" s="216"/>
      <c r="R41" s="216"/>
      <c r="S41" s="216"/>
      <c r="T41" s="216"/>
      <c r="U41" s="216"/>
      <c r="V41" s="58"/>
    </row>
    <row r="42" spans="2:22" s="61" customFormat="1">
      <c r="B42" s="81"/>
      <c r="C42" s="216"/>
      <c r="D42" s="216"/>
      <c r="E42" s="216"/>
      <c r="F42" s="216"/>
      <c r="G42" s="216"/>
      <c r="H42" s="216"/>
      <c r="I42" s="216"/>
      <c r="J42" s="216"/>
      <c r="K42" s="216"/>
      <c r="L42" s="216"/>
      <c r="M42" s="216"/>
      <c r="N42" s="216"/>
      <c r="O42" s="216"/>
      <c r="P42" s="216"/>
      <c r="Q42" s="216"/>
      <c r="R42" s="216"/>
      <c r="S42" s="216"/>
      <c r="T42" s="216"/>
      <c r="U42" s="216"/>
      <c r="V42" s="58"/>
    </row>
    <row r="43" spans="2:22" s="61" customFormat="1">
      <c r="B43" s="81"/>
      <c r="C43" s="216"/>
      <c r="D43" s="216"/>
      <c r="E43" s="216"/>
      <c r="F43" s="216"/>
      <c r="G43" s="216"/>
      <c r="H43" s="216"/>
      <c r="I43" s="216"/>
      <c r="J43" s="216"/>
      <c r="K43" s="216"/>
      <c r="L43" s="216"/>
      <c r="M43" s="216"/>
      <c r="N43" s="216"/>
      <c r="O43" s="216"/>
      <c r="P43" s="216"/>
      <c r="Q43" s="216"/>
      <c r="R43" s="216"/>
      <c r="S43" s="216"/>
      <c r="T43" s="216"/>
      <c r="U43" s="216"/>
      <c r="V43" s="58"/>
    </row>
    <row r="44" spans="2:22" s="61" customFormat="1">
      <c r="B44" s="81"/>
      <c r="C44" s="216"/>
      <c r="D44" s="216"/>
      <c r="E44" s="216"/>
      <c r="F44" s="216"/>
      <c r="G44" s="216"/>
      <c r="H44" s="216"/>
      <c r="I44" s="216"/>
      <c r="J44" s="216"/>
      <c r="K44" s="216"/>
      <c r="L44" s="216"/>
      <c r="M44" s="216"/>
      <c r="N44" s="216"/>
      <c r="O44" s="216"/>
      <c r="P44" s="216"/>
      <c r="Q44" s="216"/>
      <c r="R44" s="216"/>
      <c r="S44" s="216"/>
      <c r="T44" s="216"/>
      <c r="U44" s="216"/>
      <c r="V44" s="58"/>
    </row>
    <row r="45" spans="2:22" s="61" customFormat="1">
      <c r="B45" s="81"/>
      <c r="C45" s="216"/>
      <c r="D45" s="216"/>
      <c r="E45" s="216"/>
      <c r="F45" s="216"/>
      <c r="G45" s="216"/>
      <c r="H45" s="216"/>
      <c r="I45" s="216"/>
      <c r="J45" s="216"/>
      <c r="K45" s="216"/>
      <c r="L45" s="216"/>
      <c r="M45" s="216"/>
      <c r="N45" s="216"/>
      <c r="O45" s="216"/>
      <c r="P45" s="216"/>
      <c r="Q45" s="216"/>
      <c r="R45" s="216"/>
      <c r="S45" s="216"/>
      <c r="T45" s="216"/>
      <c r="U45" s="216"/>
      <c r="V45" s="58"/>
    </row>
    <row r="46" spans="2:22" s="61" customFormat="1">
      <c r="B46" s="81"/>
      <c r="C46" s="216"/>
      <c r="D46" s="216"/>
      <c r="E46" s="216"/>
      <c r="F46" s="216"/>
      <c r="G46" s="216"/>
      <c r="H46" s="216"/>
      <c r="I46" s="216"/>
      <c r="J46" s="216"/>
      <c r="K46" s="216"/>
      <c r="L46" s="216"/>
      <c r="M46" s="216"/>
      <c r="N46" s="216"/>
      <c r="O46" s="216"/>
      <c r="P46" s="216"/>
      <c r="Q46" s="216"/>
      <c r="R46" s="216"/>
      <c r="S46" s="216"/>
      <c r="T46" s="216"/>
      <c r="U46" s="216"/>
      <c r="V46" s="58"/>
    </row>
    <row r="47" spans="2:22" s="61" customFormat="1">
      <c r="B47" s="81"/>
      <c r="C47" s="216"/>
      <c r="D47" s="216"/>
      <c r="E47" s="216"/>
      <c r="F47" s="216"/>
      <c r="G47" s="216"/>
      <c r="H47" s="216"/>
      <c r="I47" s="216"/>
      <c r="J47" s="216"/>
      <c r="K47" s="216"/>
      <c r="L47" s="216"/>
      <c r="M47" s="216"/>
      <c r="N47" s="216"/>
      <c r="O47" s="216"/>
      <c r="P47" s="216"/>
      <c r="Q47" s="216"/>
      <c r="R47" s="216"/>
      <c r="S47" s="216"/>
      <c r="T47" s="216"/>
      <c r="U47" s="216"/>
      <c r="V47" s="58"/>
    </row>
    <row r="48" spans="2:22" s="61" customFormat="1">
      <c r="B48" s="81"/>
      <c r="C48" s="216"/>
      <c r="D48" s="216"/>
      <c r="E48" s="216"/>
      <c r="F48" s="216"/>
      <c r="G48" s="216"/>
      <c r="H48" s="216"/>
      <c r="I48" s="216"/>
      <c r="J48" s="216"/>
      <c r="K48" s="216"/>
      <c r="L48" s="216"/>
      <c r="M48" s="216"/>
      <c r="N48" s="216"/>
      <c r="O48" s="216"/>
      <c r="P48" s="216"/>
      <c r="Q48" s="216"/>
      <c r="R48" s="216"/>
      <c r="S48" s="216"/>
      <c r="T48" s="216"/>
      <c r="U48" s="216"/>
      <c r="V48" s="58"/>
    </row>
    <row r="49" spans="2:22" s="61" customFormat="1">
      <c r="B49" s="81"/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58"/>
    </row>
    <row r="50" spans="2:22" s="61" customFormat="1">
      <c r="B50" s="81"/>
      <c r="C50" s="216"/>
      <c r="D50" s="216"/>
      <c r="E50" s="216"/>
      <c r="F50" s="216"/>
      <c r="G50" s="216"/>
      <c r="H50" s="216"/>
      <c r="I50" s="216"/>
      <c r="J50" s="216"/>
      <c r="K50" s="216"/>
      <c r="L50" s="216"/>
      <c r="M50" s="216"/>
      <c r="N50" s="216"/>
      <c r="O50" s="216"/>
      <c r="P50" s="216"/>
      <c r="Q50" s="216"/>
      <c r="R50" s="216"/>
      <c r="S50" s="216"/>
      <c r="T50" s="216"/>
      <c r="U50" s="216"/>
      <c r="V50" s="58"/>
    </row>
    <row r="51" spans="2:22" s="61" customFormat="1">
      <c r="B51" s="81"/>
      <c r="C51" s="216"/>
      <c r="D51" s="216"/>
      <c r="E51" s="216"/>
      <c r="F51" s="216"/>
      <c r="G51" s="216"/>
      <c r="H51" s="216"/>
      <c r="I51" s="216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58"/>
    </row>
    <row r="52" spans="2:22" s="61" customFormat="1">
      <c r="B52" s="81"/>
      <c r="C52" s="216"/>
      <c r="D52" s="216"/>
      <c r="E52" s="216"/>
      <c r="F52" s="216"/>
      <c r="G52" s="216"/>
      <c r="H52" s="216"/>
      <c r="I52" s="216"/>
      <c r="J52" s="216"/>
      <c r="K52" s="216"/>
      <c r="L52" s="216"/>
      <c r="M52" s="216"/>
      <c r="N52" s="216"/>
      <c r="O52" s="216"/>
      <c r="P52" s="216"/>
      <c r="Q52" s="216"/>
      <c r="R52" s="216"/>
      <c r="S52" s="216"/>
      <c r="T52" s="216"/>
      <c r="U52" s="216"/>
      <c r="V52" s="58"/>
    </row>
    <row r="53" spans="2:22" s="61" customFormat="1">
      <c r="B53" s="81"/>
      <c r="C53" s="216"/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58"/>
    </row>
    <row r="54" spans="2:22" s="61" customFormat="1">
      <c r="B54" s="81"/>
      <c r="C54" s="216"/>
      <c r="D54" s="216"/>
      <c r="E54" s="216"/>
      <c r="F54" s="216"/>
      <c r="G54" s="216"/>
      <c r="H54" s="216"/>
      <c r="I54" s="216"/>
      <c r="J54" s="216"/>
      <c r="K54" s="216"/>
      <c r="L54" s="216"/>
      <c r="M54" s="216"/>
      <c r="N54" s="216"/>
      <c r="O54" s="216"/>
      <c r="P54" s="216"/>
      <c r="Q54" s="216"/>
      <c r="R54" s="216"/>
      <c r="S54" s="216"/>
      <c r="T54" s="216"/>
      <c r="U54" s="216"/>
      <c r="V54" s="58"/>
    </row>
    <row r="55" spans="2:22" s="61" customFormat="1">
      <c r="B55" s="81"/>
      <c r="C55" s="216"/>
      <c r="D55" s="216"/>
      <c r="E55" s="216"/>
      <c r="F55" s="216"/>
      <c r="G55" s="216"/>
      <c r="H55" s="216"/>
      <c r="I55" s="216"/>
      <c r="J55" s="216"/>
      <c r="K55" s="216"/>
      <c r="L55" s="216"/>
      <c r="M55" s="216"/>
      <c r="N55" s="216"/>
      <c r="O55" s="216"/>
      <c r="P55" s="216"/>
      <c r="Q55" s="216"/>
      <c r="R55" s="216"/>
      <c r="S55" s="216"/>
      <c r="T55" s="216"/>
      <c r="U55" s="216"/>
      <c r="V55" s="58"/>
    </row>
    <row r="56" spans="2:22" s="61" customFormat="1">
      <c r="B56" s="81"/>
      <c r="C56" s="216"/>
      <c r="D56" s="216"/>
      <c r="E56" s="216"/>
      <c r="F56" s="216"/>
      <c r="G56" s="216"/>
      <c r="H56" s="216"/>
      <c r="I56" s="216"/>
      <c r="J56" s="216"/>
      <c r="K56" s="216"/>
      <c r="L56" s="216"/>
      <c r="M56" s="216"/>
      <c r="N56" s="216"/>
      <c r="O56" s="216"/>
      <c r="P56" s="216"/>
      <c r="Q56" s="216"/>
      <c r="R56" s="216"/>
      <c r="S56" s="216"/>
      <c r="T56" s="216"/>
      <c r="U56" s="216"/>
      <c r="V56" s="58"/>
    </row>
    <row r="57" spans="2:22" s="61" customFormat="1">
      <c r="B57" s="81"/>
      <c r="C57" s="216"/>
      <c r="D57" s="216"/>
      <c r="E57" s="216"/>
      <c r="F57" s="216"/>
      <c r="G57" s="216"/>
      <c r="H57" s="216"/>
      <c r="I57" s="216"/>
      <c r="J57" s="216"/>
      <c r="K57" s="216"/>
      <c r="L57" s="216"/>
      <c r="M57" s="216"/>
      <c r="N57" s="216"/>
      <c r="O57" s="216"/>
      <c r="P57" s="216"/>
      <c r="Q57" s="216"/>
      <c r="R57" s="216"/>
      <c r="S57" s="216"/>
      <c r="T57" s="216"/>
      <c r="U57" s="216"/>
      <c r="V57" s="58"/>
    </row>
    <row r="58" spans="2:22" s="61" customFormat="1">
      <c r="B58" s="81"/>
      <c r="C58" s="216"/>
      <c r="D58" s="216"/>
      <c r="E58" s="216"/>
      <c r="F58" s="216"/>
      <c r="G58" s="216"/>
      <c r="H58" s="216"/>
      <c r="I58" s="216"/>
      <c r="J58" s="216"/>
      <c r="K58" s="216"/>
      <c r="L58" s="216"/>
      <c r="M58" s="216"/>
      <c r="N58" s="216"/>
      <c r="O58" s="216"/>
      <c r="P58" s="216"/>
      <c r="Q58" s="216"/>
      <c r="R58" s="216"/>
      <c r="S58" s="216"/>
      <c r="T58" s="216"/>
      <c r="U58" s="216"/>
      <c r="V58" s="58"/>
    </row>
    <row r="59" spans="2:22" s="61" customFormat="1">
      <c r="B59" s="81"/>
      <c r="C59" s="216"/>
      <c r="D59" s="216"/>
      <c r="E59" s="216"/>
      <c r="F59" s="216"/>
      <c r="G59" s="216"/>
      <c r="H59" s="216"/>
      <c r="I59" s="216"/>
      <c r="J59" s="216"/>
      <c r="K59" s="216"/>
      <c r="L59" s="216"/>
      <c r="M59" s="216"/>
      <c r="N59" s="216"/>
      <c r="O59" s="216"/>
      <c r="P59" s="216"/>
      <c r="Q59" s="216"/>
      <c r="R59" s="216"/>
      <c r="S59" s="216"/>
      <c r="T59" s="216"/>
      <c r="U59" s="216"/>
      <c r="V59" s="58"/>
    </row>
    <row r="60" spans="2:22" s="61" customFormat="1">
      <c r="B60" s="81"/>
      <c r="C60" s="216"/>
      <c r="D60" s="216"/>
      <c r="E60" s="216"/>
      <c r="F60" s="216"/>
      <c r="G60" s="216"/>
      <c r="H60" s="216"/>
      <c r="I60" s="216"/>
      <c r="J60" s="216"/>
      <c r="K60" s="216"/>
      <c r="L60" s="216"/>
      <c r="M60" s="216"/>
      <c r="N60" s="216"/>
      <c r="O60" s="216"/>
      <c r="P60" s="216"/>
      <c r="Q60" s="216"/>
      <c r="R60" s="216"/>
      <c r="S60" s="216"/>
      <c r="T60" s="216"/>
      <c r="U60" s="216"/>
      <c r="V60" s="58"/>
    </row>
    <row r="61" spans="2:22" s="61" customFormat="1">
      <c r="B61" s="81"/>
      <c r="C61" s="216"/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58"/>
    </row>
    <row r="62" spans="2:22" s="61" customFormat="1">
      <c r="B62" s="81"/>
      <c r="C62" s="216"/>
      <c r="D62" s="216"/>
      <c r="E62" s="216"/>
      <c r="F62" s="216"/>
      <c r="G62" s="216"/>
      <c r="H62" s="216"/>
      <c r="I62" s="216"/>
      <c r="J62" s="216"/>
      <c r="K62" s="216"/>
      <c r="L62" s="216"/>
      <c r="M62" s="216"/>
      <c r="N62" s="216"/>
      <c r="O62" s="216"/>
      <c r="P62" s="216"/>
      <c r="Q62" s="216"/>
      <c r="R62" s="216"/>
      <c r="S62" s="216"/>
      <c r="T62" s="216"/>
      <c r="U62" s="216"/>
      <c r="V62" s="58"/>
    </row>
    <row r="63" spans="2:22" s="61" customFormat="1">
      <c r="B63" s="81"/>
      <c r="C63" s="216"/>
      <c r="D63" s="216"/>
      <c r="E63" s="216"/>
      <c r="F63" s="216"/>
      <c r="G63" s="216"/>
      <c r="H63" s="216"/>
      <c r="I63" s="216"/>
      <c r="J63" s="216"/>
      <c r="K63" s="216"/>
      <c r="L63" s="216"/>
      <c r="M63" s="216"/>
      <c r="N63" s="216"/>
      <c r="O63" s="216"/>
      <c r="P63" s="216"/>
      <c r="Q63" s="216"/>
      <c r="R63" s="216"/>
      <c r="S63" s="216"/>
      <c r="T63" s="216"/>
      <c r="U63" s="216"/>
      <c r="V63" s="58"/>
    </row>
    <row r="64" spans="2:22" s="61" customFormat="1">
      <c r="B64" s="81"/>
      <c r="C64" s="216"/>
      <c r="D64" s="216"/>
      <c r="E64" s="216"/>
      <c r="F64" s="216"/>
      <c r="G64" s="216"/>
      <c r="H64" s="216"/>
      <c r="I64" s="216"/>
      <c r="J64" s="216"/>
      <c r="K64" s="216"/>
      <c r="L64" s="216"/>
      <c r="M64" s="216"/>
      <c r="N64" s="216"/>
      <c r="O64" s="216"/>
      <c r="P64" s="216"/>
      <c r="Q64" s="216"/>
      <c r="R64" s="216"/>
      <c r="S64" s="216"/>
      <c r="T64" s="216"/>
      <c r="U64" s="216"/>
      <c r="V64" s="58"/>
    </row>
    <row r="65" spans="2:22" s="61" customFormat="1">
      <c r="B65" s="81"/>
      <c r="C65" s="216"/>
      <c r="D65" s="216"/>
      <c r="E65" s="216"/>
      <c r="F65" s="216"/>
      <c r="G65" s="216"/>
      <c r="H65" s="216"/>
      <c r="I65" s="216"/>
      <c r="J65" s="216"/>
      <c r="K65" s="216"/>
      <c r="L65" s="216"/>
      <c r="M65" s="216"/>
      <c r="N65" s="216"/>
      <c r="O65" s="216"/>
      <c r="P65" s="216"/>
      <c r="Q65" s="216"/>
      <c r="R65" s="216"/>
      <c r="S65" s="216"/>
      <c r="T65" s="216"/>
      <c r="U65" s="216"/>
      <c r="V65" s="58"/>
    </row>
    <row r="66" spans="2:22" s="61" customFormat="1">
      <c r="B66" s="81"/>
      <c r="C66" s="216"/>
      <c r="D66" s="216"/>
      <c r="E66" s="216"/>
      <c r="F66" s="216"/>
      <c r="G66" s="216"/>
      <c r="H66" s="216"/>
      <c r="I66" s="216"/>
      <c r="J66" s="216"/>
      <c r="K66" s="216"/>
      <c r="L66" s="216"/>
      <c r="M66" s="216"/>
      <c r="N66" s="216"/>
      <c r="O66" s="216"/>
      <c r="P66" s="216"/>
      <c r="Q66" s="216"/>
      <c r="R66" s="216"/>
      <c r="S66" s="216"/>
      <c r="T66" s="216"/>
      <c r="U66" s="216"/>
      <c r="V66" s="58"/>
    </row>
    <row r="67" spans="2:22" s="61" customFormat="1">
      <c r="B67" s="81"/>
      <c r="C67" s="216"/>
      <c r="D67" s="216"/>
      <c r="E67" s="216"/>
      <c r="F67" s="216"/>
      <c r="G67" s="216"/>
      <c r="H67" s="216"/>
      <c r="I67" s="216"/>
      <c r="J67" s="216"/>
      <c r="K67" s="216"/>
      <c r="L67" s="216"/>
      <c r="M67" s="216"/>
      <c r="N67" s="216"/>
      <c r="O67" s="216"/>
      <c r="P67" s="216"/>
      <c r="Q67" s="216"/>
      <c r="R67" s="216"/>
      <c r="S67" s="216"/>
      <c r="T67" s="216"/>
      <c r="U67" s="216"/>
      <c r="V67" s="58"/>
    </row>
    <row r="68" spans="2:22" s="61" customFormat="1">
      <c r="B68" s="81"/>
      <c r="C68" s="216"/>
      <c r="D68" s="216"/>
      <c r="E68" s="216"/>
      <c r="F68" s="216"/>
      <c r="G68" s="216"/>
      <c r="H68" s="216"/>
      <c r="I68" s="216"/>
      <c r="J68" s="216"/>
      <c r="K68" s="216"/>
      <c r="L68" s="216"/>
      <c r="M68" s="216"/>
      <c r="N68" s="216"/>
      <c r="O68" s="216"/>
      <c r="P68" s="216"/>
      <c r="Q68" s="216"/>
      <c r="R68" s="216"/>
      <c r="S68" s="216"/>
      <c r="T68" s="216"/>
      <c r="U68" s="216"/>
      <c r="V68" s="58"/>
    </row>
    <row r="69" spans="2:22" s="61" customFormat="1">
      <c r="B69" s="81"/>
      <c r="C69" s="216"/>
      <c r="D69" s="216"/>
      <c r="E69" s="216"/>
      <c r="F69" s="216"/>
      <c r="G69" s="216"/>
      <c r="H69" s="216"/>
      <c r="I69" s="216"/>
      <c r="J69" s="216"/>
      <c r="K69" s="216"/>
      <c r="L69" s="216"/>
      <c r="M69" s="216"/>
      <c r="N69" s="216"/>
      <c r="O69" s="216"/>
      <c r="P69" s="216"/>
      <c r="Q69" s="216"/>
      <c r="R69" s="216"/>
      <c r="S69" s="216"/>
      <c r="T69" s="216"/>
      <c r="U69" s="216"/>
      <c r="V69" s="58"/>
    </row>
    <row r="70" spans="2:22" s="61" customFormat="1">
      <c r="B70" s="81"/>
      <c r="C70" s="216"/>
      <c r="D70" s="216"/>
      <c r="E70" s="216"/>
      <c r="F70" s="216"/>
      <c r="G70" s="216"/>
      <c r="H70" s="216"/>
      <c r="I70" s="216"/>
      <c r="J70" s="216"/>
      <c r="K70" s="216"/>
      <c r="L70" s="216"/>
      <c r="M70" s="216"/>
      <c r="N70" s="216"/>
      <c r="O70" s="216"/>
      <c r="P70" s="216"/>
      <c r="Q70" s="216"/>
      <c r="R70" s="216"/>
      <c r="S70" s="216"/>
      <c r="T70" s="216"/>
      <c r="U70" s="216"/>
      <c r="V70" s="58"/>
    </row>
    <row r="71" spans="2:22" s="61" customFormat="1">
      <c r="B71" s="81"/>
      <c r="C71" s="216"/>
      <c r="D71" s="216"/>
      <c r="E71" s="216"/>
      <c r="F71" s="216"/>
      <c r="G71" s="216"/>
      <c r="H71" s="216"/>
      <c r="I71" s="216"/>
      <c r="J71" s="216"/>
      <c r="K71" s="216"/>
      <c r="L71" s="216"/>
      <c r="M71" s="216"/>
      <c r="N71" s="216"/>
      <c r="O71" s="216"/>
      <c r="P71" s="216"/>
      <c r="Q71" s="216"/>
      <c r="R71" s="216"/>
      <c r="S71" s="216"/>
      <c r="T71" s="216"/>
      <c r="U71" s="216"/>
      <c r="V71" s="58"/>
    </row>
    <row r="72" spans="2:22" s="61" customFormat="1">
      <c r="B72" s="81"/>
      <c r="C72" s="216"/>
      <c r="D72" s="216"/>
      <c r="E72" s="216"/>
      <c r="F72" s="216"/>
      <c r="G72" s="216"/>
      <c r="H72" s="216"/>
      <c r="I72" s="216"/>
      <c r="J72" s="216"/>
      <c r="K72" s="216"/>
      <c r="L72" s="216"/>
      <c r="M72" s="216"/>
      <c r="N72" s="216"/>
      <c r="O72" s="216"/>
      <c r="P72" s="216"/>
      <c r="Q72" s="216"/>
      <c r="R72" s="216"/>
      <c r="S72" s="216"/>
      <c r="T72" s="216"/>
      <c r="U72" s="216"/>
      <c r="V72" s="58"/>
    </row>
    <row r="73" spans="2:22" s="61" customFormat="1">
      <c r="B73" s="81"/>
      <c r="C73" s="216"/>
      <c r="D73" s="216"/>
      <c r="E73" s="216"/>
      <c r="F73" s="216"/>
      <c r="G73" s="216"/>
      <c r="H73" s="216"/>
      <c r="I73" s="216"/>
      <c r="J73" s="216"/>
      <c r="K73" s="216"/>
      <c r="L73" s="216"/>
      <c r="M73" s="216"/>
      <c r="N73" s="216"/>
      <c r="O73" s="216"/>
      <c r="P73" s="216"/>
      <c r="Q73" s="216"/>
      <c r="R73" s="216"/>
      <c r="S73" s="216"/>
      <c r="T73" s="216"/>
      <c r="U73" s="216"/>
      <c r="V73" s="58"/>
    </row>
    <row r="74" spans="2:22" s="61" customFormat="1">
      <c r="B74" s="81"/>
      <c r="C74" s="216"/>
      <c r="D74" s="216"/>
      <c r="E74" s="216"/>
      <c r="F74" s="216"/>
      <c r="G74" s="216"/>
      <c r="H74" s="216"/>
      <c r="I74" s="216"/>
      <c r="J74" s="216"/>
      <c r="K74" s="216"/>
      <c r="L74" s="216"/>
      <c r="M74" s="216"/>
      <c r="N74" s="216"/>
      <c r="O74" s="216"/>
      <c r="P74" s="216"/>
      <c r="Q74" s="216"/>
      <c r="R74" s="216"/>
      <c r="S74" s="216"/>
      <c r="T74" s="216"/>
      <c r="U74" s="216"/>
      <c r="V74" s="58"/>
    </row>
    <row r="75" spans="2:22" s="61" customFormat="1">
      <c r="B75" s="81"/>
      <c r="C75" s="216"/>
      <c r="D75" s="216"/>
      <c r="E75" s="216"/>
      <c r="F75" s="216"/>
      <c r="G75" s="216"/>
      <c r="H75" s="216"/>
      <c r="I75" s="216"/>
      <c r="J75" s="216"/>
      <c r="K75" s="216"/>
      <c r="L75" s="216"/>
      <c r="M75" s="216"/>
      <c r="N75" s="216"/>
      <c r="O75" s="216"/>
      <c r="P75" s="216"/>
      <c r="Q75" s="216"/>
      <c r="R75" s="216"/>
      <c r="S75" s="216"/>
      <c r="T75" s="216"/>
      <c r="U75" s="216"/>
      <c r="V75" s="58"/>
    </row>
    <row r="76" spans="2:22" s="61" customFormat="1">
      <c r="B76" s="81"/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58"/>
    </row>
    <row r="77" spans="2:22" s="61" customFormat="1">
      <c r="B77" s="81"/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58"/>
    </row>
    <row r="78" spans="2:22" s="61" customFormat="1">
      <c r="B78" s="81"/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58"/>
    </row>
    <row r="79" spans="2:22" s="61" customFormat="1">
      <c r="B79" s="81"/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58"/>
    </row>
    <row r="80" spans="2:22" s="61" customFormat="1">
      <c r="B80" s="81"/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58"/>
    </row>
    <row r="81" spans="2:22" s="61" customFormat="1">
      <c r="B81" s="81"/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58"/>
    </row>
    <row r="82" spans="2:22" s="61" customFormat="1">
      <c r="B82" s="81"/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58"/>
    </row>
    <row r="83" spans="2:22" s="61" customFormat="1">
      <c r="B83" s="81"/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58"/>
    </row>
    <row r="84" spans="2:22" s="61" customFormat="1">
      <c r="B84" s="81"/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58"/>
    </row>
    <row r="85" spans="2:22" s="61" customFormat="1">
      <c r="B85" s="81"/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58"/>
    </row>
    <row r="86" spans="2:22" s="61" customFormat="1">
      <c r="B86" s="81"/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58"/>
    </row>
    <row r="87" spans="2:22" s="61" customFormat="1">
      <c r="B87" s="81"/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58"/>
    </row>
    <row r="88" spans="2:22" s="61" customFormat="1">
      <c r="B88" s="81"/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58"/>
    </row>
    <row r="89" spans="2:22" s="61" customFormat="1">
      <c r="B89" s="81"/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58"/>
    </row>
    <row r="90" spans="2:22" s="61" customFormat="1">
      <c r="B90" s="81"/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58"/>
    </row>
    <row r="91" spans="2:22" s="61" customFormat="1">
      <c r="B91" s="81"/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58"/>
    </row>
    <row r="92" spans="2:22" s="61" customFormat="1">
      <c r="B92" s="81"/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58"/>
    </row>
    <row r="93" spans="2:22" s="61" customFormat="1">
      <c r="B93" s="81"/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58"/>
    </row>
    <row r="94" spans="2:22" s="61" customFormat="1">
      <c r="B94" s="81"/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58"/>
    </row>
    <row r="95" spans="2:22" s="61" customFormat="1">
      <c r="B95" s="81"/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58"/>
    </row>
    <row r="96" spans="2:22" s="61" customFormat="1">
      <c r="B96" s="81"/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58"/>
    </row>
    <row r="97" spans="2:22" s="61" customFormat="1">
      <c r="B97" s="81"/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58"/>
    </row>
    <row r="98" spans="2:22" s="61" customFormat="1">
      <c r="B98" s="81"/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58"/>
    </row>
    <row r="99" spans="2:22" s="61" customFormat="1">
      <c r="B99" s="81"/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58"/>
    </row>
    <row r="100" spans="2:22" s="61" customFormat="1">
      <c r="B100" s="81"/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58"/>
    </row>
    <row r="101" spans="2:22" s="61" customFormat="1"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</row>
    <row r="102" spans="2:22" s="61" customFormat="1"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</row>
    <row r="103" spans="2:22" s="61" customFormat="1"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</row>
    <row r="104" spans="2:22" s="61" customFormat="1"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</row>
    <row r="105" spans="2:22" s="61" customFormat="1"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</row>
    <row r="106" spans="2:22" s="61" customFormat="1"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</row>
    <row r="107" spans="2:22" s="61" customFormat="1"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</row>
    <row r="108" spans="2:22" s="61" customFormat="1"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</row>
    <row r="109" spans="2:22" s="61" customFormat="1"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</row>
    <row r="110" spans="2:22" s="61" customFormat="1"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</row>
    <row r="111" spans="2:22" s="61" customFormat="1"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</row>
    <row r="112" spans="2:22" s="61" customFormat="1"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</row>
    <row r="113" spans="3:22" s="61" customFormat="1"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</row>
    <row r="114" spans="3:22" s="61" customFormat="1"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</row>
    <row r="115" spans="3:22" s="61" customFormat="1"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</row>
    <row r="116" spans="3:22" s="61" customFormat="1"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</row>
    <row r="117" spans="3:22" s="61" customFormat="1"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</row>
    <row r="118" spans="3:22" s="61" customFormat="1"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</row>
    <row r="119" spans="3:22" s="61" customFormat="1"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</row>
    <row r="120" spans="3:22" s="61" customFormat="1"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</row>
    <row r="121" spans="3:22" s="61" customFormat="1"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</row>
    <row r="122" spans="3:22" s="61" customFormat="1"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</row>
    <row r="123" spans="3:22" s="61" customFormat="1"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</row>
    <row r="124" spans="3:22" s="61" customFormat="1"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</row>
    <row r="125" spans="3:22" s="61" customFormat="1"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</row>
    <row r="126" spans="3:22" s="61" customFormat="1"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</row>
    <row r="127" spans="3:22" s="61" customFormat="1"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</row>
    <row r="128" spans="3:22" s="61" customFormat="1"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</row>
    <row r="129" spans="3:22" s="61" customFormat="1"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</row>
    <row r="130" spans="3:22" s="61" customFormat="1"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</row>
    <row r="131" spans="3:22" s="61" customFormat="1"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</row>
    <row r="132" spans="3:22" s="61" customFormat="1"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</row>
    <row r="133" spans="3:22" s="61" customFormat="1"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</row>
    <row r="134" spans="3:22" s="61" customFormat="1"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</row>
    <row r="135" spans="3:22" s="61" customFormat="1"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</row>
    <row r="136" spans="3:22" s="61" customFormat="1"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</row>
    <row r="137" spans="3:22" s="61" customFormat="1"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</row>
    <row r="138" spans="3:22" s="61" customFormat="1"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</row>
    <row r="139" spans="3:22" s="61" customFormat="1"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</row>
    <row r="140" spans="3:22" s="61" customFormat="1"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</row>
    <row r="141" spans="3:22" s="61" customFormat="1"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</row>
    <row r="142" spans="3:22" s="61" customFormat="1"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</row>
    <row r="143" spans="3:22" s="61" customFormat="1"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</row>
    <row r="144" spans="3:22" s="61" customFormat="1"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</row>
    <row r="145" spans="3:22" s="61" customFormat="1"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</row>
    <row r="146" spans="3:22" s="61" customFormat="1"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</row>
    <row r="147" spans="3:22" s="61" customFormat="1"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</row>
    <row r="148" spans="3:22" s="61" customFormat="1"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</row>
    <row r="149" spans="3:22" s="61" customFormat="1"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</row>
    <row r="150" spans="3:22" s="61" customFormat="1"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</row>
    <row r="151" spans="3:22" s="61" customFormat="1"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</row>
    <row r="152" spans="3:22" s="61" customFormat="1"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</row>
    <row r="153" spans="3:22" s="61" customFormat="1"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</row>
    <row r="154" spans="3:22" s="61" customFormat="1"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</row>
    <row r="155" spans="3:22" s="61" customFormat="1"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</row>
    <row r="156" spans="3:22" s="61" customFormat="1"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</row>
    <row r="157" spans="3:22" s="61" customFormat="1"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</row>
    <row r="158" spans="3:22" s="61" customFormat="1"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</row>
    <row r="159" spans="3:22" s="61" customFormat="1"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</row>
    <row r="160" spans="3:22" s="61" customFormat="1"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</row>
    <row r="161" spans="3:22" s="61" customFormat="1"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</row>
    <row r="162" spans="3:22" s="61" customFormat="1"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</row>
    <row r="163" spans="3:22" s="61" customFormat="1"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</row>
    <row r="164" spans="3:22" s="61" customFormat="1"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</row>
    <row r="165" spans="3:22" s="61" customFormat="1"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</row>
    <row r="166" spans="3:22" s="61" customFormat="1"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</row>
    <row r="167" spans="3:22" s="61" customFormat="1"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</row>
    <row r="168" spans="3:22" s="61" customFormat="1"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</row>
    <row r="169" spans="3:22" s="61" customFormat="1"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</row>
    <row r="170" spans="3:22" s="61" customFormat="1"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</row>
    <row r="171" spans="3:22" s="61" customFormat="1"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</row>
    <row r="172" spans="3:22" s="61" customFormat="1"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</row>
    <row r="173" spans="3:22" s="61" customFormat="1"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</row>
    <row r="174" spans="3:22" s="61" customFormat="1"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</row>
    <row r="175" spans="3:22" s="61" customFormat="1"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</row>
    <row r="176" spans="3:22" s="61" customFormat="1"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</row>
    <row r="177" spans="3:22" s="61" customFormat="1"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</row>
    <row r="178" spans="3:22" s="61" customFormat="1"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</row>
    <row r="179" spans="3:22" s="61" customFormat="1"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</row>
    <row r="180" spans="3:22" s="61" customFormat="1"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</row>
    <row r="181" spans="3:22" s="61" customFormat="1"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</row>
    <row r="182" spans="3:22" s="61" customFormat="1"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</row>
    <row r="183" spans="3:22" s="61" customFormat="1"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</row>
    <row r="184" spans="3:22" s="61" customFormat="1"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</row>
    <row r="185" spans="3:22" s="61" customFormat="1"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</row>
    <row r="186" spans="3:22" s="61" customFormat="1"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</row>
    <row r="187" spans="3:22" s="61" customFormat="1"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</row>
    <row r="188" spans="3:22" s="61" customFormat="1"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</row>
    <row r="189" spans="3:22" s="61" customFormat="1"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</row>
  </sheetData>
  <sheetProtection algorithmName="SHA-512" hashValue="r/u8nFfhMANhXdnAVQM0mM30Q2Kv4IsKuBZM45k4v+klz/DFER0Tx5iZIlVs8dtREUyq8yadid8L043wdedBIA==" saltValue="ly4z7Br5gwr90vq7sxLn6g==" spinCount="100000" sheet="1" selectLockedCells="1" selectUnlockedCells="1"/>
  <pageMargins left="0.511811024" right="0.511811024" top="0.78740157499999996" bottom="0.78740157499999996" header="0.31496062000000002" footer="0.31496062000000002"/>
  <pageSetup paperSize="9" orientation="portrait" r:id="rId1"/>
  <ignoredErrors>
    <ignoredError sqref="I10 V25 T25 F25:G25 F26:G26 C25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69CA85-1C73-4F03-A19C-8A5C8B35F953}">
  <sheetPr codeName="Planilha7"/>
  <dimension ref="A1:XDG96"/>
  <sheetViews>
    <sheetView showGridLines="0" showZeros="0" zoomScale="115" zoomScaleNormal="115" workbookViewId="0">
      <pane xSplit="2" ySplit="8" topLeftCell="C70" activePane="bottomRight" state="frozen"/>
      <selection activeCell="F27" sqref="F27"/>
      <selection pane="topRight" activeCell="F27" sqref="F27"/>
      <selection pane="bottomLeft" activeCell="F27" sqref="F27"/>
      <selection pane="bottomRight" activeCell="C68" sqref="C68"/>
    </sheetView>
  </sheetViews>
  <sheetFormatPr defaultColWidth="8.81640625" defaultRowHeight="13"/>
  <cols>
    <col min="1" max="1" width="2.81640625" style="61" customWidth="1"/>
    <col min="2" max="2" width="47.54296875" style="61" customWidth="1"/>
    <col min="3" max="8" width="12.54296875" style="90" customWidth="1"/>
    <col min="9" max="9" width="11" style="90" bestFit="1" customWidth="1"/>
    <col min="10" max="10" width="10.81640625" style="90" bestFit="1" customWidth="1"/>
    <col min="11" max="11" width="11.26953125" style="90" customWidth="1"/>
    <col min="12" max="12" width="12.1796875" style="90" bestFit="1" customWidth="1"/>
    <col min="13" max="15" width="10.54296875" style="90" customWidth="1"/>
    <col min="16" max="16" width="12.1796875" style="90" bestFit="1" customWidth="1"/>
    <col min="17" max="19" width="10.54296875" style="90" customWidth="1"/>
    <col min="20" max="20" width="12.1796875" style="90" bestFit="1" customWidth="1"/>
    <col min="21" max="21" width="12.1796875" style="90" customWidth="1"/>
    <col min="22" max="22" width="11.54296875" style="90" customWidth="1"/>
    <col min="23" max="16384" width="8.81640625" style="61"/>
  </cols>
  <sheetData>
    <row r="1" spans="1:1023 1030:2047 2054:3071 3078:4095 4102:5119 5126:6143 6150:7167 7174:8191 8198:9215 9222:10239 10246:11263 11270:12287 12294:13311 13318:14335 14342:15359 15366:16335" s="4" customFormat="1" ht="5.25" customHeight="1"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6"/>
      <c r="P1" s="85"/>
      <c r="Q1" s="85"/>
      <c r="R1" s="85"/>
      <c r="S1" s="85"/>
      <c r="T1" s="85"/>
      <c r="U1" s="85"/>
      <c r="V1" s="85"/>
    </row>
    <row r="2" spans="1:1023 1030:2047 2054:3071 3078:4095 4102:5119 5126:6143 6150:7167 7174:8191 8198:9215 9222:10239 10246:11263 11270:12287 12294:13311 13318:14335 14342:15359 15366:16335" s="4" customFormat="1">
      <c r="A2" s="2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6"/>
      <c r="P2" s="85"/>
      <c r="Q2" s="85"/>
      <c r="R2" s="85"/>
      <c r="S2" s="85"/>
      <c r="T2" s="85"/>
      <c r="U2" s="85"/>
      <c r="V2" s="85"/>
    </row>
    <row r="3" spans="1:1023 1030:2047 2054:3071 3078:4095 4102:5119 5126:6143 6150:7167 7174:8191 8198:9215 9222:10239 10246:11263 11270:12287 12294:13311 13318:14335 14342:15359 15366:16335" s="4" customFormat="1" ht="14.5" customHeight="1">
      <c r="A3" s="25"/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85"/>
      <c r="U3" s="85"/>
      <c r="V3" s="85"/>
    </row>
    <row r="4" spans="1:1023 1030:2047 2054:3071 3078:4095 4102:5119 5126:6143 6150:7167 7174:8191 8198:9215 9222:10239 10246:11263 11270:12287 12294:13311 13318:14335 14342:15359 15366:16335" s="4" customFormat="1" ht="20.149999999999999" customHeight="1">
      <c r="A4" s="25"/>
      <c r="B4" s="227"/>
      <c r="C4" s="227"/>
      <c r="D4" s="227"/>
      <c r="E4" s="227"/>
      <c r="F4" s="227"/>
      <c r="G4" s="227"/>
      <c r="H4" s="227"/>
      <c r="I4" s="227"/>
      <c r="J4" s="227"/>
      <c r="K4" s="227"/>
      <c r="L4" s="227"/>
      <c r="M4" s="227"/>
      <c r="N4" s="227"/>
      <c r="O4" s="227"/>
      <c r="P4" s="227"/>
      <c r="Q4" s="227"/>
      <c r="R4" s="227"/>
      <c r="S4" s="227"/>
      <c r="T4" s="85"/>
      <c r="U4" s="85"/>
      <c r="V4" s="85"/>
    </row>
    <row r="5" spans="1:1023 1030:2047 2054:3071 3078:4095 4102:5119 5126:6143 6150:7167 7174:8191 8198:9215 9222:10239 10246:11263 11270:12287 12294:13311 13318:14335 14342:15359 15366:16335" s="4" customFormat="1">
      <c r="A5" s="25"/>
      <c r="B5" s="181"/>
      <c r="C5" s="85"/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6"/>
      <c r="P5" s="85"/>
      <c r="Q5" s="85"/>
      <c r="R5" s="85"/>
      <c r="S5" s="85"/>
      <c r="T5" s="85"/>
      <c r="U5" s="85"/>
      <c r="V5" s="85"/>
    </row>
    <row r="6" spans="1:1023 1030:2047 2054:3071 3078:4095 4102:5119 5126:6143 6150:7167 7174:8191 8198:9215 9222:10239 10246:11263 11270:12287 12294:13311 13318:14335 14342:15359 15366:16335" s="4" customFormat="1">
      <c r="A6" s="25"/>
      <c r="B6" s="181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6"/>
      <c r="P6" s="85"/>
      <c r="Q6" s="85"/>
      <c r="R6" s="85"/>
      <c r="S6" s="85"/>
      <c r="T6" s="85"/>
      <c r="U6" s="85"/>
      <c r="V6" s="85"/>
    </row>
    <row r="7" spans="1:1023 1030:2047 2054:3071 3078:4095 4102:5119 5126:6143 6150:7167 7174:8191 8198:9215 9222:10239 10246:11263 11270:12287 12294:13311 13318:14335 14342:15359 15366:16335" s="4" customFormat="1" ht="12.65" customHeight="1"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6"/>
      <c r="P7" s="85"/>
      <c r="Q7" s="85"/>
      <c r="R7" s="85"/>
      <c r="S7" s="85"/>
      <c r="T7" s="85"/>
      <c r="U7" s="85"/>
      <c r="V7" s="85"/>
    </row>
    <row r="8" spans="1:1023 1030:2047 2054:3071 3078:4095 4102:5119 5126:6143 6150:7167 7174:8191 8198:9215 9222:10239 10246:11263 11270:12287 12294:13311 13318:14335 14342:15359 15366:16335" s="54" customFormat="1" ht="20.149999999999999" customHeight="1" thickBot="1">
      <c r="A8" s="4"/>
      <c r="B8" s="52" t="s">
        <v>335</v>
      </c>
      <c r="C8" s="54" t="s">
        <v>377</v>
      </c>
      <c r="D8" s="53" t="s">
        <v>366</v>
      </c>
      <c r="E8" s="54" t="s">
        <v>368</v>
      </c>
      <c r="F8" s="54" t="s">
        <v>365</v>
      </c>
      <c r="G8" s="54" t="s">
        <v>347</v>
      </c>
      <c r="H8" s="53" t="s">
        <v>312</v>
      </c>
      <c r="I8" s="54" t="s">
        <v>313</v>
      </c>
      <c r="J8" s="54" t="s">
        <v>314</v>
      </c>
      <c r="K8" s="54" t="s">
        <v>311</v>
      </c>
      <c r="L8" s="87" t="s">
        <v>172</v>
      </c>
      <c r="M8" s="54" t="s">
        <v>300</v>
      </c>
      <c r="N8" s="55" t="s">
        <v>299</v>
      </c>
      <c r="O8" s="55" t="s">
        <v>175</v>
      </c>
      <c r="P8" s="87" t="s">
        <v>171</v>
      </c>
      <c r="Q8" s="54" t="s">
        <v>291</v>
      </c>
      <c r="R8" s="54" t="s">
        <v>290</v>
      </c>
      <c r="S8" s="54" t="s">
        <v>91</v>
      </c>
      <c r="T8" s="87" t="s">
        <v>173</v>
      </c>
      <c r="U8" s="54" t="s">
        <v>174</v>
      </c>
      <c r="V8" s="87" t="s">
        <v>180</v>
      </c>
      <c r="W8" s="72"/>
      <c r="X8" s="73"/>
      <c r="Y8" s="73"/>
      <c r="Z8" s="73"/>
      <c r="AA8" s="73"/>
      <c r="AB8" s="73"/>
      <c r="AC8" s="73"/>
      <c r="AD8" s="74"/>
      <c r="AE8" s="72"/>
      <c r="AF8" s="73"/>
      <c r="AG8" s="73"/>
      <c r="AH8" s="73"/>
      <c r="AI8" s="73"/>
      <c r="AJ8" s="73"/>
      <c r="AK8" s="73"/>
      <c r="AL8" s="74"/>
      <c r="AM8" s="72"/>
      <c r="AN8" s="73"/>
      <c r="AO8" s="73"/>
      <c r="AP8" s="73"/>
      <c r="AQ8" s="73"/>
      <c r="AR8" s="73"/>
      <c r="AS8" s="73"/>
      <c r="AT8" s="74"/>
      <c r="AU8" s="72"/>
      <c r="AV8" s="73"/>
      <c r="AW8" s="73"/>
      <c r="AX8" s="73"/>
      <c r="AY8" s="73"/>
      <c r="AZ8" s="73"/>
      <c r="BA8" s="73"/>
      <c r="BB8" s="74"/>
      <c r="BC8" s="72"/>
      <c r="BD8" s="73"/>
      <c r="BE8" s="73"/>
      <c r="BF8" s="73"/>
      <c r="BG8" s="73"/>
      <c r="BH8" s="73"/>
      <c r="BI8" s="73"/>
      <c r="BJ8" s="74"/>
      <c r="BK8" s="72"/>
      <c r="BL8" s="73"/>
      <c r="BM8" s="73"/>
      <c r="BN8" s="73"/>
      <c r="BO8" s="73"/>
      <c r="BP8" s="73"/>
      <c r="BQ8" s="73"/>
      <c r="BR8" s="74"/>
      <c r="BS8" s="72"/>
      <c r="BT8" s="73"/>
      <c r="BU8" s="73"/>
      <c r="BV8" s="73"/>
      <c r="BW8" s="73"/>
      <c r="BX8" s="73"/>
      <c r="BY8" s="73"/>
      <c r="BZ8" s="74"/>
      <c r="CA8" s="72"/>
      <c r="CB8" s="73"/>
      <c r="CC8" s="73"/>
      <c r="CD8" s="73"/>
      <c r="CE8" s="73"/>
      <c r="CF8" s="73"/>
      <c r="CG8" s="73"/>
      <c r="CH8" s="74"/>
      <c r="CI8" s="72"/>
      <c r="CJ8" s="73"/>
      <c r="CK8" s="73"/>
      <c r="CL8" s="73"/>
      <c r="CM8" s="73"/>
      <c r="CN8" s="73"/>
      <c r="CO8" s="73"/>
      <c r="CP8" s="52"/>
      <c r="CQ8" s="75"/>
      <c r="CX8" s="52"/>
      <c r="CY8" s="75"/>
      <c r="DF8" s="52"/>
      <c r="DG8" s="75"/>
      <c r="DN8" s="52"/>
      <c r="DO8" s="75"/>
      <c r="DV8" s="52"/>
      <c r="DW8" s="75"/>
      <c r="ED8" s="52"/>
      <c r="EE8" s="75"/>
      <c r="EL8" s="52"/>
      <c r="EM8" s="75"/>
      <c r="ET8" s="52"/>
      <c r="EU8" s="75"/>
      <c r="FB8" s="52"/>
      <c r="FC8" s="75"/>
      <c r="FJ8" s="52"/>
      <c r="FK8" s="75"/>
      <c r="FR8" s="52"/>
      <c r="FS8" s="75"/>
      <c r="FZ8" s="52"/>
      <c r="GA8" s="75"/>
      <c r="GH8" s="52"/>
      <c r="GI8" s="75"/>
      <c r="GP8" s="52"/>
      <c r="GQ8" s="75"/>
      <c r="GX8" s="52"/>
      <c r="GY8" s="75"/>
      <c r="HF8" s="52"/>
      <c r="HG8" s="75"/>
      <c r="HN8" s="52"/>
      <c r="HO8" s="75"/>
      <c r="HV8" s="52"/>
      <c r="HW8" s="75"/>
      <c r="ID8" s="52"/>
      <c r="IE8" s="75"/>
      <c r="IL8" s="52"/>
      <c r="IM8" s="75"/>
      <c r="IT8" s="52"/>
      <c r="IU8" s="75"/>
      <c r="JB8" s="52"/>
      <c r="JC8" s="75"/>
      <c r="JJ8" s="52"/>
      <c r="JK8" s="75"/>
      <c r="JR8" s="52"/>
      <c r="JS8" s="75"/>
      <c r="JZ8" s="52"/>
      <c r="KA8" s="75"/>
      <c r="KH8" s="52"/>
      <c r="KI8" s="75"/>
      <c r="KP8" s="52"/>
      <c r="KQ8" s="75"/>
      <c r="KX8" s="52"/>
      <c r="KY8" s="75"/>
      <c r="LF8" s="52"/>
      <c r="LG8" s="75"/>
      <c r="LN8" s="52"/>
      <c r="LO8" s="75"/>
      <c r="LV8" s="52"/>
      <c r="LW8" s="75"/>
      <c r="MD8" s="52"/>
      <c r="ME8" s="75"/>
      <c r="ML8" s="52"/>
      <c r="MM8" s="75"/>
      <c r="MT8" s="52"/>
      <c r="MU8" s="75"/>
      <c r="NB8" s="52"/>
      <c r="NC8" s="75"/>
      <c r="NJ8" s="52"/>
      <c r="NK8" s="75"/>
      <c r="NR8" s="52"/>
      <c r="NS8" s="75"/>
      <c r="NZ8" s="52"/>
      <c r="OA8" s="75"/>
      <c r="OH8" s="52"/>
      <c r="OI8" s="75"/>
      <c r="OP8" s="52"/>
      <c r="OQ8" s="75"/>
      <c r="OX8" s="52"/>
      <c r="OY8" s="75"/>
      <c r="PF8" s="52"/>
      <c r="PG8" s="75"/>
      <c r="PN8" s="52"/>
      <c r="PO8" s="75"/>
      <c r="PV8" s="52"/>
      <c r="PW8" s="75"/>
      <c r="QD8" s="52"/>
      <c r="QE8" s="75"/>
      <c r="QL8" s="52"/>
      <c r="QM8" s="75"/>
      <c r="QT8" s="52"/>
      <c r="QU8" s="75"/>
      <c r="RB8" s="52"/>
      <c r="RC8" s="75"/>
      <c r="RJ8" s="52"/>
      <c r="RK8" s="75"/>
      <c r="RR8" s="52"/>
      <c r="RS8" s="75"/>
      <c r="RZ8" s="52"/>
      <c r="SA8" s="75"/>
      <c r="SH8" s="52"/>
      <c r="SI8" s="75"/>
      <c r="SP8" s="52"/>
      <c r="SQ8" s="75"/>
      <c r="SX8" s="52"/>
      <c r="SY8" s="75"/>
      <c r="TF8" s="52"/>
      <c r="TG8" s="75"/>
      <c r="TN8" s="52"/>
      <c r="TO8" s="75"/>
      <c r="TV8" s="52"/>
      <c r="TW8" s="75"/>
      <c r="UD8" s="52"/>
      <c r="UE8" s="75"/>
      <c r="UL8" s="52"/>
      <c r="UM8" s="75"/>
      <c r="UT8" s="52"/>
      <c r="UU8" s="75"/>
      <c r="VB8" s="52"/>
      <c r="VC8" s="75"/>
      <c r="VJ8" s="52"/>
      <c r="VK8" s="75"/>
      <c r="VR8" s="52"/>
      <c r="VS8" s="75"/>
      <c r="VZ8" s="52"/>
      <c r="WA8" s="75"/>
      <c r="WH8" s="52"/>
      <c r="WI8" s="75"/>
      <c r="WP8" s="52"/>
      <c r="WQ8" s="75"/>
      <c r="WX8" s="52"/>
      <c r="WY8" s="75"/>
      <c r="XF8" s="52"/>
      <c r="XG8" s="75"/>
      <c r="XN8" s="52"/>
      <c r="XO8" s="75"/>
      <c r="XV8" s="52"/>
      <c r="XW8" s="75"/>
      <c r="YD8" s="52"/>
      <c r="YE8" s="75"/>
      <c r="YL8" s="52"/>
      <c r="YM8" s="75"/>
      <c r="YT8" s="52"/>
      <c r="YU8" s="75"/>
      <c r="ZB8" s="52"/>
      <c r="ZC8" s="75"/>
      <c r="ZJ8" s="52"/>
      <c r="ZK8" s="75"/>
      <c r="ZR8" s="52"/>
      <c r="ZS8" s="75"/>
      <c r="ZZ8" s="52"/>
      <c r="AAA8" s="75"/>
      <c r="AAH8" s="52"/>
      <c r="AAI8" s="75"/>
      <c r="AAP8" s="52"/>
      <c r="AAQ8" s="75"/>
      <c r="AAX8" s="52"/>
      <c r="AAY8" s="75"/>
      <c r="ABF8" s="52"/>
      <c r="ABG8" s="75"/>
      <c r="ABN8" s="52"/>
      <c r="ABO8" s="75"/>
      <c r="ABV8" s="52"/>
      <c r="ABW8" s="75"/>
      <c r="ACD8" s="52"/>
      <c r="ACE8" s="75"/>
      <c r="ACL8" s="52"/>
      <c r="ACM8" s="75"/>
      <c r="ACT8" s="52"/>
      <c r="ACU8" s="75"/>
      <c r="ADB8" s="52"/>
      <c r="ADC8" s="75"/>
      <c r="ADJ8" s="52"/>
      <c r="ADK8" s="75"/>
      <c r="ADR8" s="52"/>
      <c r="ADS8" s="75"/>
      <c r="ADZ8" s="52"/>
      <c r="AEA8" s="75"/>
      <c r="AEH8" s="52"/>
      <c r="AEI8" s="75"/>
      <c r="AEP8" s="52"/>
      <c r="AEQ8" s="75"/>
      <c r="AEX8" s="52"/>
      <c r="AEY8" s="75"/>
      <c r="AFF8" s="52"/>
      <c r="AFG8" s="75"/>
      <c r="AFN8" s="52"/>
      <c r="AFO8" s="75"/>
      <c r="AFV8" s="52"/>
      <c r="AFW8" s="75"/>
      <c r="AGD8" s="52"/>
      <c r="AGE8" s="75"/>
      <c r="AGL8" s="52"/>
      <c r="AGM8" s="75"/>
      <c r="AGT8" s="52"/>
      <c r="AGU8" s="75"/>
      <c r="AHB8" s="52"/>
      <c r="AHC8" s="75"/>
      <c r="AHJ8" s="52"/>
      <c r="AHK8" s="75"/>
      <c r="AHR8" s="52"/>
      <c r="AHS8" s="75"/>
      <c r="AHZ8" s="52"/>
      <c r="AIA8" s="75"/>
      <c r="AIH8" s="52"/>
      <c r="AII8" s="75"/>
      <c r="AIP8" s="52"/>
      <c r="AIQ8" s="75"/>
      <c r="AIX8" s="52"/>
      <c r="AIY8" s="75"/>
      <c r="AJF8" s="52"/>
      <c r="AJG8" s="75"/>
      <c r="AJN8" s="52"/>
      <c r="AJO8" s="75"/>
      <c r="AJV8" s="52"/>
      <c r="AJW8" s="75"/>
      <c r="AKD8" s="52"/>
      <c r="AKE8" s="75"/>
      <c r="AKL8" s="52"/>
      <c r="AKM8" s="75"/>
      <c r="AKT8" s="52"/>
      <c r="AKU8" s="75"/>
      <c r="ALB8" s="52"/>
      <c r="ALC8" s="75"/>
      <c r="ALJ8" s="52"/>
      <c r="ALK8" s="75"/>
      <c r="ALR8" s="52"/>
      <c r="ALS8" s="75"/>
      <c r="ALZ8" s="52"/>
      <c r="AMA8" s="75"/>
      <c r="AMH8" s="52"/>
      <c r="AMI8" s="75"/>
      <c r="AMP8" s="52"/>
      <c r="AMQ8" s="75"/>
      <c r="AMX8" s="52"/>
      <c r="AMY8" s="75"/>
      <c r="ANF8" s="52"/>
      <c r="ANG8" s="75"/>
      <c r="ANN8" s="52"/>
      <c r="ANO8" s="75"/>
      <c r="ANV8" s="52"/>
      <c r="ANW8" s="75"/>
      <c r="AOD8" s="52"/>
      <c r="AOE8" s="75"/>
      <c r="AOL8" s="52"/>
      <c r="AOM8" s="75"/>
      <c r="AOT8" s="52"/>
      <c r="AOU8" s="75"/>
      <c r="APB8" s="52"/>
      <c r="APC8" s="75"/>
      <c r="APJ8" s="52"/>
      <c r="APK8" s="75"/>
      <c r="APR8" s="52"/>
      <c r="APS8" s="75"/>
      <c r="APZ8" s="52"/>
      <c r="AQA8" s="75"/>
      <c r="AQH8" s="52"/>
      <c r="AQI8" s="75"/>
      <c r="AQP8" s="52"/>
      <c r="AQQ8" s="75"/>
      <c r="AQX8" s="52"/>
      <c r="AQY8" s="75"/>
      <c r="ARF8" s="52"/>
      <c r="ARG8" s="75"/>
      <c r="ARN8" s="52"/>
      <c r="ARO8" s="75"/>
      <c r="ARV8" s="52"/>
      <c r="ARW8" s="75"/>
      <c r="ASD8" s="52"/>
      <c r="ASE8" s="75"/>
      <c r="ASL8" s="52"/>
      <c r="ASM8" s="75"/>
      <c r="AST8" s="52"/>
      <c r="ASU8" s="75"/>
      <c r="ATB8" s="52"/>
      <c r="ATC8" s="75"/>
      <c r="ATJ8" s="52"/>
      <c r="ATK8" s="75"/>
      <c r="ATR8" s="52"/>
      <c r="ATS8" s="75"/>
      <c r="ATZ8" s="52"/>
      <c r="AUA8" s="75"/>
      <c r="AUH8" s="52"/>
      <c r="AUI8" s="75"/>
      <c r="AUP8" s="52"/>
      <c r="AUQ8" s="75"/>
      <c r="AUX8" s="52"/>
      <c r="AUY8" s="75"/>
      <c r="AVF8" s="52"/>
      <c r="AVG8" s="75"/>
      <c r="AVN8" s="52"/>
      <c r="AVO8" s="75"/>
      <c r="AVV8" s="52"/>
      <c r="AVW8" s="75"/>
      <c r="AWD8" s="52"/>
      <c r="AWE8" s="75"/>
      <c r="AWL8" s="52"/>
      <c r="AWM8" s="75"/>
      <c r="AWT8" s="52"/>
      <c r="AWU8" s="75"/>
      <c r="AXB8" s="52"/>
      <c r="AXC8" s="75"/>
      <c r="AXJ8" s="52"/>
      <c r="AXK8" s="75"/>
      <c r="AXR8" s="52"/>
      <c r="AXS8" s="75"/>
      <c r="AXZ8" s="52"/>
      <c r="AYA8" s="75"/>
      <c r="AYH8" s="52"/>
      <c r="AYI8" s="75"/>
      <c r="AYP8" s="52"/>
      <c r="AYQ8" s="75"/>
      <c r="AYX8" s="52"/>
      <c r="AYY8" s="75"/>
      <c r="AZF8" s="52"/>
      <c r="AZG8" s="75"/>
      <c r="AZN8" s="52"/>
      <c r="AZO8" s="75"/>
      <c r="AZV8" s="52"/>
      <c r="AZW8" s="75"/>
      <c r="BAD8" s="52"/>
      <c r="BAE8" s="75"/>
      <c r="BAL8" s="52"/>
      <c r="BAM8" s="75"/>
      <c r="BAT8" s="52"/>
      <c r="BAU8" s="75"/>
      <c r="BBB8" s="52"/>
      <c r="BBC8" s="75"/>
      <c r="BBJ8" s="52"/>
      <c r="BBK8" s="75"/>
      <c r="BBR8" s="52"/>
      <c r="BBS8" s="75"/>
      <c r="BBZ8" s="52"/>
      <c r="BCA8" s="75"/>
      <c r="BCH8" s="52"/>
      <c r="BCI8" s="75"/>
      <c r="BCP8" s="52"/>
      <c r="BCQ8" s="75"/>
      <c r="BCX8" s="52"/>
      <c r="BCY8" s="75"/>
      <c r="BDF8" s="52"/>
      <c r="BDG8" s="75"/>
      <c r="BDN8" s="52"/>
      <c r="BDO8" s="75"/>
      <c r="BDV8" s="52"/>
      <c r="BDW8" s="75"/>
      <c r="BED8" s="52"/>
      <c r="BEE8" s="75"/>
      <c r="BEL8" s="52"/>
      <c r="BEM8" s="75"/>
      <c r="BET8" s="52"/>
      <c r="BEU8" s="75"/>
      <c r="BFB8" s="52"/>
      <c r="BFC8" s="75"/>
      <c r="BFJ8" s="52"/>
      <c r="BFK8" s="75"/>
      <c r="BFR8" s="52"/>
      <c r="BFS8" s="75"/>
      <c r="BFZ8" s="52"/>
      <c r="BGA8" s="75"/>
      <c r="BGH8" s="52"/>
      <c r="BGI8" s="75"/>
      <c r="BGP8" s="52"/>
      <c r="BGQ8" s="75"/>
      <c r="BGX8" s="52"/>
      <c r="BGY8" s="75"/>
      <c r="BHF8" s="52"/>
      <c r="BHG8" s="75"/>
      <c r="BHN8" s="52"/>
      <c r="BHO8" s="75"/>
      <c r="BHV8" s="52"/>
      <c r="BHW8" s="75"/>
      <c r="BID8" s="52"/>
      <c r="BIE8" s="75"/>
      <c r="BIL8" s="52"/>
      <c r="BIM8" s="75"/>
      <c r="BIT8" s="52"/>
      <c r="BIU8" s="75"/>
      <c r="BJB8" s="52"/>
      <c r="BJC8" s="75"/>
      <c r="BJJ8" s="52"/>
      <c r="BJK8" s="75"/>
      <c r="BJR8" s="52"/>
      <c r="BJS8" s="75"/>
      <c r="BJZ8" s="52"/>
      <c r="BKA8" s="75"/>
      <c r="BKH8" s="52"/>
      <c r="BKI8" s="75"/>
      <c r="BKP8" s="52"/>
      <c r="BKQ8" s="75"/>
      <c r="BKX8" s="52"/>
      <c r="BKY8" s="75"/>
      <c r="BLF8" s="52"/>
      <c r="BLG8" s="75"/>
      <c r="BLN8" s="52"/>
      <c r="BLO8" s="75"/>
      <c r="BLV8" s="52"/>
      <c r="BLW8" s="75"/>
      <c r="BMD8" s="52"/>
      <c r="BME8" s="75"/>
      <c r="BML8" s="52"/>
      <c r="BMM8" s="75"/>
      <c r="BMT8" s="52"/>
      <c r="BMU8" s="75"/>
      <c r="BNB8" s="52"/>
      <c r="BNC8" s="75"/>
      <c r="BNJ8" s="52"/>
      <c r="BNK8" s="75"/>
      <c r="BNR8" s="52"/>
      <c r="BNS8" s="75"/>
      <c r="BNZ8" s="52"/>
      <c r="BOA8" s="75"/>
      <c r="BOH8" s="52"/>
      <c r="BOI8" s="75"/>
      <c r="BOP8" s="52"/>
      <c r="BOQ8" s="75"/>
      <c r="BOX8" s="52"/>
      <c r="BOY8" s="75"/>
      <c r="BPF8" s="52"/>
      <c r="BPG8" s="75"/>
      <c r="BPN8" s="52"/>
      <c r="BPO8" s="75"/>
      <c r="BPV8" s="52"/>
      <c r="BPW8" s="75"/>
      <c r="BQD8" s="52"/>
      <c r="BQE8" s="75"/>
      <c r="BQL8" s="52"/>
      <c r="BQM8" s="75"/>
      <c r="BQT8" s="52"/>
      <c r="BQU8" s="75"/>
      <c r="BRB8" s="52"/>
      <c r="BRC8" s="75"/>
      <c r="BRJ8" s="52"/>
      <c r="BRK8" s="75"/>
      <c r="BRR8" s="52"/>
      <c r="BRS8" s="75"/>
      <c r="BRZ8" s="52"/>
      <c r="BSA8" s="75"/>
      <c r="BSH8" s="52"/>
      <c r="BSI8" s="75"/>
      <c r="BSP8" s="52"/>
      <c r="BSQ8" s="75"/>
      <c r="BSX8" s="52"/>
      <c r="BSY8" s="75"/>
      <c r="BTF8" s="52"/>
      <c r="BTG8" s="75"/>
      <c r="BTN8" s="52"/>
      <c r="BTO8" s="75"/>
      <c r="BTV8" s="52"/>
      <c r="BTW8" s="75"/>
      <c r="BUD8" s="52"/>
      <c r="BUE8" s="75"/>
      <c r="BUL8" s="52"/>
      <c r="BUM8" s="75"/>
      <c r="BUT8" s="52"/>
      <c r="BUU8" s="75"/>
      <c r="BVB8" s="52"/>
      <c r="BVC8" s="75"/>
      <c r="BVJ8" s="52"/>
      <c r="BVK8" s="75"/>
      <c r="BVR8" s="52"/>
      <c r="BVS8" s="75"/>
      <c r="BVZ8" s="52"/>
      <c r="BWA8" s="75"/>
      <c r="BWH8" s="52"/>
      <c r="BWI8" s="75"/>
      <c r="BWP8" s="52"/>
      <c r="BWQ8" s="75"/>
      <c r="BWX8" s="52"/>
      <c r="BWY8" s="75"/>
      <c r="BXF8" s="52"/>
      <c r="BXG8" s="75"/>
      <c r="BXN8" s="52"/>
      <c r="BXO8" s="75"/>
      <c r="BXV8" s="52"/>
      <c r="BXW8" s="75"/>
      <c r="BYD8" s="52"/>
      <c r="BYE8" s="75"/>
      <c r="BYL8" s="52"/>
      <c r="BYM8" s="75"/>
      <c r="BYT8" s="52"/>
      <c r="BYU8" s="75"/>
      <c r="BZB8" s="52"/>
      <c r="BZC8" s="75"/>
      <c r="BZJ8" s="52"/>
      <c r="BZK8" s="75"/>
      <c r="BZR8" s="52"/>
      <c r="BZS8" s="75"/>
      <c r="BZZ8" s="52"/>
      <c r="CAA8" s="75"/>
      <c r="CAH8" s="52"/>
      <c r="CAI8" s="75"/>
      <c r="CAP8" s="52"/>
      <c r="CAQ8" s="75"/>
      <c r="CAX8" s="52"/>
      <c r="CAY8" s="75"/>
      <c r="CBF8" s="52"/>
      <c r="CBG8" s="75"/>
      <c r="CBN8" s="52"/>
      <c r="CBO8" s="75"/>
      <c r="CBV8" s="52"/>
      <c r="CBW8" s="75"/>
      <c r="CCD8" s="52"/>
      <c r="CCE8" s="75"/>
      <c r="CCL8" s="52"/>
      <c r="CCM8" s="75"/>
      <c r="CCT8" s="52"/>
      <c r="CCU8" s="75"/>
      <c r="CDB8" s="52"/>
      <c r="CDC8" s="75"/>
      <c r="CDJ8" s="52"/>
      <c r="CDK8" s="75"/>
      <c r="CDR8" s="52"/>
      <c r="CDS8" s="75"/>
      <c r="CDZ8" s="52"/>
      <c r="CEA8" s="75"/>
      <c r="CEH8" s="52"/>
      <c r="CEI8" s="75"/>
      <c r="CEP8" s="52"/>
      <c r="CEQ8" s="75"/>
      <c r="CEX8" s="52"/>
      <c r="CEY8" s="75"/>
      <c r="CFF8" s="52"/>
      <c r="CFG8" s="75"/>
      <c r="CFN8" s="52"/>
      <c r="CFO8" s="75"/>
      <c r="CFV8" s="52"/>
      <c r="CFW8" s="75"/>
      <c r="CGD8" s="52"/>
      <c r="CGE8" s="75"/>
      <c r="CGL8" s="52"/>
      <c r="CGM8" s="75"/>
      <c r="CGT8" s="52"/>
      <c r="CGU8" s="75"/>
      <c r="CHB8" s="52"/>
      <c r="CHC8" s="75"/>
      <c r="CHJ8" s="52"/>
      <c r="CHK8" s="75"/>
      <c r="CHR8" s="52"/>
      <c r="CHS8" s="75"/>
      <c r="CHZ8" s="52"/>
      <c r="CIA8" s="75"/>
      <c r="CIH8" s="52"/>
      <c r="CII8" s="75"/>
      <c r="CIP8" s="52"/>
      <c r="CIQ8" s="75"/>
      <c r="CIX8" s="52"/>
      <c r="CIY8" s="75"/>
      <c r="CJF8" s="52"/>
      <c r="CJG8" s="75"/>
      <c r="CJN8" s="52"/>
      <c r="CJO8" s="75"/>
      <c r="CJV8" s="52"/>
      <c r="CJW8" s="75"/>
      <c r="CKD8" s="52"/>
      <c r="CKE8" s="75"/>
      <c r="CKL8" s="52"/>
      <c r="CKM8" s="75"/>
      <c r="CKT8" s="52"/>
      <c r="CKU8" s="75"/>
      <c r="CLB8" s="52"/>
      <c r="CLC8" s="75"/>
      <c r="CLJ8" s="52"/>
      <c r="CLK8" s="75"/>
      <c r="CLR8" s="52"/>
      <c r="CLS8" s="75"/>
      <c r="CLZ8" s="52"/>
      <c r="CMA8" s="75"/>
      <c r="CMH8" s="52"/>
      <c r="CMI8" s="75"/>
      <c r="CMP8" s="52"/>
      <c r="CMQ8" s="75"/>
      <c r="CMX8" s="52"/>
      <c r="CMY8" s="75"/>
      <c r="CNF8" s="52"/>
      <c r="CNG8" s="75"/>
      <c r="CNN8" s="52"/>
      <c r="CNO8" s="75"/>
      <c r="CNV8" s="52"/>
      <c r="CNW8" s="75"/>
      <c r="COD8" s="52"/>
      <c r="COE8" s="75"/>
      <c r="COL8" s="52"/>
      <c r="COM8" s="75"/>
      <c r="COT8" s="52"/>
      <c r="COU8" s="75"/>
      <c r="CPB8" s="52"/>
      <c r="CPC8" s="75"/>
      <c r="CPJ8" s="52"/>
      <c r="CPK8" s="75"/>
      <c r="CPR8" s="52"/>
      <c r="CPS8" s="75"/>
      <c r="CPZ8" s="52"/>
      <c r="CQA8" s="75"/>
      <c r="CQH8" s="52"/>
      <c r="CQI8" s="75"/>
      <c r="CQP8" s="52"/>
      <c r="CQQ8" s="75"/>
      <c r="CQX8" s="52"/>
      <c r="CQY8" s="75"/>
      <c r="CRF8" s="52"/>
      <c r="CRG8" s="75"/>
      <c r="CRN8" s="52"/>
      <c r="CRO8" s="75"/>
      <c r="CRV8" s="52"/>
      <c r="CRW8" s="75"/>
      <c r="CSD8" s="52"/>
      <c r="CSE8" s="75"/>
      <c r="CSL8" s="52"/>
      <c r="CSM8" s="75"/>
      <c r="CST8" s="52"/>
      <c r="CSU8" s="75"/>
      <c r="CTB8" s="52"/>
      <c r="CTC8" s="75"/>
      <c r="CTJ8" s="52"/>
      <c r="CTK8" s="75"/>
      <c r="CTR8" s="52"/>
      <c r="CTS8" s="75"/>
      <c r="CTZ8" s="52"/>
      <c r="CUA8" s="75"/>
      <c r="CUH8" s="52"/>
      <c r="CUI8" s="75"/>
      <c r="CUP8" s="52"/>
      <c r="CUQ8" s="75"/>
      <c r="CUX8" s="52"/>
      <c r="CUY8" s="75"/>
      <c r="CVF8" s="52"/>
      <c r="CVG8" s="75"/>
      <c r="CVN8" s="52"/>
      <c r="CVO8" s="75"/>
      <c r="CVV8" s="52"/>
      <c r="CVW8" s="75"/>
      <c r="CWD8" s="52"/>
      <c r="CWE8" s="75"/>
      <c r="CWL8" s="52"/>
      <c r="CWM8" s="75"/>
      <c r="CWT8" s="52"/>
      <c r="CWU8" s="75"/>
      <c r="CXB8" s="52"/>
      <c r="CXC8" s="75"/>
      <c r="CXJ8" s="52"/>
      <c r="CXK8" s="75"/>
      <c r="CXR8" s="52"/>
      <c r="CXS8" s="75"/>
      <c r="CXZ8" s="52"/>
      <c r="CYA8" s="75"/>
      <c r="CYH8" s="52"/>
      <c r="CYI8" s="75"/>
      <c r="CYP8" s="52"/>
      <c r="CYQ8" s="75"/>
      <c r="CYX8" s="52"/>
      <c r="CYY8" s="75"/>
      <c r="CZF8" s="52"/>
      <c r="CZG8" s="75"/>
      <c r="CZN8" s="52"/>
      <c r="CZO8" s="75"/>
      <c r="CZV8" s="52"/>
      <c r="CZW8" s="75"/>
      <c r="DAD8" s="52"/>
      <c r="DAE8" s="75"/>
      <c r="DAL8" s="52"/>
      <c r="DAM8" s="75"/>
      <c r="DAT8" s="52"/>
      <c r="DAU8" s="75"/>
      <c r="DBB8" s="52"/>
      <c r="DBC8" s="75"/>
      <c r="DBJ8" s="52"/>
      <c r="DBK8" s="75"/>
      <c r="DBR8" s="52"/>
      <c r="DBS8" s="75"/>
      <c r="DBZ8" s="52"/>
      <c r="DCA8" s="75"/>
      <c r="DCH8" s="52"/>
      <c r="DCI8" s="75"/>
      <c r="DCP8" s="52"/>
      <c r="DCQ8" s="75"/>
      <c r="DCX8" s="52"/>
      <c r="DCY8" s="75"/>
      <c r="DDF8" s="52"/>
      <c r="DDG8" s="75"/>
      <c r="DDN8" s="52"/>
      <c r="DDO8" s="75"/>
      <c r="DDV8" s="52"/>
      <c r="DDW8" s="75"/>
      <c r="DED8" s="52"/>
      <c r="DEE8" s="75"/>
      <c r="DEL8" s="52"/>
      <c r="DEM8" s="75"/>
      <c r="DET8" s="52"/>
      <c r="DEU8" s="75"/>
      <c r="DFB8" s="52"/>
      <c r="DFC8" s="75"/>
      <c r="DFJ8" s="52"/>
      <c r="DFK8" s="75"/>
      <c r="DFR8" s="52"/>
      <c r="DFS8" s="75"/>
      <c r="DFZ8" s="52"/>
      <c r="DGA8" s="75"/>
      <c r="DGH8" s="52"/>
      <c r="DGI8" s="75"/>
      <c r="DGP8" s="52"/>
      <c r="DGQ8" s="75"/>
      <c r="DGX8" s="52"/>
      <c r="DGY8" s="75"/>
      <c r="DHF8" s="52"/>
      <c r="DHG8" s="75"/>
      <c r="DHN8" s="52"/>
      <c r="DHO8" s="75"/>
      <c r="DHV8" s="52"/>
      <c r="DHW8" s="75"/>
      <c r="DID8" s="52"/>
      <c r="DIE8" s="75"/>
      <c r="DIL8" s="52"/>
      <c r="DIM8" s="75"/>
      <c r="DIT8" s="52"/>
      <c r="DIU8" s="75"/>
      <c r="DJB8" s="52"/>
      <c r="DJC8" s="75"/>
      <c r="DJJ8" s="52"/>
      <c r="DJK8" s="75"/>
      <c r="DJR8" s="52"/>
      <c r="DJS8" s="75"/>
      <c r="DJZ8" s="52"/>
      <c r="DKA8" s="75"/>
      <c r="DKH8" s="52"/>
      <c r="DKI8" s="75"/>
      <c r="DKP8" s="52"/>
      <c r="DKQ8" s="75"/>
      <c r="DKX8" s="52"/>
      <c r="DKY8" s="75"/>
      <c r="DLF8" s="52"/>
      <c r="DLG8" s="75"/>
      <c r="DLN8" s="52"/>
      <c r="DLO8" s="75"/>
      <c r="DLV8" s="52"/>
      <c r="DLW8" s="75"/>
      <c r="DMD8" s="52"/>
      <c r="DME8" s="75"/>
      <c r="DML8" s="52"/>
      <c r="DMM8" s="75"/>
      <c r="DMT8" s="52"/>
      <c r="DMU8" s="75"/>
      <c r="DNB8" s="52"/>
      <c r="DNC8" s="75"/>
      <c r="DNJ8" s="52"/>
      <c r="DNK8" s="75"/>
      <c r="DNR8" s="52"/>
      <c r="DNS8" s="75"/>
      <c r="DNZ8" s="52"/>
      <c r="DOA8" s="75"/>
      <c r="DOH8" s="52"/>
      <c r="DOI8" s="75"/>
      <c r="DOP8" s="52"/>
      <c r="DOQ8" s="75"/>
      <c r="DOX8" s="52"/>
      <c r="DOY8" s="75"/>
      <c r="DPF8" s="52"/>
      <c r="DPG8" s="75"/>
      <c r="DPN8" s="52"/>
      <c r="DPO8" s="75"/>
      <c r="DPV8" s="52"/>
      <c r="DPW8" s="75"/>
      <c r="DQD8" s="52"/>
      <c r="DQE8" s="75"/>
      <c r="DQL8" s="52"/>
      <c r="DQM8" s="75"/>
      <c r="DQT8" s="52"/>
      <c r="DQU8" s="75"/>
      <c r="DRB8" s="52"/>
      <c r="DRC8" s="75"/>
      <c r="DRJ8" s="52"/>
      <c r="DRK8" s="75"/>
      <c r="DRR8" s="52"/>
      <c r="DRS8" s="75"/>
      <c r="DRZ8" s="52"/>
      <c r="DSA8" s="75"/>
      <c r="DSH8" s="52"/>
      <c r="DSI8" s="75"/>
      <c r="DSP8" s="52"/>
      <c r="DSQ8" s="75"/>
      <c r="DSX8" s="52"/>
      <c r="DSY8" s="75"/>
      <c r="DTF8" s="52"/>
      <c r="DTG8" s="75"/>
      <c r="DTN8" s="52"/>
      <c r="DTO8" s="75"/>
      <c r="DTV8" s="52"/>
      <c r="DTW8" s="75"/>
      <c r="DUD8" s="52"/>
      <c r="DUE8" s="75"/>
      <c r="DUL8" s="52"/>
      <c r="DUM8" s="75"/>
      <c r="DUT8" s="52"/>
      <c r="DUU8" s="75"/>
      <c r="DVB8" s="52"/>
      <c r="DVC8" s="75"/>
      <c r="DVJ8" s="52"/>
      <c r="DVK8" s="75"/>
      <c r="DVR8" s="52"/>
      <c r="DVS8" s="75"/>
      <c r="DVZ8" s="52"/>
      <c r="DWA8" s="75"/>
      <c r="DWH8" s="52"/>
      <c r="DWI8" s="75"/>
      <c r="DWP8" s="52"/>
      <c r="DWQ8" s="75"/>
      <c r="DWX8" s="52"/>
      <c r="DWY8" s="75"/>
      <c r="DXF8" s="52"/>
      <c r="DXG8" s="75"/>
      <c r="DXN8" s="52"/>
      <c r="DXO8" s="75"/>
      <c r="DXV8" s="52"/>
      <c r="DXW8" s="75"/>
      <c r="DYD8" s="52"/>
      <c r="DYE8" s="75"/>
      <c r="DYL8" s="52"/>
      <c r="DYM8" s="75"/>
      <c r="DYT8" s="52"/>
      <c r="DYU8" s="75"/>
      <c r="DZB8" s="52"/>
      <c r="DZC8" s="75"/>
      <c r="DZJ8" s="52"/>
      <c r="DZK8" s="75"/>
      <c r="DZR8" s="52"/>
      <c r="DZS8" s="75"/>
      <c r="DZZ8" s="52"/>
      <c r="EAA8" s="75"/>
      <c r="EAH8" s="52"/>
      <c r="EAI8" s="75"/>
      <c r="EAP8" s="52"/>
      <c r="EAQ8" s="75"/>
      <c r="EAX8" s="52"/>
      <c r="EAY8" s="75"/>
      <c r="EBF8" s="52"/>
      <c r="EBG8" s="75"/>
      <c r="EBN8" s="52"/>
      <c r="EBO8" s="75"/>
      <c r="EBV8" s="52"/>
      <c r="EBW8" s="75"/>
      <c r="ECD8" s="52"/>
      <c r="ECE8" s="75"/>
      <c r="ECL8" s="52"/>
      <c r="ECM8" s="75"/>
      <c r="ECT8" s="52"/>
      <c r="ECU8" s="75"/>
      <c r="EDB8" s="52"/>
      <c r="EDC8" s="75"/>
      <c r="EDJ8" s="52"/>
      <c r="EDK8" s="75"/>
      <c r="EDR8" s="52"/>
      <c r="EDS8" s="75"/>
      <c r="EDZ8" s="52"/>
      <c r="EEA8" s="75"/>
      <c r="EEH8" s="52"/>
      <c r="EEI8" s="75"/>
      <c r="EEP8" s="52"/>
      <c r="EEQ8" s="75"/>
      <c r="EEX8" s="52"/>
      <c r="EEY8" s="75"/>
      <c r="EFF8" s="52"/>
      <c r="EFG8" s="75"/>
      <c r="EFN8" s="52"/>
      <c r="EFO8" s="75"/>
      <c r="EFV8" s="52"/>
      <c r="EFW8" s="75"/>
      <c r="EGD8" s="52"/>
      <c r="EGE8" s="75"/>
      <c r="EGL8" s="52"/>
      <c r="EGM8" s="75"/>
      <c r="EGT8" s="52"/>
      <c r="EGU8" s="75"/>
      <c r="EHB8" s="52"/>
      <c r="EHC8" s="75"/>
      <c r="EHJ8" s="52"/>
      <c r="EHK8" s="75"/>
      <c r="EHR8" s="52"/>
      <c r="EHS8" s="75"/>
      <c r="EHZ8" s="52"/>
      <c r="EIA8" s="75"/>
      <c r="EIH8" s="52"/>
      <c r="EII8" s="75"/>
      <c r="EIP8" s="52"/>
      <c r="EIQ8" s="75"/>
      <c r="EIX8" s="52"/>
      <c r="EIY8" s="75"/>
      <c r="EJF8" s="52"/>
      <c r="EJG8" s="75"/>
      <c r="EJN8" s="52"/>
      <c r="EJO8" s="75"/>
      <c r="EJV8" s="52"/>
      <c r="EJW8" s="75"/>
      <c r="EKD8" s="52"/>
      <c r="EKE8" s="75"/>
      <c r="EKL8" s="52"/>
      <c r="EKM8" s="75"/>
      <c r="EKT8" s="52"/>
      <c r="EKU8" s="75"/>
      <c r="ELB8" s="52"/>
      <c r="ELC8" s="75"/>
      <c r="ELJ8" s="52"/>
      <c r="ELK8" s="75"/>
      <c r="ELR8" s="52"/>
      <c r="ELS8" s="75"/>
      <c r="ELZ8" s="52"/>
      <c r="EMA8" s="75"/>
      <c r="EMH8" s="52"/>
      <c r="EMI8" s="75"/>
      <c r="EMP8" s="52"/>
      <c r="EMQ8" s="75"/>
      <c r="EMX8" s="52"/>
      <c r="EMY8" s="75"/>
      <c r="ENF8" s="52"/>
      <c r="ENG8" s="75"/>
      <c r="ENN8" s="52"/>
      <c r="ENO8" s="75"/>
      <c r="ENV8" s="52"/>
      <c r="ENW8" s="75"/>
      <c r="EOD8" s="52"/>
      <c r="EOE8" s="75"/>
      <c r="EOL8" s="52"/>
      <c r="EOM8" s="75"/>
      <c r="EOT8" s="52"/>
      <c r="EOU8" s="75"/>
      <c r="EPB8" s="52"/>
      <c r="EPC8" s="75"/>
      <c r="EPJ8" s="52"/>
      <c r="EPK8" s="75"/>
      <c r="EPR8" s="52"/>
      <c r="EPS8" s="75"/>
      <c r="EPZ8" s="52"/>
      <c r="EQA8" s="75"/>
      <c r="EQH8" s="52"/>
      <c r="EQI8" s="75"/>
      <c r="EQP8" s="52"/>
      <c r="EQQ8" s="75"/>
      <c r="EQX8" s="52"/>
      <c r="EQY8" s="75"/>
      <c r="ERF8" s="52"/>
      <c r="ERG8" s="75"/>
      <c r="ERN8" s="52"/>
      <c r="ERO8" s="75"/>
      <c r="ERV8" s="52"/>
      <c r="ERW8" s="75"/>
      <c r="ESD8" s="52"/>
      <c r="ESE8" s="75"/>
      <c r="ESL8" s="52"/>
      <c r="ESM8" s="75"/>
      <c r="EST8" s="52"/>
      <c r="ESU8" s="75"/>
      <c r="ETB8" s="52"/>
      <c r="ETC8" s="75"/>
      <c r="ETJ8" s="52"/>
      <c r="ETK8" s="75"/>
      <c r="ETR8" s="52"/>
      <c r="ETS8" s="75"/>
      <c r="ETZ8" s="52"/>
      <c r="EUA8" s="75"/>
      <c r="EUH8" s="52"/>
      <c r="EUI8" s="75"/>
      <c r="EUP8" s="52"/>
      <c r="EUQ8" s="75"/>
      <c r="EUX8" s="52"/>
      <c r="EUY8" s="75"/>
      <c r="EVF8" s="52"/>
      <c r="EVG8" s="75"/>
      <c r="EVN8" s="52"/>
      <c r="EVO8" s="75"/>
      <c r="EVV8" s="52"/>
      <c r="EVW8" s="75"/>
      <c r="EWD8" s="52"/>
      <c r="EWE8" s="75"/>
      <c r="EWL8" s="52"/>
      <c r="EWM8" s="75"/>
      <c r="EWT8" s="52"/>
      <c r="EWU8" s="75"/>
      <c r="EXB8" s="52"/>
      <c r="EXC8" s="75"/>
      <c r="EXJ8" s="52"/>
      <c r="EXK8" s="75"/>
      <c r="EXR8" s="52"/>
      <c r="EXS8" s="75"/>
      <c r="EXZ8" s="52"/>
      <c r="EYA8" s="75"/>
      <c r="EYH8" s="52"/>
      <c r="EYI8" s="75"/>
      <c r="EYP8" s="52"/>
      <c r="EYQ8" s="75"/>
      <c r="EYX8" s="52"/>
      <c r="EYY8" s="75"/>
      <c r="EZF8" s="52"/>
      <c r="EZG8" s="75"/>
      <c r="EZN8" s="52"/>
      <c r="EZO8" s="75"/>
      <c r="EZV8" s="52"/>
      <c r="EZW8" s="75"/>
      <c r="FAD8" s="52"/>
      <c r="FAE8" s="75"/>
      <c r="FAL8" s="52"/>
      <c r="FAM8" s="75"/>
      <c r="FAT8" s="52"/>
      <c r="FAU8" s="75"/>
      <c r="FBB8" s="52"/>
      <c r="FBC8" s="75"/>
      <c r="FBJ8" s="52"/>
      <c r="FBK8" s="75"/>
      <c r="FBR8" s="52"/>
      <c r="FBS8" s="75"/>
      <c r="FBZ8" s="52"/>
      <c r="FCA8" s="75"/>
      <c r="FCH8" s="52"/>
      <c r="FCI8" s="75"/>
      <c r="FCP8" s="52"/>
      <c r="FCQ8" s="75"/>
      <c r="FCX8" s="52"/>
      <c r="FCY8" s="75"/>
      <c r="FDF8" s="52"/>
      <c r="FDG8" s="75"/>
      <c r="FDN8" s="52"/>
      <c r="FDO8" s="75"/>
      <c r="FDV8" s="52"/>
      <c r="FDW8" s="75"/>
      <c r="FED8" s="52"/>
      <c r="FEE8" s="75"/>
      <c r="FEL8" s="52"/>
      <c r="FEM8" s="75"/>
      <c r="FET8" s="52"/>
      <c r="FEU8" s="75"/>
      <c r="FFB8" s="52"/>
      <c r="FFC8" s="75"/>
      <c r="FFJ8" s="52"/>
      <c r="FFK8" s="75"/>
      <c r="FFR8" s="52"/>
      <c r="FFS8" s="75"/>
      <c r="FFZ8" s="52"/>
      <c r="FGA8" s="75"/>
      <c r="FGH8" s="52"/>
      <c r="FGI8" s="75"/>
      <c r="FGP8" s="52"/>
      <c r="FGQ8" s="75"/>
      <c r="FGX8" s="52"/>
      <c r="FGY8" s="75"/>
      <c r="FHF8" s="52"/>
      <c r="FHG8" s="75"/>
      <c r="FHN8" s="52"/>
      <c r="FHO8" s="75"/>
      <c r="FHV8" s="52"/>
      <c r="FHW8" s="75"/>
      <c r="FID8" s="52"/>
      <c r="FIE8" s="75"/>
      <c r="FIL8" s="52"/>
      <c r="FIM8" s="75"/>
      <c r="FIT8" s="52"/>
      <c r="FIU8" s="75"/>
      <c r="FJB8" s="52"/>
      <c r="FJC8" s="75"/>
      <c r="FJJ8" s="52"/>
      <c r="FJK8" s="75"/>
      <c r="FJR8" s="52"/>
      <c r="FJS8" s="75"/>
      <c r="FJZ8" s="52"/>
      <c r="FKA8" s="75"/>
      <c r="FKH8" s="52"/>
      <c r="FKI8" s="75"/>
      <c r="FKP8" s="52"/>
      <c r="FKQ8" s="75"/>
      <c r="FKX8" s="52"/>
      <c r="FKY8" s="75"/>
      <c r="FLF8" s="52"/>
      <c r="FLG8" s="75"/>
      <c r="FLN8" s="52"/>
      <c r="FLO8" s="75"/>
      <c r="FLV8" s="52"/>
      <c r="FLW8" s="75"/>
      <c r="FMD8" s="52"/>
      <c r="FME8" s="75"/>
      <c r="FML8" s="52"/>
      <c r="FMM8" s="75"/>
      <c r="FMT8" s="52"/>
      <c r="FMU8" s="75"/>
      <c r="FNB8" s="52"/>
      <c r="FNC8" s="75"/>
      <c r="FNJ8" s="52"/>
      <c r="FNK8" s="75"/>
      <c r="FNR8" s="52"/>
      <c r="FNS8" s="75"/>
      <c r="FNZ8" s="52"/>
      <c r="FOA8" s="75"/>
      <c r="FOH8" s="52"/>
      <c r="FOI8" s="75"/>
      <c r="FOP8" s="52"/>
      <c r="FOQ8" s="75"/>
      <c r="FOX8" s="52"/>
      <c r="FOY8" s="75"/>
      <c r="FPF8" s="52"/>
      <c r="FPG8" s="75"/>
      <c r="FPN8" s="52"/>
      <c r="FPO8" s="75"/>
      <c r="FPV8" s="52"/>
      <c r="FPW8" s="75"/>
      <c r="FQD8" s="52"/>
      <c r="FQE8" s="75"/>
      <c r="FQL8" s="52"/>
      <c r="FQM8" s="75"/>
      <c r="FQT8" s="52"/>
      <c r="FQU8" s="75"/>
      <c r="FRB8" s="52"/>
      <c r="FRC8" s="75"/>
      <c r="FRJ8" s="52"/>
      <c r="FRK8" s="75"/>
      <c r="FRR8" s="52"/>
      <c r="FRS8" s="75"/>
      <c r="FRZ8" s="52"/>
      <c r="FSA8" s="75"/>
      <c r="FSH8" s="52"/>
      <c r="FSI8" s="75"/>
      <c r="FSP8" s="52"/>
      <c r="FSQ8" s="75"/>
      <c r="FSX8" s="52"/>
      <c r="FSY8" s="75"/>
      <c r="FTF8" s="52"/>
      <c r="FTG8" s="75"/>
      <c r="FTN8" s="52"/>
      <c r="FTO8" s="75"/>
      <c r="FTV8" s="52"/>
      <c r="FTW8" s="75"/>
      <c r="FUD8" s="52"/>
      <c r="FUE8" s="75"/>
      <c r="FUL8" s="52"/>
      <c r="FUM8" s="75"/>
      <c r="FUT8" s="52"/>
      <c r="FUU8" s="75"/>
      <c r="FVB8" s="52"/>
      <c r="FVC8" s="75"/>
      <c r="FVJ8" s="52"/>
      <c r="FVK8" s="75"/>
      <c r="FVR8" s="52"/>
      <c r="FVS8" s="75"/>
      <c r="FVZ8" s="52"/>
      <c r="FWA8" s="75"/>
      <c r="FWH8" s="52"/>
      <c r="FWI8" s="75"/>
      <c r="FWP8" s="52"/>
      <c r="FWQ8" s="75"/>
      <c r="FWX8" s="52"/>
      <c r="FWY8" s="75"/>
      <c r="FXF8" s="52"/>
      <c r="FXG8" s="75"/>
      <c r="FXN8" s="52"/>
      <c r="FXO8" s="75"/>
      <c r="FXV8" s="52"/>
      <c r="FXW8" s="75"/>
      <c r="FYD8" s="52"/>
      <c r="FYE8" s="75"/>
      <c r="FYL8" s="52"/>
      <c r="FYM8" s="75"/>
      <c r="FYT8" s="52"/>
      <c r="FYU8" s="75"/>
      <c r="FZB8" s="52"/>
      <c r="FZC8" s="75"/>
      <c r="FZJ8" s="52"/>
      <c r="FZK8" s="75"/>
      <c r="FZR8" s="52"/>
      <c r="FZS8" s="75"/>
      <c r="FZZ8" s="52"/>
      <c r="GAA8" s="75"/>
      <c r="GAH8" s="52"/>
      <c r="GAI8" s="75"/>
      <c r="GAP8" s="52"/>
      <c r="GAQ8" s="75"/>
      <c r="GAX8" s="52"/>
      <c r="GAY8" s="75"/>
      <c r="GBF8" s="52"/>
      <c r="GBG8" s="75"/>
      <c r="GBN8" s="52"/>
      <c r="GBO8" s="75"/>
      <c r="GBV8" s="52"/>
      <c r="GBW8" s="75"/>
      <c r="GCD8" s="52"/>
      <c r="GCE8" s="75"/>
      <c r="GCL8" s="52"/>
      <c r="GCM8" s="75"/>
      <c r="GCT8" s="52"/>
      <c r="GCU8" s="75"/>
      <c r="GDB8" s="52"/>
      <c r="GDC8" s="75"/>
      <c r="GDJ8" s="52"/>
      <c r="GDK8" s="75"/>
      <c r="GDR8" s="52"/>
      <c r="GDS8" s="75"/>
      <c r="GDZ8" s="52"/>
      <c r="GEA8" s="75"/>
      <c r="GEH8" s="52"/>
      <c r="GEI8" s="75"/>
      <c r="GEP8" s="52"/>
      <c r="GEQ8" s="75"/>
      <c r="GEX8" s="52"/>
      <c r="GEY8" s="75"/>
      <c r="GFF8" s="52"/>
      <c r="GFG8" s="75"/>
      <c r="GFN8" s="52"/>
      <c r="GFO8" s="75"/>
      <c r="GFV8" s="52"/>
      <c r="GFW8" s="75"/>
      <c r="GGD8" s="52"/>
      <c r="GGE8" s="75"/>
      <c r="GGL8" s="52"/>
      <c r="GGM8" s="75"/>
      <c r="GGT8" s="52"/>
      <c r="GGU8" s="75"/>
      <c r="GHB8" s="52"/>
      <c r="GHC8" s="75"/>
      <c r="GHJ8" s="52"/>
      <c r="GHK8" s="75"/>
      <c r="GHR8" s="52"/>
      <c r="GHS8" s="75"/>
      <c r="GHZ8" s="52"/>
      <c r="GIA8" s="75"/>
      <c r="GIH8" s="52"/>
      <c r="GII8" s="75"/>
      <c r="GIP8" s="52"/>
      <c r="GIQ8" s="75"/>
      <c r="GIX8" s="52"/>
      <c r="GIY8" s="75"/>
      <c r="GJF8" s="52"/>
      <c r="GJG8" s="75"/>
      <c r="GJN8" s="52"/>
      <c r="GJO8" s="75"/>
      <c r="GJV8" s="52"/>
      <c r="GJW8" s="75"/>
      <c r="GKD8" s="52"/>
      <c r="GKE8" s="75"/>
      <c r="GKL8" s="52"/>
      <c r="GKM8" s="75"/>
      <c r="GKT8" s="52"/>
      <c r="GKU8" s="75"/>
      <c r="GLB8" s="52"/>
      <c r="GLC8" s="75"/>
      <c r="GLJ8" s="52"/>
      <c r="GLK8" s="75"/>
      <c r="GLR8" s="52"/>
      <c r="GLS8" s="75"/>
      <c r="GLZ8" s="52"/>
      <c r="GMA8" s="75"/>
      <c r="GMH8" s="52"/>
      <c r="GMI8" s="75"/>
      <c r="GMP8" s="52"/>
      <c r="GMQ8" s="75"/>
      <c r="GMX8" s="52"/>
      <c r="GMY8" s="75"/>
      <c r="GNF8" s="52"/>
      <c r="GNG8" s="75"/>
      <c r="GNN8" s="52"/>
      <c r="GNO8" s="75"/>
      <c r="GNV8" s="52"/>
      <c r="GNW8" s="75"/>
      <c r="GOD8" s="52"/>
      <c r="GOE8" s="75"/>
      <c r="GOL8" s="52"/>
      <c r="GOM8" s="75"/>
      <c r="GOT8" s="52"/>
      <c r="GOU8" s="75"/>
      <c r="GPB8" s="52"/>
      <c r="GPC8" s="75"/>
      <c r="GPJ8" s="52"/>
      <c r="GPK8" s="75"/>
      <c r="GPR8" s="52"/>
      <c r="GPS8" s="75"/>
      <c r="GPZ8" s="52"/>
      <c r="GQA8" s="75"/>
      <c r="GQH8" s="52"/>
      <c r="GQI8" s="75"/>
      <c r="GQP8" s="52"/>
      <c r="GQQ8" s="75"/>
      <c r="GQX8" s="52"/>
      <c r="GQY8" s="75"/>
      <c r="GRF8" s="52"/>
      <c r="GRG8" s="75"/>
      <c r="GRN8" s="52"/>
      <c r="GRO8" s="75"/>
      <c r="GRV8" s="52"/>
      <c r="GRW8" s="75"/>
      <c r="GSD8" s="52"/>
      <c r="GSE8" s="75"/>
      <c r="GSL8" s="52"/>
      <c r="GSM8" s="75"/>
      <c r="GST8" s="52"/>
      <c r="GSU8" s="75"/>
      <c r="GTB8" s="52"/>
      <c r="GTC8" s="75"/>
      <c r="GTJ8" s="52"/>
      <c r="GTK8" s="75"/>
      <c r="GTR8" s="52"/>
      <c r="GTS8" s="75"/>
      <c r="GTZ8" s="52"/>
      <c r="GUA8" s="75"/>
      <c r="GUH8" s="52"/>
      <c r="GUI8" s="75"/>
      <c r="GUP8" s="52"/>
      <c r="GUQ8" s="75"/>
      <c r="GUX8" s="52"/>
      <c r="GUY8" s="75"/>
      <c r="GVF8" s="52"/>
      <c r="GVG8" s="75"/>
      <c r="GVN8" s="52"/>
      <c r="GVO8" s="75"/>
      <c r="GVV8" s="52"/>
      <c r="GVW8" s="75"/>
      <c r="GWD8" s="52"/>
      <c r="GWE8" s="75"/>
      <c r="GWL8" s="52"/>
      <c r="GWM8" s="75"/>
      <c r="GWT8" s="52"/>
      <c r="GWU8" s="75"/>
      <c r="GXB8" s="52"/>
      <c r="GXC8" s="75"/>
      <c r="GXJ8" s="52"/>
      <c r="GXK8" s="75"/>
      <c r="GXR8" s="52"/>
      <c r="GXS8" s="75"/>
      <c r="GXZ8" s="52"/>
      <c r="GYA8" s="75"/>
      <c r="GYH8" s="52"/>
      <c r="GYI8" s="75"/>
      <c r="GYP8" s="52"/>
      <c r="GYQ8" s="75"/>
      <c r="GYX8" s="52"/>
      <c r="GYY8" s="75"/>
      <c r="GZF8" s="52"/>
      <c r="GZG8" s="75"/>
      <c r="GZN8" s="52"/>
      <c r="GZO8" s="75"/>
      <c r="GZV8" s="52"/>
      <c r="GZW8" s="75"/>
      <c r="HAD8" s="52"/>
      <c r="HAE8" s="75"/>
      <c r="HAL8" s="52"/>
      <c r="HAM8" s="75"/>
      <c r="HAT8" s="52"/>
      <c r="HAU8" s="75"/>
      <c r="HBB8" s="52"/>
      <c r="HBC8" s="75"/>
      <c r="HBJ8" s="52"/>
      <c r="HBK8" s="75"/>
      <c r="HBR8" s="52"/>
      <c r="HBS8" s="75"/>
      <c r="HBZ8" s="52"/>
      <c r="HCA8" s="75"/>
      <c r="HCH8" s="52"/>
      <c r="HCI8" s="75"/>
      <c r="HCP8" s="52"/>
      <c r="HCQ8" s="75"/>
      <c r="HCX8" s="52"/>
      <c r="HCY8" s="75"/>
      <c r="HDF8" s="52"/>
      <c r="HDG8" s="75"/>
      <c r="HDN8" s="52"/>
      <c r="HDO8" s="75"/>
      <c r="HDV8" s="52"/>
      <c r="HDW8" s="75"/>
      <c r="HED8" s="52"/>
      <c r="HEE8" s="75"/>
      <c r="HEL8" s="52"/>
      <c r="HEM8" s="75"/>
      <c r="HET8" s="52"/>
      <c r="HEU8" s="75"/>
      <c r="HFB8" s="52"/>
      <c r="HFC8" s="75"/>
      <c r="HFJ8" s="52"/>
      <c r="HFK8" s="75"/>
      <c r="HFR8" s="52"/>
      <c r="HFS8" s="75"/>
      <c r="HFZ8" s="52"/>
      <c r="HGA8" s="75"/>
      <c r="HGH8" s="52"/>
      <c r="HGI8" s="75"/>
      <c r="HGP8" s="52"/>
      <c r="HGQ8" s="75"/>
      <c r="HGX8" s="52"/>
      <c r="HGY8" s="75"/>
      <c r="HHF8" s="52"/>
      <c r="HHG8" s="75"/>
      <c r="HHN8" s="52"/>
      <c r="HHO8" s="75"/>
      <c r="HHV8" s="52"/>
      <c r="HHW8" s="75"/>
      <c r="HID8" s="52"/>
      <c r="HIE8" s="75"/>
      <c r="HIL8" s="52"/>
      <c r="HIM8" s="75"/>
      <c r="HIT8" s="52"/>
      <c r="HIU8" s="75"/>
      <c r="HJB8" s="52"/>
      <c r="HJC8" s="75"/>
      <c r="HJJ8" s="52"/>
      <c r="HJK8" s="75"/>
      <c r="HJR8" s="52"/>
      <c r="HJS8" s="75"/>
      <c r="HJZ8" s="52"/>
      <c r="HKA8" s="75"/>
      <c r="HKH8" s="52"/>
      <c r="HKI8" s="75"/>
      <c r="HKP8" s="52"/>
      <c r="HKQ8" s="75"/>
      <c r="HKX8" s="52"/>
      <c r="HKY8" s="75"/>
      <c r="HLF8" s="52"/>
      <c r="HLG8" s="75"/>
      <c r="HLN8" s="52"/>
      <c r="HLO8" s="75"/>
      <c r="HLV8" s="52"/>
      <c r="HLW8" s="75"/>
      <c r="HMD8" s="52"/>
      <c r="HME8" s="75"/>
      <c r="HML8" s="52"/>
      <c r="HMM8" s="75"/>
      <c r="HMT8" s="52"/>
      <c r="HMU8" s="75"/>
      <c r="HNB8" s="52"/>
      <c r="HNC8" s="75"/>
      <c r="HNJ8" s="52"/>
      <c r="HNK8" s="75"/>
      <c r="HNR8" s="52"/>
      <c r="HNS8" s="75"/>
      <c r="HNZ8" s="52"/>
      <c r="HOA8" s="75"/>
      <c r="HOH8" s="52"/>
      <c r="HOI8" s="75"/>
      <c r="HOP8" s="52"/>
      <c r="HOQ8" s="75"/>
      <c r="HOX8" s="52"/>
      <c r="HOY8" s="75"/>
      <c r="HPF8" s="52"/>
      <c r="HPG8" s="75"/>
      <c r="HPN8" s="52"/>
      <c r="HPO8" s="75"/>
      <c r="HPV8" s="52"/>
      <c r="HPW8" s="75"/>
      <c r="HQD8" s="52"/>
      <c r="HQE8" s="75"/>
      <c r="HQL8" s="52"/>
      <c r="HQM8" s="75"/>
      <c r="HQT8" s="52"/>
      <c r="HQU8" s="75"/>
      <c r="HRB8" s="52"/>
      <c r="HRC8" s="75"/>
      <c r="HRJ8" s="52"/>
      <c r="HRK8" s="75"/>
      <c r="HRR8" s="52"/>
      <c r="HRS8" s="75"/>
      <c r="HRZ8" s="52"/>
      <c r="HSA8" s="75"/>
      <c r="HSH8" s="52"/>
      <c r="HSI8" s="75"/>
      <c r="HSP8" s="52"/>
      <c r="HSQ8" s="75"/>
      <c r="HSX8" s="52"/>
      <c r="HSY8" s="75"/>
      <c r="HTF8" s="52"/>
      <c r="HTG8" s="75"/>
      <c r="HTN8" s="52"/>
      <c r="HTO8" s="75"/>
      <c r="HTV8" s="52"/>
      <c r="HTW8" s="75"/>
      <c r="HUD8" s="52"/>
      <c r="HUE8" s="75"/>
      <c r="HUL8" s="52"/>
      <c r="HUM8" s="75"/>
      <c r="HUT8" s="52"/>
      <c r="HUU8" s="75"/>
      <c r="HVB8" s="52"/>
      <c r="HVC8" s="75"/>
      <c r="HVJ8" s="52"/>
      <c r="HVK8" s="75"/>
      <c r="HVR8" s="52"/>
      <c r="HVS8" s="75"/>
      <c r="HVZ8" s="52"/>
      <c r="HWA8" s="75"/>
      <c r="HWH8" s="52"/>
      <c r="HWI8" s="75"/>
      <c r="HWP8" s="52"/>
      <c r="HWQ8" s="75"/>
      <c r="HWX8" s="52"/>
      <c r="HWY8" s="75"/>
      <c r="HXF8" s="52"/>
      <c r="HXG8" s="75"/>
      <c r="HXN8" s="52"/>
      <c r="HXO8" s="75"/>
      <c r="HXV8" s="52"/>
      <c r="HXW8" s="75"/>
      <c r="HYD8" s="52"/>
      <c r="HYE8" s="75"/>
      <c r="HYL8" s="52"/>
      <c r="HYM8" s="75"/>
      <c r="HYT8" s="52"/>
      <c r="HYU8" s="75"/>
      <c r="HZB8" s="52"/>
      <c r="HZC8" s="75"/>
      <c r="HZJ8" s="52"/>
      <c r="HZK8" s="75"/>
      <c r="HZR8" s="52"/>
      <c r="HZS8" s="75"/>
      <c r="HZZ8" s="52"/>
      <c r="IAA8" s="75"/>
      <c r="IAH8" s="52"/>
      <c r="IAI8" s="75"/>
      <c r="IAP8" s="52"/>
      <c r="IAQ8" s="75"/>
      <c r="IAX8" s="52"/>
      <c r="IAY8" s="75"/>
      <c r="IBF8" s="52"/>
      <c r="IBG8" s="75"/>
      <c r="IBN8" s="52"/>
      <c r="IBO8" s="75"/>
      <c r="IBV8" s="52"/>
      <c r="IBW8" s="75"/>
      <c r="ICD8" s="52"/>
      <c r="ICE8" s="75"/>
      <c r="ICL8" s="52"/>
      <c r="ICM8" s="75"/>
      <c r="ICT8" s="52"/>
      <c r="ICU8" s="75"/>
      <c r="IDB8" s="52"/>
      <c r="IDC8" s="75"/>
      <c r="IDJ8" s="52"/>
      <c r="IDK8" s="75"/>
      <c r="IDR8" s="52"/>
      <c r="IDS8" s="75"/>
      <c r="IDZ8" s="52"/>
      <c r="IEA8" s="75"/>
      <c r="IEH8" s="52"/>
      <c r="IEI8" s="75"/>
      <c r="IEP8" s="52"/>
      <c r="IEQ8" s="75"/>
      <c r="IEX8" s="52"/>
      <c r="IEY8" s="75"/>
      <c r="IFF8" s="52"/>
      <c r="IFG8" s="75"/>
      <c r="IFN8" s="52"/>
      <c r="IFO8" s="75"/>
      <c r="IFV8" s="52"/>
      <c r="IFW8" s="75"/>
      <c r="IGD8" s="52"/>
      <c r="IGE8" s="75"/>
      <c r="IGL8" s="52"/>
      <c r="IGM8" s="75"/>
      <c r="IGT8" s="52"/>
      <c r="IGU8" s="75"/>
      <c r="IHB8" s="52"/>
      <c r="IHC8" s="75"/>
      <c r="IHJ8" s="52"/>
      <c r="IHK8" s="75"/>
      <c r="IHR8" s="52"/>
      <c r="IHS8" s="75"/>
      <c r="IHZ8" s="52"/>
      <c r="IIA8" s="75"/>
      <c r="IIH8" s="52"/>
      <c r="III8" s="75"/>
      <c r="IIP8" s="52"/>
      <c r="IIQ8" s="75"/>
      <c r="IIX8" s="52"/>
      <c r="IIY8" s="75"/>
      <c r="IJF8" s="52"/>
      <c r="IJG8" s="75"/>
      <c r="IJN8" s="52"/>
      <c r="IJO8" s="75"/>
      <c r="IJV8" s="52"/>
      <c r="IJW8" s="75"/>
      <c r="IKD8" s="52"/>
      <c r="IKE8" s="75"/>
      <c r="IKL8" s="52"/>
      <c r="IKM8" s="75"/>
      <c r="IKT8" s="52"/>
      <c r="IKU8" s="75"/>
      <c r="ILB8" s="52"/>
      <c r="ILC8" s="75"/>
      <c r="ILJ8" s="52"/>
      <c r="ILK8" s="75"/>
      <c r="ILR8" s="52"/>
      <c r="ILS8" s="75"/>
      <c r="ILZ8" s="52"/>
      <c r="IMA8" s="75"/>
      <c r="IMH8" s="52"/>
      <c r="IMI8" s="75"/>
      <c r="IMP8" s="52"/>
      <c r="IMQ8" s="75"/>
      <c r="IMX8" s="52"/>
      <c r="IMY8" s="75"/>
      <c r="INF8" s="52"/>
      <c r="ING8" s="75"/>
      <c r="INN8" s="52"/>
      <c r="INO8" s="75"/>
      <c r="INV8" s="52"/>
      <c r="INW8" s="75"/>
      <c r="IOD8" s="52"/>
      <c r="IOE8" s="75"/>
      <c r="IOL8" s="52"/>
      <c r="IOM8" s="75"/>
      <c r="IOT8" s="52"/>
      <c r="IOU8" s="75"/>
      <c r="IPB8" s="52"/>
      <c r="IPC8" s="75"/>
      <c r="IPJ8" s="52"/>
      <c r="IPK8" s="75"/>
      <c r="IPR8" s="52"/>
      <c r="IPS8" s="75"/>
      <c r="IPZ8" s="52"/>
      <c r="IQA8" s="75"/>
      <c r="IQH8" s="52"/>
      <c r="IQI8" s="75"/>
      <c r="IQP8" s="52"/>
      <c r="IQQ8" s="75"/>
      <c r="IQX8" s="52"/>
      <c r="IQY8" s="75"/>
      <c r="IRF8" s="52"/>
      <c r="IRG8" s="75"/>
      <c r="IRN8" s="52"/>
      <c r="IRO8" s="75"/>
      <c r="IRV8" s="52"/>
      <c r="IRW8" s="75"/>
      <c r="ISD8" s="52"/>
      <c r="ISE8" s="75"/>
      <c r="ISL8" s="52"/>
      <c r="ISM8" s="75"/>
      <c r="IST8" s="52"/>
      <c r="ISU8" s="75"/>
      <c r="ITB8" s="52"/>
      <c r="ITC8" s="75"/>
      <c r="ITJ8" s="52"/>
      <c r="ITK8" s="75"/>
      <c r="ITR8" s="52"/>
      <c r="ITS8" s="75"/>
      <c r="ITZ8" s="52"/>
      <c r="IUA8" s="75"/>
      <c r="IUH8" s="52"/>
      <c r="IUI8" s="75"/>
      <c r="IUP8" s="52"/>
      <c r="IUQ8" s="75"/>
      <c r="IUX8" s="52"/>
      <c r="IUY8" s="75"/>
      <c r="IVF8" s="52"/>
      <c r="IVG8" s="75"/>
      <c r="IVN8" s="52"/>
      <c r="IVO8" s="75"/>
      <c r="IVV8" s="52"/>
      <c r="IVW8" s="75"/>
      <c r="IWD8" s="52"/>
      <c r="IWE8" s="75"/>
      <c r="IWL8" s="52"/>
      <c r="IWM8" s="75"/>
      <c r="IWT8" s="52"/>
      <c r="IWU8" s="75"/>
      <c r="IXB8" s="52"/>
      <c r="IXC8" s="75"/>
      <c r="IXJ8" s="52"/>
      <c r="IXK8" s="75"/>
      <c r="IXR8" s="52"/>
      <c r="IXS8" s="75"/>
      <c r="IXZ8" s="52"/>
      <c r="IYA8" s="75"/>
      <c r="IYH8" s="52"/>
      <c r="IYI8" s="75"/>
      <c r="IYP8" s="52"/>
      <c r="IYQ8" s="75"/>
      <c r="IYX8" s="52"/>
      <c r="IYY8" s="75"/>
      <c r="IZF8" s="52"/>
      <c r="IZG8" s="75"/>
      <c r="IZN8" s="52"/>
      <c r="IZO8" s="75"/>
      <c r="IZV8" s="52"/>
      <c r="IZW8" s="75"/>
      <c r="JAD8" s="52"/>
      <c r="JAE8" s="75"/>
      <c r="JAL8" s="52"/>
      <c r="JAM8" s="75"/>
      <c r="JAT8" s="52"/>
      <c r="JAU8" s="75"/>
      <c r="JBB8" s="52"/>
      <c r="JBC8" s="75"/>
      <c r="JBJ8" s="52"/>
      <c r="JBK8" s="75"/>
      <c r="JBR8" s="52"/>
      <c r="JBS8" s="75"/>
      <c r="JBZ8" s="52"/>
      <c r="JCA8" s="75"/>
      <c r="JCH8" s="52"/>
      <c r="JCI8" s="75"/>
      <c r="JCP8" s="52"/>
      <c r="JCQ8" s="75"/>
      <c r="JCX8" s="52"/>
      <c r="JCY8" s="75"/>
      <c r="JDF8" s="52"/>
      <c r="JDG8" s="75"/>
      <c r="JDN8" s="52"/>
      <c r="JDO8" s="75"/>
      <c r="JDV8" s="52"/>
      <c r="JDW8" s="75"/>
      <c r="JED8" s="52"/>
      <c r="JEE8" s="75"/>
      <c r="JEL8" s="52"/>
      <c r="JEM8" s="75"/>
      <c r="JET8" s="52"/>
      <c r="JEU8" s="75"/>
      <c r="JFB8" s="52"/>
      <c r="JFC8" s="75"/>
      <c r="JFJ8" s="52"/>
      <c r="JFK8" s="75"/>
      <c r="JFR8" s="52"/>
      <c r="JFS8" s="75"/>
      <c r="JFZ8" s="52"/>
      <c r="JGA8" s="75"/>
      <c r="JGH8" s="52"/>
      <c r="JGI8" s="75"/>
      <c r="JGP8" s="52"/>
      <c r="JGQ8" s="75"/>
      <c r="JGX8" s="52"/>
      <c r="JGY8" s="75"/>
      <c r="JHF8" s="52"/>
      <c r="JHG8" s="75"/>
      <c r="JHN8" s="52"/>
      <c r="JHO8" s="75"/>
      <c r="JHV8" s="52"/>
      <c r="JHW8" s="75"/>
      <c r="JID8" s="52"/>
      <c r="JIE8" s="75"/>
      <c r="JIL8" s="52"/>
      <c r="JIM8" s="75"/>
      <c r="JIT8" s="52"/>
      <c r="JIU8" s="75"/>
      <c r="JJB8" s="52"/>
      <c r="JJC8" s="75"/>
      <c r="JJJ8" s="52"/>
      <c r="JJK8" s="75"/>
      <c r="JJR8" s="52"/>
      <c r="JJS8" s="75"/>
      <c r="JJZ8" s="52"/>
      <c r="JKA8" s="75"/>
      <c r="JKH8" s="52"/>
      <c r="JKI8" s="75"/>
      <c r="JKP8" s="52"/>
      <c r="JKQ8" s="75"/>
      <c r="JKX8" s="52"/>
      <c r="JKY8" s="75"/>
      <c r="JLF8" s="52"/>
      <c r="JLG8" s="75"/>
      <c r="JLN8" s="52"/>
      <c r="JLO8" s="75"/>
      <c r="JLV8" s="52"/>
      <c r="JLW8" s="75"/>
      <c r="JMD8" s="52"/>
      <c r="JME8" s="75"/>
      <c r="JML8" s="52"/>
      <c r="JMM8" s="75"/>
      <c r="JMT8" s="52"/>
      <c r="JMU8" s="75"/>
      <c r="JNB8" s="52"/>
      <c r="JNC8" s="75"/>
      <c r="JNJ8" s="52"/>
      <c r="JNK8" s="75"/>
      <c r="JNR8" s="52"/>
      <c r="JNS8" s="75"/>
      <c r="JNZ8" s="52"/>
      <c r="JOA8" s="75"/>
      <c r="JOH8" s="52"/>
      <c r="JOI8" s="75"/>
      <c r="JOP8" s="52"/>
      <c r="JOQ8" s="75"/>
      <c r="JOX8" s="52"/>
      <c r="JOY8" s="75"/>
      <c r="JPF8" s="52"/>
      <c r="JPG8" s="75"/>
      <c r="JPN8" s="52"/>
      <c r="JPO8" s="75"/>
      <c r="JPV8" s="52"/>
      <c r="JPW8" s="75"/>
      <c r="JQD8" s="52"/>
      <c r="JQE8" s="75"/>
      <c r="JQL8" s="52"/>
      <c r="JQM8" s="75"/>
      <c r="JQT8" s="52"/>
      <c r="JQU8" s="75"/>
      <c r="JRB8" s="52"/>
      <c r="JRC8" s="75"/>
      <c r="JRJ8" s="52"/>
      <c r="JRK8" s="75"/>
      <c r="JRR8" s="52"/>
      <c r="JRS8" s="75"/>
      <c r="JRZ8" s="52"/>
      <c r="JSA8" s="75"/>
      <c r="JSH8" s="52"/>
      <c r="JSI8" s="75"/>
      <c r="JSP8" s="52"/>
      <c r="JSQ8" s="75"/>
      <c r="JSX8" s="52"/>
      <c r="JSY8" s="75"/>
      <c r="JTF8" s="52"/>
      <c r="JTG8" s="75"/>
      <c r="JTN8" s="52"/>
      <c r="JTO8" s="75"/>
      <c r="JTV8" s="52"/>
      <c r="JTW8" s="75"/>
      <c r="JUD8" s="52"/>
      <c r="JUE8" s="75"/>
      <c r="JUL8" s="52"/>
      <c r="JUM8" s="75"/>
      <c r="JUT8" s="52"/>
      <c r="JUU8" s="75"/>
      <c r="JVB8" s="52"/>
      <c r="JVC8" s="75"/>
      <c r="JVJ8" s="52"/>
      <c r="JVK8" s="75"/>
      <c r="JVR8" s="52"/>
      <c r="JVS8" s="75"/>
      <c r="JVZ8" s="52"/>
      <c r="JWA8" s="75"/>
      <c r="JWH8" s="52"/>
      <c r="JWI8" s="75"/>
      <c r="JWP8" s="52"/>
      <c r="JWQ8" s="75"/>
      <c r="JWX8" s="52"/>
      <c r="JWY8" s="75"/>
      <c r="JXF8" s="52"/>
      <c r="JXG8" s="75"/>
      <c r="JXN8" s="52"/>
      <c r="JXO8" s="75"/>
      <c r="JXV8" s="52"/>
      <c r="JXW8" s="75"/>
      <c r="JYD8" s="52"/>
      <c r="JYE8" s="75"/>
      <c r="JYL8" s="52"/>
      <c r="JYM8" s="75"/>
      <c r="JYT8" s="52"/>
      <c r="JYU8" s="75"/>
      <c r="JZB8" s="52"/>
      <c r="JZC8" s="75"/>
      <c r="JZJ8" s="52"/>
      <c r="JZK8" s="75"/>
      <c r="JZR8" s="52"/>
      <c r="JZS8" s="75"/>
      <c r="JZZ8" s="52"/>
      <c r="KAA8" s="75"/>
      <c r="KAH8" s="52"/>
      <c r="KAI8" s="75"/>
      <c r="KAP8" s="52"/>
      <c r="KAQ8" s="75"/>
      <c r="KAX8" s="52"/>
      <c r="KAY8" s="75"/>
      <c r="KBF8" s="52"/>
      <c r="KBG8" s="75"/>
      <c r="KBN8" s="52"/>
      <c r="KBO8" s="75"/>
      <c r="KBV8" s="52"/>
      <c r="KBW8" s="75"/>
      <c r="KCD8" s="52"/>
      <c r="KCE8" s="75"/>
      <c r="KCL8" s="52"/>
      <c r="KCM8" s="75"/>
      <c r="KCT8" s="52"/>
      <c r="KCU8" s="75"/>
      <c r="KDB8" s="52"/>
      <c r="KDC8" s="75"/>
      <c r="KDJ8" s="52"/>
      <c r="KDK8" s="75"/>
      <c r="KDR8" s="52"/>
      <c r="KDS8" s="75"/>
      <c r="KDZ8" s="52"/>
      <c r="KEA8" s="75"/>
      <c r="KEH8" s="52"/>
      <c r="KEI8" s="75"/>
      <c r="KEP8" s="52"/>
      <c r="KEQ8" s="75"/>
      <c r="KEX8" s="52"/>
      <c r="KEY8" s="75"/>
      <c r="KFF8" s="52"/>
      <c r="KFG8" s="75"/>
      <c r="KFN8" s="52"/>
      <c r="KFO8" s="75"/>
      <c r="KFV8" s="52"/>
      <c r="KFW8" s="75"/>
      <c r="KGD8" s="52"/>
      <c r="KGE8" s="75"/>
      <c r="KGL8" s="52"/>
      <c r="KGM8" s="75"/>
      <c r="KGT8" s="52"/>
      <c r="KGU8" s="75"/>
      <c r="KHB8" s="52"/>
      <c r="KHC8" s="75"/>
      <c r="KHJ8" s="52"/>
      <c r="KHK8" s="75"/>
      <c r="KHR8" s="52"/>
      <c r="KHS8" s="75"/>
      <c r="KHZ8" s="52"/>
      <c r="KIA8" s="75"/>
      <c r="KIH8" s="52"/>
      <c r="KII8" s="75"/>
      <c r="KIP8" s="52"/>
      <c r="KIQ8" s="75"/>
      <c r="KIX8" s="52"/>
      <c r="KIY8" s="75"/>
      <c r="KJF8" s="52"/>
      <c r="KJG8" s="75"/>
      <c r="KJN8" s="52"/>
      <c r="KJO8" s="75"/>
      <c r="KJV8" s="52"/>
      <c r="KJW8" s="75"/>
      <c r="KKD8" s="52"/>
      <c r="KKE8" s="75"/>
      <c r="KKL8" s="52"/>
      <c r="KKM8" s="75"/>
      <c r="KKT8" s="52"/>
      <c r="KKU8" s="75"/>
      <c r="KLB8" s="52"/>
      <c r="KLC8" s="75"/>
      <c r="KLJ8" s="52"/>
      <c r="KLK8" s="75"/>
      <c r="KLR8" s="52"/>
      <c r="KLS8" s="75"/>
      <c r="KLZ8" s="52"/>
      <c r="KMA8" s="75"/>
      <c r="KMH8" s="52"/>
      <c r="KMI8" s="75"/>
      <c r="KMP8" s="52"/>
      <c r="KMQ8" s="75"/>
      <c r="KMX8" s="52"/>
      <c r="KMY8" s="75"/>
      <c r="KNF8" s="52"/>
      <c r="KNG8" s="75"/>
      <c r="KNN8" s="52"/>
      <c r="KNO8" s="75"/>
      <c r="KNV8" s="52"/>
      <c r="KNW8" s="75"/>
      <c r="KOD8" s="52"/>
      <c r="KOE8" s="75"/>
      <c r="KOL8" s="52"/>
      <c r="KOM8" s="75"/>
      <c r="KOT8" s="52"/>
      <c r="KOU8" s="75"/>
      <c r="KPB8" s="52"/>
      <c r="KPC8" s="75"/>
      <c r="KPJ8" s="52"/>
      <c r="KPK8" s="75"/>
      <c r="KPR8" s="52"/>
      <c r="KPS8" s="75"/>
      <c r="KPZ8" s="52"/>
      <c r="KQA8" s="75"/>
      <c r="KQH8" s="52"/>
      <c r="KQI8" s="75"/>
      <c r="KQP8" s="52"/>
      <c r="KQQ8" s="75"/>
      <c r="KQX8" s="52"/>
      <c r="KQY8" s="75"/>
      <c r="KRF8" s="52"/>
      <c r="KRG8" s="75"/>
      <c r="KRN8" s="52"/>
      <c r="KRO8" s="75"/>
      <c r="KRV8" s="52"/>
      <c r="KRW8" s="75"/>
      <c r="KSD8" s="52"/>
      <c r="KSE8" s="75"/>
      <c r="KSL8" s="52"/>
      <c r="KSM8" s="75"/>
      <c r="KST8" s="52"/>
      <c r="KSU8" s="75"/>
      <c r="KTB8" s="52"/>
      <c r="KTC8" s="75"/>
      <c r="KTJ8" s="52"/>
      <c r="KTK8" s="75"/>
      <c r="KTR8" s="52"/>
      <c r="KTS8" s="75"/>
      <c r="KTZ8" s="52"/>
      <c r="KUA8" s="75"/>
      <c r="KUH8" s="52"/>
      <c r="KUI8" s="75"/>
      <c r="KUP8" s="52"/>
      <c r="KUQ8" s="75"/>
      <c r="KUX8" s="52"/>
      <c r="KUY8" s="75"/>
      <c r="KVF8" s="52"/>
      <c r="KVG8" s="75"/>
      <c r="KVN8" s="52"/>
      <c r="KVO8" s="75"/>
      <c r="KVV8" s="52"/>
      <c r="KVW8" s="75"/>
      <c r="KWD8" s="52"/>
      <c r="KWE8" s="75"/>
      <c r="KWL8" s="52"/>
      <c r="KWM8" s="75"/>
      <c r="KWT8" s="52"/>
      <c r="KWU8" s="75"/>
      <c r="KXB8" s="52"/>
      <c r="KXC8" s="75"/>
      <c r="KXJ8" s="52"/>
      <c r="KXK8" s="75"/>
      <c r="KXR8" s="52"/>
      <c r="KXS8" s="75"/>
      <c r="KXZ8" s="52"/>
      <c r="KYA8" s="75"/>
      <c r="KYH8" s="52"/>
      <c r="KYI8" s="75"/>
      <c r="KYP8" s="52"/>
      <c r="KYQ8" s="75"/>
      <c r="KYX8" s="52"/>
      <c r="KYY8" s="75"/>
      <c r="KZF8" s="52"/>
      <c r="KZG8" s="75"/>
      <c r="KZN8" s="52"/>
      <c r="KZO8" s="75"/>
      <c r="KZV8" s="52"/>
      <c r="KZW8" s="75"/>
      <c r="LAD8" s="52"/>
      <c r="LAE8" s="75"/>
      <c r="LAL8" s="52"/>
      <c r="LAM8" s="75"/>
      <c r="LAT8" s="52"/>
      <c r="LAU8" s="75"/>
      <c r="LBB8" s="52"/>
      <c r="LBC8" s="75"/>
      <c r="LBJ8" s="52"/>
      <c r="LBK8" s="75"/>
      <c r="LBR8" s="52"/>
      <c r="LBS8" s="75"/>
      <c r="LBZ8" s="52"/>
      <c r="LCA8" s="75"/>
      <c r="LCH8" s="52"/>
      <c r="LCI8" s="75"/>
      <c r="LCP8" s="52"/>
      <c r="LCQ8" s="75"/>
      <c r="LCX8" s="52"/>
      <c r="LCY8" s="75"/>
      <c r="LDF8" s="52"/>
      <c r="LDG8" s="75"/>
      <c r="LDN8" s="52"/>
      <c r="LDO8" s="75"/>
      <c r="LDV8" s="52"/>
      <c r="LDW8" s="75"/>
      <c r="LED8" s="52"/>
      <c r="LEE8" s="75"/>
      <c r="LEL8" s="52"/>
      <c r="LEM8" s="75"/>
      <c r="LET8" s="52"/>
      <c r="LEU8" s="75"/>
      <c r="LFB8" s="52"/>
      <c r="LFC8" s="75"/>
      <c r="LFJ8" s="52"/>
      <c r="LFK8" s="75"/>
      <c r="LFR8" s="52"/>
      <c r="LFS8" s="75"/>
      <c r="LFZ8" s="52"/>
      <c r="LGA8" s="75"/>
      <c r="LGH8" s="52"/>
      <c r="LGI8" s="75"/>
      <c r="LGP8" s="52"/>
      <c r="LGQ8" s="75"/>
      <c r="LGX8" s="52"/>
      <c r="LGY8" s="75"/>
      <c r="LHF8" s="52"/>
      <c r="LHG8" s="75"/>
      <c r="LHN8" s="52"/>
      <c r="LHO8" s="75"/>
      <c r="LHV8" s="52"/>
      <c r="LHW8" s="75"/>
      <c r="LID8" s="52"/>
      <c r="LIE8" s="75"/>
      <c r="LIL8" s="52"/>
      <c r="LIM8" s="75"/>
      <c r="LIT8" s="52"/>
      <c r="LIU8" s="75"/>
      <c r="LJB8" s="52"/>
      <c r="LJC8" s="75"/>
      <c r="LJJ8" s="52"/>
      <c r="LJK8" s="75"/>
      <c r="LJR8" s="52"/>
      <c r="LJS8" s="75"/>
      <c r="LJZ8" s="52"/>
      <c r="LKA8" s="75"/>
      <c r="LKH8" s="52"/>
      <c r="LKI8" s="75"/>
      <c r="LKP8" s="52"/>
      <c r="LKQ8" s="75"/>
      <c r="LKX8" s="52"/>
      <c r="LKY8" s="75"/>
      <c r="LLF8" s="52"/>
      <c r="LLG8" s="75"/>
      <c r="LLN8" s="52"/>
      <c r="LLO8" s="75"/>
      <c r="LLV8" s="52"/>
      <c r="LLW8" s="75"/>
      <c r="LMD8" s="52"/>
      <c r="LME8" s="75"/>
      <c r="LML8" s="52"/>
      <c r="LMM8" s="75"/>
      <c r="LMT8" s="52"/>
      <c r="LMU8" s="75"/>
      <c r="LNB8" s="52"/>
      <c r="LNC8" s="75"/>
      <c r="LNJ8" s="52"/>
      <c r="LNK8" s="75"/>
      <c r="LNR8" s="52"/>
      <c r="LNS8" s="75"/>
      <c r="LNZ8" s="52"/>
      <c r="LOA8" s="75"/>
      <c r="LOH8" s="52"/>
      <c r="LOI8" s="75"/>
      <c r="LOP8" s="52"/>
      <c r="LOQ8" s="75"/>
      <c r="LOX8" s="52"/>
      <c r="LOY8" s="75"/>
      <c r="LPF8" s="52"/>
      <c r="LPG8" s="75"/>
      <c r="LPN8" s="52"/>
      <c r="LPO8" s="75"/>
      <c r="LPV8" s="52"/>
      <c r="LPW8" s="75"/>
      <c r="LQD8" s="52"/>
      <c r="LQE8" s="75"/>
      <c r="LQL8" s="52"/>
      <c r="LQM8" s="75"/>
      <c r="LQT8" s="52"/>
      <c r="LQU8" s="75"/>
      <c r="LRB8" s="52"/>
      <c r="LRC8" s="75"/>
      <c r="LRJ8" s="52"/>
      <c r="LRK8" s="75"/>
      <c r="LRR8" s="52"/>
      <c r="LRS8" s="75"/>
      <c r="LRZ8" s="52"/>
      <c r="LSA8" s="75"/>
      <c r="LSH8" s="52"/>
      <c r="LSI8" s="75"/>
      <c r="LSP8" s="52"/>
      <c r="LSQ8" s="75"/>
      <c r="LSX8" s="52"/>
      <c r="LSY8" s="75"/>
      <c r="LTF8" s="52"/>
      <c r="LTG8" s="75"/>
      <c r="LTN8" s="52"/>
      <c r="LTO8" s="75"/>
      <c r="LTV8" s="52"/>
      <c r="LTW8" s="75"/>
      <c r="LUD8" s="52"/>
      <c r="LUE8" s="75"/>
      <c r="LUL8" s="52"/>
      <c r="LUM8" s="75"/>
      <c r="LUT8" s="52"/>
      <c r="LUU8" s="75"/>
      <c r="LVB8" s="52"/>
      <c r="LVC8" s="75"/>
      <c r="LVJ8" s="52"/>
      <c r="LVK8" s="75"/>
      <c r="LVR8" s="52"/>
      <c r="LVS8" s="75"/>
      <c r="LVZ8" s="52"/>
      <c r="LWA8" s="75"/>
      <c r="LWH8" s="52"/>
      <c r="LWI8" s="75"/>
      <c r="LWP8" s="52"/>
      <c r="LWQ8" s="75"/>
      <c r="LWX8" s="52"/>
      <c r="LWY8" s="75"/>
      <c r="LXF8" s="52"/>
      <c r="LXG8" s="75"/>
      <c r="LXN8" s="52"/>
      <c r="LXO8" s="75"/>
      <c r="LXV8" s="52"/>
      <c r="LXW8" s="75"/>
      <c r="LYD8" s="52"/>
      <c r="LYE8" s="75"/>
      <c r="LYL8" s="52"/>
      <c r="LYM8" s="75"/>
      <c r="LYT8" s="52"/>
      <c r="LYU8" s="75"/>
      <c r="LZB8" s="52"/>
      <c r="LZC8" s="75"/>
      <c r="LZJ8" s="52"/>
      <c r="LZK8" s="75"/>
      <c r="LZR8" s="52"/>
      <c r="LZS8" s="75"/>
      <c r="LZZ8" s="52"/>
      <c r="MAA8" s="75"/>
      <c r="MAH8" s="52"/>
      <c r="MAI8" s="75"/>
      <c r="MAP8" s="52"/>
      <c r="MAQ8" s="75"/>
      <c r="MAX8" s="52"/>
      <c r="MAY8" s="75"/>
      <c r="MBF8" s="52"/>
      <c r="MBG8" s="75"/>
      <c r="MBN8" s="52"/>
      <c r="MBO8" s="75"/>
      <c r="MBV8" s="52"/>
      <c r="MBW8" s="75"/>
      <c r="MCD8" s="52"/>
      <c r="MCE8" s="75"/>
      <c r="MCL8" s="52"/>
      <c r="MCM8" s="75"/>
      <c r="MCT8" s="52"/>
      <c r="MCU8" s="75"/>
      <c r="MDB8" s="52"/>
      <c r="MDC8" s="75"/>
      <c r="MDJ8" s="52"/>
      <c r="MDK8" s="75"/>
      <c r="MDR8" s="52"/>
      <c r="MDS8" s="75"/>
      <c r="MDZ8" s="52"/>
      <c r="MEA8" s="75"/>
      <c r="MEH8" s="52"/>
      <c r="MEI8" s="75"/>
      <c r="MEP8" s="52"/>
      <c r="MEQ8" s="75"/>
      <c r="MEX8" s="52"/>
      <c r="MEY8" s="75"/>
      <c r="MFF8" s="52"/>
      <c r="MFG8" s="75"/>
      <c r="MFN8" s="52"/>
      <c r="MFO8" s="75"/>
      <c r="MFV8" s="52"/>
      <c r="MFW8" s="75"/>
      <c r="MGD8" s="52"/>
      <c r="MGE8" s="75"/>
      <c r="MGL8" s="52"/>
      <c r="MGM8" s="75"/>
      <c r="MGT8" s="52"/>
      <c r="MGU8" s="75"/>
      <c r="MHB8" s="52"/>
      <c r="MHC8" s="75"/>
      <c r="MHJ8" s="52"/>
      <c r="MHK8" s="75"/>
      <c r="MHR8" s="52"/>
      <c r="MHS8" s="75"/>
      <c r="MHZ8" s="52"/>
      <c r="MIA8" s="75"/>
      <c r="MIH8" s="52"/>
      <c r="MII8" s="75"/>
      <c r="MIP8" s="52"/>
      <c r="MIQ8" s="75"/>
      <c r="MIX8" s="52"/>
      <c r="MIY8" s="75"/>
      <c r="MJF8" s="52"/>
      <c r="MJG8" s="75"/>
      <c r="MJN8" s="52"/>
      <c r="MJO8" s="75"/>
      <c r="MJV8" s="52"/>
      <c r="MJW8" s="75"/>
      <c r="MKD8" s="52"/>
      <c r="MKE8" s="75"/>
      <c r="MKL8" s="52"/>
      <c r="MKM8" s="75"/>
      <c r="MKT8" s="52"/>
      <c r="MKU8" s="75"/>
      <c r="MLB8" s="52"/>
      <c r="MLC8" s="75"/>
      <c r="MLJ8" s="52"/>
      <c r="MLK8" s="75"/>
      <c r="MLR8" s="52"/>
      <c r="MLS8" s="75"/>
      <c r="MLZ8" s="52"/>
      <c r="MMA8" s="75"/>
      <c r="MMH8" s="52"/>
      <c r="MMI8" s="75"/>
      <c r="MMP8" s="52"/>
      <c r="MMQ8" s="75"/>
      <c r="MMX8" s="52"/>
      <c r="MMY8" s="75"/>
      <c r="MNF8" s="52"/>
      <c r="MNG8" s="75"/>
      <c r="MNN8" s="52"/>
      <c r="MNO8" s="75"/>
      <c r="MNV8" s="52"/>
      <c r="MNW8" s="75"/>
      <c r="MOD8" s="52"/>
      <c r="MOE8" s="75"/>
      <c r="MOL8" s="52"/>
      <c r="MOM8" s="75"/>
      <c r="MOT8" s="52"/>
      <c r="MOU8" s="75"/>
      <c r="MPB8" s="52"/>
      <c r="MPC8" s="75"/>
      <c r="MPJ8" s="52"/>
      <c r="MPK8" s="75"/>
      <c r="MPR8" s="52"/>
      <c r="MPS8" s="75"/>
      <c r="MPZ8" s="52"/>
      <c r="MQA8" s="75"/>
      <c r="MQH8" s="52"/>
      <c r="MQI8" s="75"/>
      <c r="MQP8" s="52"/>
      <c r="MQQ8" s="75"/>
      <c r="MQX8" s="52"/>
      <c r="MQY8" s="75"/>
      <c r="MRF8" s="52"/>
      <c r="MRG8" s="75"/>
      <c r="MRN8" s="52"/>
      <c r="MRO8" s="75"/>
      <c r="MRV8" s="52"/>
      <c r="MRW8" s="75"/>
      <c r="MSD8" s="52"/>
      <c r="MSE8" s="75"/>
      <c r="MSL8" s="52"/>
      <c r="MSM8" s="75"/>
      <c r="MST8" s="52"/>
      <c r="MSU8" s="75"/>
      <c r="MTB8" s="52"/>
      <c r="MTC8" s="75"/>
      <c r="MTJ8" s="52"/>
      <c r="MTK8" s="75"/>
      <c r="MTR8" s="52"/>
      <c r="MTS8" s="75"/>
      <c r="MTZ8" s="52"/>
      <c r="MUA8" s="75"/>
      <c r="MUH8" s="52"/>
      <c r="MUI8" s="75"/>
      <c r="MUP8" s="52"/>
      <c r="MUQ8" s="75"/>
      <c r="MUX8" s="52"/>
      <c r="MUY8" s="75"/>
      <c r="MVF8" s="52"/>
      <c r="MVG8" s="75"/>
      <c r="MVN8" s="52"/>
      <c r="MVO8" s="75"/>
      <c r="MVV8" s="52"/>
      <c r="MVW8" s="75"/>
      <c r="MWD8" s="52"/>
      <c r="MWE8" s="75"/>
      <c r="MWL8" s="52"/>
      <c r="MWM8" s="75"/>
      <c r="MWT8" s="52"/>
      <c r="MWU8" s="75"/>
      <c r="MXB8" s="52"/>
      <c r="MXC8" s="75"/>
      <c r="MXJ8" s="52"/>
      <c r="MXK8" s="75"/>
      <c r="MXR8" s="52"/>
      <c r="MXS8" s="75"/>
      <c r="MXZ8" s="52"/>
      <c r="MYA8" s="75"/>
      <c r="MYH8" s="52"/>
      <c r="MYI8" s="75"/>
      <c r="MYP8" s="52"/>
      <c r="MYQ8" s="75"/>
      <c r="MYX8" s="52"/>
      <c r="MYY8" s="75"/>
      <c r="MZF8" s="52"/>
      <c r="MZG8" s="75"/>
      <c r="MZN8" s="52"/>
      <c r="MZO8" s="75"/>
      <c r="MZV8" s="52"/>
      <c r="MZW8" s="75"/>
      <c r="NAD8" s="52"/>
      <c r="NAE8" s="75"/>
      <c r="NAL8" s="52"/>
      <c r="NAM8" s="75"/>
      <c r="NAT8" s="52"/>
      <c r="NAU8" s="75"/>
      <c r="NBB8" s="52"/>
      <c r="NBC8" s="75"/>
      <c r="NBJ8" s="52"/>
      <c r="NBK8" s="75"/>
      <c r="NBR8" s="52"/>
      <c r="NBS8" s="75"/>
      <c r="NBZ8" s="52"/>
      <c r="NCA8" s="75"/>
      <c r="NCH8" s="52"/>
      <c r="NCI8" s="75"/>
      <c r="NCP8" s="52"/>
      <c r="NCQ8" s="75"/>
      <c r="NCX8" s="52"/>
      <c r="NCY8" s="75"/>
      <c r="NDF8" s="52"/>
      <c r="NDG8" s="75"/>
      <c r="NDN8" s="52"/>
      <c r="NDO8" s="75"/>
      <c r="NDV8" s="52"/>
      <c r="NDW8" s="75"/>
      <c r="NED8" s="52"/>
      <c r="NEE8" s="75"/>
      <c r="NEL8" s="52"/>
      <c r="NEM8" s="75"/>
      <c r="NET8" s="52"/>
      <c r="NEU8" s="75"/>
      <c r="NFB8" s="52"/>
      <c r="NFC8" s="75"/>
      <c r="NFJ8" s="52"/>
      <c r="NFK8" s="75"/>
      <c r="NFR8" s="52"/>
      <c r="NFS8" s="75"/>
      <c r="NFZ8" s="52"/>
      <c r="NGA8" s="75"/>
      <c r="NGH8" s="52"/>
      <c r="NGI8" s="75"/>
      <c r="NGP8" s="52"/>
      <c r="NGQ8" s="75"/>
      <c r="NGX8" s="52"/>
      <c r="NGY8" s="75"/>
      <c r="NHF8" s="52"/>
      <c r="NHG8" s="75"/>
      <c r="NHN8" s="52"/>
      <c r="NHO8" s="75"/>
      <c r="NHV8" s="52"/>
      <c r="NHW8" s="75"/>
      <c r="NID8" s="52"/>
      <c r="NIE8" s="75"/>
      <c r="NIL8" s="52"/>
      <c r="NIM8" s="75"/>
      <c r="NIT8" s="52"/>
      <c r="NIU8" s="75"/>
      <c r="NJB8" s="52"/>
      <c r="NJC8" s="75"/>
      <c r="NJJ8" s="52"/>
      <c r="NJK8" s="75"/>
      <c r="NJR8" s="52"/>
      <c r="NJS8" s="75"/>
      <c r="NJZ8" s="52"/>
      <c r="NKA8" s="75"/>
      <c r="NKH8" s="52"/>
      <c r="NKI8" s="75"/>
      <c r="NKP8" s="52"/>
      <c r="NKQ8" s="75"/>
      <c r="NKX8" s="52"/>
      <c r="NKY8" s="75"/>
      <c r="NLF8" s="52"/>
      <c r="NLG8" s="75"/>
      <c r="NLN8" s="52"/>
      <c r="NLO8" s="75"/>
      <c r="NLV8" s="52"/>
      <c r="NLW8" s="75"/>
      <c r="NMD8" s="52"/>
      <c r="NME8" s="75"/>
      <c r="NML8" s="52"/>
      <c r="NMM8" s="75"/>
      <c r="NMT8" s="52"/>
      <c r="NMU8" s="75"/>
      <c r="NNB8" s="52"/>
      <c r="NNC8" s="75"/>
      <c r="NNJ8" s="52"/>
      <c r="NNK8" s="75"/>
      <c r="NNR8" s="52"/>
      <c r="NNS8" s="75"/>
      <c r="NNZ8" s="52"/>
      <c r="NOA8" s="75"/>
      <c r="NOH8" s="52"/>
      <c r="NOI8" s="75"/>
      <c r="NOP8" s="52"/>
      <c r="NOQ8" s="75"/>
      <c r="NOX8" s="52"/>
      <c r="NOY8" s="75"/>
      <c r="NPF8" s="52"/>
      <c r="NPG8" s="75"/>
      <c r="NPN8" s="52"/>
      <c r="NPO8" s="75"/>
      <c r="NPV8" s="52"/>
      <c r="NPW8" s="75"/>
      <c r="NQD8" s="52"/>
      <c r="NQE8" s="75"/>
      <c r="NQL8" s="52"/>
      <c r="NQM8" s="75"/>
      <c r="NQT8" s="52"/>
      <c r="NQU8" s="75"/>
      <c r="NRB8" s="52"/>
      <c r="NRC8" s="75"/>
      <c r="NRJ8" s="52"/>
      <c r="NRK8" s="75"/>
      <c r="NRR8" s="52"/>
      <c r="NRS8" s="75"/>
      <c r="NRZ8" s="52"/>
      <c r="NSA8" s="75"/>
      <c r="NSH8" s="52"/>
      <c r="NSI8" s="75"/>
      <c r="NSP8" s="52"/>
      <c r="NSQ8" s="75"/>
      <c r="NSX8" s="52"/>
      <c r="NSY8" s="75"/>
      <c r="NTF8" s="52"/>
      <c r="NTG8" s="75"/>
      <c r="NTN8" s="52"/>
      <c r="NTO8" s="75"/>
      <c r="NTV8" s="52"/>
      <c r="NTW8" s="75"/>
      <c r="NUD8" s="52"/>
      <c r="NUE8" s="75"/>
      <c r="NUL8" s="52"/>
      <c r="NUM8" s="75"/>
      <c r="NUT8" s="52"/>
      <c r="NUU8" s="75"/>
      <c r="NVB8" s="52"/>
      <c r="NVC8" s="75"/>
      <c r="NVJ8" s="52"/>
      <c r="NVK8" s="75"/>
      <c r="NVR8" s="52"/>
      <c r="NVS8" s="75"/>
      <c r="NVZ8" s="52"/>
      <c r="NWA8" s="75"/>
      <c r="NWH8" s="52"/>
      <c r="NWI8" s="75"/>
      <c r="NWP8" s="52"/>
      <c r="NWQ8" s="75"/>
      <c r="NWX8" s="52"/>
      <c r="NWY8" s="75"/>
      <c r="NXF8" s="52"/>
      <c r="NXG8" s="75"/>
      <c r="NXN8" s="52"/>
      <c r="NXO8" s="75"/>
      <c r="NXV8" s="52"/>
      <c r="NXW8" s="75"/>
      <c r="NYD8" s="52"/>
      <c r="NYE8" s="75"/>
      <c r="NYL8" s="52"/>
      <c r="NYM8" s="75"/>
      <c r="NYT8" s="52"/>
      <c r="NYU8" s="75"/>
      <c r="NZB8" s="52"/>
      <c r="NZC8" s="75"/>
      <c r="NZJ8" s="52"/>
      <c r="NZK8" s="75"/>
      <c r="NZR8" s="52"/>
      <c r="NZS8" s="75"/>
      <c r="NZZ8" s="52"/>
      <c r="OAA8" s="75"/>
      <c r="OAH8" s="52"/>
      <c r="OAI8" s="75"/>
      <c r="OAP8" s="52"/>
      <c r="OAQ8" s="75"/>
      <c r="OAX8" s="52"/>
      <c r="OAY8" s="75"/>
      <c r="OBF8" s="52"/>
      <c r="OBG8" s="75"/>
      <c r="OBN8" s="52"/>
      <c r="OBO8" s="75"/>
      <c r="OBV8" s="52"/>
      <c r="OBW8" s="75"/>
      <c r="OCD8" s="52"/>
      <c r="OCE8" s="75"/>
      <c r="OCL8" s="52"/>
      <c r="OCM8" s="75"/>
      <c r="OCT8" s="52"/>
      <c r="OCU8" s="75"/>
      <c r="ODB8" s="52"/>
      <c r="ODC8" s="75"/>
      <c r="ODJ8" s="52"/>
      <c r="ODK8" s="75"/>
      <c r="ODR8" s="52"/>
      <c r="ODS8" s="75"/>
      <c r="ODZ8" s="52"/>
      <c r="OEA8" s="75"/>
      <c r="OEH8" s="52"/>
      <c r="OEI8" s="75"/>
      <c r="OEP8" s="52"/>
      <c r="OEQ8" s="75"/>
      <c r="OEX8" s="52"/>
      <c r="OEY8" s="75"/>
      <c r="OFF8" s="52"/>
      <c r="OFG8" s="75"/>
      <c r="OFN8" s="52"/>
      <c r="OFO8" s="75"/>
      <c r="OFV8" s="52"/>
      <c r="OFW8" s="75"/>
      <c r="OGD8" s="52"/>
      <c r="OGE8" s="75"/>
      <c r="OGL8" s="52"/>
      <c r="OGM8" s="75"/>
      <c r="OGT8" s="52"/>
      <c r="OGU8" s="75"/>
      <c r="OHB8" s="52"/>
      <c r="OHC8" s="75"/>
      <c r="OHJ8" s="52"/>
      <c r="OHK8" s="75"/>
      <c r="OHR8" s="52"/>
      <c r="OHS8" s="75"/>
      <c r="OHZ8" s="52"/>
      <c r="OIA8" s="75"/>
      <c r="OIH8" s="52"/>
      <c r="OII8" s="75"/>
      <c r="OIP8" s="52"/>
      <c r="OIQ8" s="75"/>
      <c r="OIX8" s="52"/>
      <c r="OIY8" s="75"/>
      <c r="OJF8" s="52"/>
      <c r="OJG8" s="75"/>
      <c r="OJN8" s="52"/>
      <c r="OJO8" s="75"/>
      <c r="OJV8" s="52"/>
      <c r="OJW8" s="75"/>
      <c r="OKD8" s="52"/>
      <c r="OKE8" s="75"/>
      <c r="OKL8" s="52"/>
      <c r="OKM8" s="75"/>
      <c r="OKT8" s="52"/>
      <c r="OKU8" s="75"/>
      <c r="OLB8" s="52"/>
      <c r="OLC8" s="75"/>
      <c r="OLJ8" s="52"/>
      <c r="OLK8" s="75"/>
      <c r="OLR8" s="52"/>
      <c r="OLS8" s="75"/>
      <c r="OLZ8" s="52"/>
      <c r="OMA8" s="75"/>
      <c r="OMH8" s="52"/>
      <c r="OMI8" s="75"/>
      <c r="OMP8" s="52"/>
      <c r="OMQ8" s="75"/>
      <c r="OMX8" s="52"/>
      <c r="OMY8" s="75"/>
      <c r="ONF8" s="52"/>
      <c r="ONG8" s="75"/>
      <c r="ONN8" s="52"/>
      <c r="ONO8" s="75"/>
      <c r="ONV8" s="52"/>
      <c r="ONW8" s="75"/>
      <c r="OOD8" s="52"/>
      <c r="OOE8" s="75"/>
      <c r="OOL8" s="52"/>
      <c r="OOM8" s="75"/>
      <c r="OOT8" s="52"/>
      <c r="OOU8" s="75"/>
      <c r="OPB8" s="52"/>
      <c r="OPC8" s="75"/>
      <c r="OPJ8" s="52"/>
      <c r="OPK8" s="75"/>
      <c r="OPR8" s="52"/>
      <c r="OPS8" s="75"/>
      <c r="OPZ8" s="52"/>
      <c r="OQA8" s="75"/>
      <c r="OQH8" s="52"/>
      <c r="OQI8" s="75"/>
      <c r="OQP8" s="52"/>
      <c r="OQQ8" s="75"/>
      <c r="OQX8" s="52"/>
      <c r="OQY8" s="75"/>
      <c r="ORF8" s="52"/>
      <c r="ORG8" s="75"/>
      <c r="ORN8" s="52"/>
      <c r="ORO8" s="75"/>
      <c r="ORV8" s="52"/>
      <c r="ORW8" s="75"/>
      <c r="OSD8" s="52"/>
      <c r="OSE8" s="75"/>
      <c r="OSL8" s="52"/>
      <c r="OSM8" s="75"/>
      <c r="OST8" s="52"/>
      <c r="OSU8" s="75"/>
      <c r="OTB8" s="52"/>
      <c r="OTC8" s="75"/>
      <c r="OTJ8" s="52"/>
      <c r="OTK8" s="75"/>
      <c r="OTR8" s="52"/>
      <c r="OTS8" s="75"/>
      <c r="OTZ8" s="52"/>
      <c r="OUA8" s="75"/>
      <c r="OUH8" s="52"/>
      <c r="OUI8" s="75"/>
      <c r="OUP8" s="52"/>
      <c r="OUQ8" s="75"/>
      <c r="OUX8" s="52"/>
      <c r="OUY8" s="75"/>
      <c r="OVF8" s="52"/>
      <c r="OVG8" s="75"/>
      <c r="OVN8" s="52"/>
      <c r="OVO8" s="75"/>
      <c r="OVV8" s="52"/>
      <c r="OVW8" s="75"/>
      <c r="OWD8" s="52"/>
      <c r="OWE8" s="75"/>
      <c r="OWL8" s="52"/>
      <c r="OWM8" s="75"/>
      <c r="OWT8" s="52"/>
      <c r="OWU8" s="75"/>
      <c r="OXB8" s="52"/>
      <c r="OXC8" s="75"/>
      <c r="OXJ8" s="52"/>
      <c r="OXK8" s="75"/>
      <c r="OXR8" s="52"/>
      <c r="OXS8" s="75"/>
      <c r="OXZ8" s="52"/>
      <c r="OYA8" s="75"/>
      <c r="OYH8" s="52"/>
      <c r="OYI8" s="75"/>
      <c r="OYP8" s="52"/>
      <c r="OYQ8" s="75"/>
      <c r="OYX8" s="52"/>
      <c r="OYY8" s="75"/>
      <c r="OZF8" s="52"/>
      <c r="OZG8" s="75"/>
      <c r="OZN8" s="52"/>
      <c r="OZO8" s="75"/>
      <c r="OZV8" s="52"/>
      <c r="OZW8" s="75"/>
      <c r="PAD8" s="52"/>
      <c r="PAE8" s="75"/>
      <c r="PAL8" s="52"/>
      <c r="PAM8" s="75"/>
      <c r="PAT8" s="52"/>
      <c r="PAU8" s="75"/>
      <c r="PBB8" s="52"/>
      <c r="PBC8" s="75"/>
      <c r="PBJ8" s="52"/>
      <c r="PBK8" s="75"/>
      <c r="PBR8" s="52"/>
      <c r="PBS8" s="75"/>
      <c r="PBZ8" s="52"/>
      <c r="PCA8" s="75"/>
      <c r="PCH8" s="52"/>
      <c r="PCI8" s="75"/>
      <c r="PCP8" s="52"/>
      <c r="PCQ8" s="75"/>
      <c r="PCX8" s="52"/>
      <c r="PCY8" s="75"/>
      <c r="PDF8" s="52"/>
      <c r="PDG8" s="75"/>
      <c r="PDN8" s="52"/>
      <c r="PDO8" s="75"/>
      <c r="PDV8" s="52"/>
      <c r="PDW8" s="75"/>
      <c r="PED8" s="52"/>
      <c r="PEE8" s="75"/>
      <c r="PEL8" s="52"/>
      <c r="PEM8" s="75"/>
      <c r="PET8" s="52"/>
      <c r="PEU8" s="75"/>
      <c r="PFB8" s="52"/>
      <c r="PFC8" s="75"/>
      <c r="PFJ8" s="52"/>
      <c r="PFK8" s="75"/>
      <c r="PFR8" s="52"/>
      <c r="PFS8" s="75"/>
      <c r="PFZ8" s="52"/>
      <c r="PGA8" s="75"/>
      <c r="PGH8" s="52"/>
      <c r="PGI8" s="75"/>
      <c r="PGP8" s="52"/>
      <c r="PGQ8" s="75"/>
      <c r="PGX8" s="52"/>
      <c r="PGY8" s="75"/>
      <c r="PHF8" s="52"/>
      <c r="PHG8" s="75"/>
      <c r="PHN8" s="52"/>
      <c r="PHO8" s="75"/>
      <c r="PHV8" s="52"/>
      <c r="PHW8" s="75"/>
      <c r="PID8" s="52"/>
      <c r="PIE8" s="75"/>
      <c r="PIL8" s="52"/>
      <c r="PIM8" s="75"/>
      <c r="PIT8" s="52"/>
      <c r="PIU8" s="75"/>
      <c r="PJB8" s="52"/>
      <c r="PJC8" s="75"/>
      <c r="PJJ8" s="52"/>
      <c r="PJK8" s="75"/>
      <c r="PJR8" s="52"/>
      <c r="PJS8" s="75"/>
      <c r="PJZ8" s="52"/>
      <c r="PKA8" s="75"/>
      <c r="PKH8" s="52"/>
      <c r="PKI8" s="75"/>
      <c r="PKP8" s="52"/>
      <c r="PKQ8" s="75"/>
      <c r="PKX8" s="52"/>
      <c r="PKY8" s="75"/>
      <c r="PLF8" s="52"/>
      <c r="PLG8" s="75"/>
      <c r="PLN8" s="52"/>
      <c r="PLO8" s="75"/>
      <c r="PLV8" s="52"/>
      <c r="PLW8" s="75"/>
      <c r="PMD8" s="52"/>
      <c r="PME8" s="75"/>
      <c r="PML8" s="52"/>
      <c r="PMM8" s="75"/>
      <c r="PMT8" s="52"/>
      <c r="PMU8" s="75"/>
      <c r="PNB8" s="52"/>
      <c r="PNC8" s="75"/>
      <c r="PNJ8" s="52"/>
      <c r="PNK8" s="75"/>
      <c r="PNR8" s="52"/>
      <c r="PNS8" s="75"/>
      <c r="PNZ8" s="52"/>
      <c r="POA8" s="75"/>
      <c r="POH8" s="52"/>
      <c r="POI8" s="75"/>
      <c r="POP8" s="52"/>
      <c r="POQ8" s="75"/>
      <c r="POX8" s="52"/>
      <c r="POY8" s="75"/>
      <c r="PPF8" s="52"/>
      <c r="PPG8" s="75"/>
      <c r="PPN8" s="52"/>
      <c r="PPO8" s="75"/>
      <c r="PPV8" s="52"/>
      <c r="PPW8" s="75"/>
      <c r="PQD8" s="52"/>
      <c r="PQE8" s="75"/>
      <c r="PQL8" s="52"/>
      <c r="PQM8" s="75"/>
      <c r="PQT8" s="52"/>
      <c r="PQU8" s="75"/>
      <c r="PRB8" s="52"/>
      <c r="PRC8" s="75"/>
      <c r="PRJ8" s="52"/>
      <c r="PRK8" s="75"/>
      <c r="PRR8" s="52"/>
      <c r="PRS8" s="75"/>
      <c r="PRZ8" s="52"/>
      <c r="PSA8" s="75"/>
      <c r="PSH8" s="52"/>
      <c r="PSI8" s="75"/>
      <c r="PSP8" s="52"/>
      <c r="PSQ8" s="75"/>
      <c r="PSX8" s="52"/>
      <c r="PSY8" s="75"/>
      <c r="PTF8" s="52"/>
      <c r="PTG8" s="75"/>
      <c r="PTN8" s="52"/>
      <c r="PTO8" s="75"/>
      <c r="PTV8" s="52"/>
      <c r="PTW8" s="75"/>
      <c r="PUD8" s="52"/>
      <c r="PUE8" s="75"/>
      <c r="PUL8" s="52"/>
      <c r="PUM8" s="75"/>
      <c r="PUT8" s="52"/>
      <c r="PUU8" s="75"/>
      <c r="PVB8" s="52"/>
      <c r="PVC8" s="75"/>
      <c r="PVJ8" s="52"/>
      <c r="PVK8" s="75"/>
      <c r="PVR8" s="52"/>
      <c r="PVS8" s="75"/>
      <c r="PVZ8" s="52"/>
      <c r="PWA8" s="75"/>
      <c r="PWH8" s="52"/>
      <c r="PWI8" s="75"/>
      <c r="PWP8" s="52"/>
      <c r="PWQ8" s="75"/>
      <c r="PWX8" s="52"/>
      <c r="PWY8" s="75"/>
      <c r="PXF8" s="52"/>
      <c r="PXG8" s="75"/>
      <c r="PXN8" s="52"/>
      <c r="PXO8" s="75"/>
      <c r="PXV8" s="52"/>
      <c r="PXW8" s="75"/>
      <c r="PYD8" s="52"/>
      <c r="PYE8" s="75"/>
      <c r="PYL8" s="52"/>
      <c r="PYM8" s="75"/>
      <c r="PYT8" s="52"/>
      <c r="PYU8" s="75"/>
      <c r="PZB8" s="52"/>
      <c r="PZC8" s="75"/>
      <c r="PZJ8" s="52"/>
      <c r="PZK8" s="75"/>
      <c r="PZR8" s="52"/>
      <c r="PZS8" s="75"/>
      <c r="PZZ8" s="52"/>
      <c r="QAA8" s="75"/>
      <c r="QAH8" s="52"/>
      <c r="QAI8" s="75"/>
      <c r="QAP8" s="52"/>
      <c r="QAQ8" s="75"/>
      <c r="QAX8" s="52"/>
      <c r="QAY8" s="75"/>
      <c r="QBF8" s="52"/>
      <c r="QBG8" s="75"/>
      <c r="QBN8" s="52"/>
      <c r="QBO8" s="75"/>
      <c r="QBV8" s="52"/>
      <c r="QBW8" s="75"/>
      <c r="QCD8" s="52"/>
      <c r="QCE8" s="75"/>
      <c r="QCL8" s="52"/>
      <c r="QCM8" s="75"/>
      <c r="QCT8" s="52"/>
      <c r="QCU8" s="75"/>
      <c r="QDB8" s="52"/>
      <c r="QDC8" s="75"/>
      <c r="QDJ8" s="52"/>
      <c r="QDK8" s="75"/>
      <c r="QDR8" s="52"/>
      <c r="QDS8" s="75"/>
      <c r="QDZ8" s="52"/>
      <c r="QEA8" s="75"/>
      <c r="QEH8" s="52"/>
      <c r="QEI8" s="75"/>
      <c r="QEP8" s="52"/>
      <c r="QEQ8" s="75"/>
      <c r="QEX8" s="52"/>
      <c r="QEY8" s="75"/>
      <c r="QFF8" s="52"/>
      <c r="QFG8" s="75"/>
      <c r="QFN8" s="52"/>
      <c r="QFO8" s="75"/>
      <c r="QFV8" s="52"/>
      <c r="QFW8" s="75"/>
      <c r="QGD8" s="52"/>
      <c r="QGE8" s="75"/>
      <c r="QGL8" s="52"/>
      <c r="QGM8" s="75"/>
      <c r="QGT8" s="52"/>
      <c r="QGU8" s="75"/>
      <c r="QHB8" s="52"/>
      <c r="QHC8" s="75"/>
      <c r="QHJ8" s="52"/>
      <c r="QHK8" s="75"/>
      <c r="QHR8" s="52"/>
      <c r="QHS8" s="75"/>
      <c r="QHZ8" s="52"/>
      <c r="QIA8" s="75"/>
      <c r="QIH8" s="52"/>
      <c r="QII8" s="75"/>
      <c r="QIP8" s="52"/>
      <c r="QIQ8" s="75"/>
      <c r="QIX8" s="52"/>
      <c r="QIY8" s="75"/>
      <c r="QJF8" s="52"/>
      <c r="QJG8" s="75"/>
      <c r="QJN8" s="52"/>
      <c r="QJO8" s="75"/>
      <c r="QJV8" s="52"/>
      <c r="QJW8" s="75"/>
      <c r="QKD8" s="52"/>
      <c r="QKE8" s="75"/>
      <c r="QKL8" s="52"/>
      <c r="QKM8" s="75"/>
      <c r="QKT8" s="52"/>
      <c r="QKU8" s="75"/>
      <c r="QLB8" s="52"/>
      <c r="QLC8" s="75"/>
      <c r="QLJ8" s="52"/>
      <c r="QLK8" s="75"/>
      <c r="QLR8" s="52"/>
      <c r="QLS8" s="75"/>
      <c r="QLZ8" s="52"/>
      <c r="QMA8" s="75"/>
      <c r="QMH8" s="52"/>
      <c r="QMI8" s="75"/>
      <c r="QMP8" s="52"/>
      <c r="QMQ8" s="75"/>
      <c r="QMX8" s="52"/>
      <c r="QMY8" s="75"/>
      <c r="QNF8" s="52"/>
      <c r="QNG8" s="75"/>
      <c r="QNN8" s="52"/>
      <c r="QNO8" s="75"/>
      <c r="QNV8" s="52"/>
      <c r="QNW8" s="75"/>
      <c r="QOD8" s="52"/>
      <c r="QOE8" s="75"/>
      <c r="QOL8" s="52"/>
      <c r="QOM8" s="75"/>
      <c r="QOT8" s="52"/>
      <c r="QOU8" s="75"/>
      <c r="QPB8" s="52"/>
      <c r="QPC8" s="75"/>
      <c r="QPJ8" s="52"/>
      <c r="QPK8" s="75"/>
      <c r="QPR8" s="52"/>
      <c r="QPS8" s="75"/>
      <c r="QPZ8" s="52"/>
      <c r="QQA8" s="75"/>
      <c r="QQH8" s="52"/>
      <c r="QQI8" s="75"/>
      <c r="QQP8" s="52"/>
      <c r="QQQ8" s="75"/>
      <c r="QQX8" s="52"/>
      <c r="QQY8" s="75"/>
      <c r="QRF8" s="52"/>
      <c r="QRG8" s="75"/>
      <c r="QRN8" s="52"/>
      <c r="QRO8" s="75"/>
      <c r="QRV8" s="52"/>
      <c r="QRW8" s="75"/>
      <c r="QSD8" s="52"/>
      <c r="QSE8" s="75"/>
      <c r="QSL8" s="52"/>
      <c r="QSM8" s="75"/>
      <c r="QST8" s="52"/>
      <c r="QSU8" s="75"/>
      <c r="QTB8" s="52"/>
      <c r="QTC8" s="75"/>
      <c r="QTJ8" s="52"/>
      <c r="QTK8" s="75"/>
      <c r="QTR8" s="52"/>
      <c r="QTS8" s="75"/>
      <c r="QTZ8" s="52"/>
      <c r="QUA8" s="75"/>
      <c r="QUH8" s="52"/>
      <c r="QUI8" s="75"/>
      <c r="QUP8" s="52"/>
      <c r="QUQ8" s="75"/>
      <c r="QUX8" s="52"/>
      <c r="QUY8" s="75"/>
      <c r="QVF8" s="52"/>
      <c r="QVG8" s="75"/>
      <c r="QVN8" s="52"/>
      <c r="QVO8" s="75"/>
      <c r="QVV8" s="52"/>
      <c r="QVW8" s="75"/>
      <c r="QWD8" s="52"/>
      <c r="QWE8" s="75"/>
      <c r="QWL8" s="52"/>
      <c r="QWM8" s="75"/>
      <c r="QWT8" s="52"/>
      <c r="QWU8" s="75"/>
      <c r="QXB8" s="52"/>
      <c r="QXC8" s="75"/>
      <c r="QXJ8" s="52"/>
      <c r="QXK8" s="75"/>
      <c r="QXR8" s="52"/>
      <c r="QXS8" s="75"/>
      <c r="QXZ8" s="52"/>
      <c r="QYA8" s="75"/>
      <c r="QYH8" s="52"/>
      <c r="QYI8" s="75"/>
      <c r="QYP8" s="52"/>
      <c r="QYQ8" s="75"/>
      <c r="QYX8" s="52"/>
      <c r="QYY8" s="75"/>
      <c r="QZF8" s="52"/>
      <c r="QZG8" s="75"/>
      <c r="QZN8" s="52"/>
      <c r="QZO8" s="75"/>
      <c r="QZV8" s="52"/>
      <c r="QZW8" s="75"/>
      <c r="RAD8" s="52"/>
      <c r="RAE8" s="75"/>
      <c r="RAL8" s="52"/>
      <c r="RAM8" s="75"/>
      <c r="RAT8" s="52"/>
      <c r="RAU8" s="75"/>
      <c r="RBB8" s="52"/>
      <c r="RBC8" s="75"/>
      <c r="RBJ8" s="52"/>
      <c r="RBK8" s="75"/>
      <c r="RBR8" s="52"/>
      <c r="RBS8" s="75"/>
      <c r="RBZ8" s="52"/>
      <c r="RCA8" s="75"/>
      <c r="RCH8" s="52"/>
      <c r="RCI8" s="75"/>
      <c r="RCP8" s="52"/>
      <c r="RCQ8" s="75"/>
      <c r="RCX8" s="52"/>
      <c r="RCY8" s="75"/>
      <c r="RDF8" s="52"/>
      <c r="RDG8" s="75"/>
      <c r="RDN8" s="52"/>
      <c r="RDO8" s="75"/>
      <c r="RDV8" s="52"/>
      <c r="RDW8" s="75"/>
      <c r="RED8" s="52"/>
      <c r="REE8" s="75"/>
      <c r="REL8" s="52"/>
      <c r="REM8" s="75"/>
      <c r="RET8" s="52"/>
      <c r="REU8" s="75"/>
      <c r="RFB8" s="52"/>
      <c r="RFC8" s="75"/>
      <c r="RFJ8" s="52"/>
      <c r="RFK8" s="75"/>
      <c r="RFR8" s="52"/>
      <c r="RFS8" s="75"/>
      <c r="RFZ8" s="52"/>
      <c r="RGA8" s="75"/>
      <c r="RGH8" s="52"/>
      <c r="RGI8" s="75"/>
      <c r="RGP8" s="52"/>
      <c r="RGQ8" s="75"/>
      <c r="RGX8" s="52"/>
      <c r="RGY8" s="75"/>
      <c r="RHF8" s="52"/>
      <c r="RHG8" s="75"/>
      <c r="RHN8" s="52"/>
      <c r="RHO8" s="75"/>
      <c r="RHV8" s="52"/>
      <c r="RHW8" s="75"/>
      <c r="RID8" s="52"/>
      <c r="RIE8" s="75"/>
      <c r="RIL8" s="52"/>
      <c r="RIM8" s="75"/>
      <c r="RIT8" s="52"/>
      <c r="RIU8" s="75"/>
      <c r="RJB8" s="52"/>
      <c r="RJC8" s="75"/>
      <c r="RJJ8" s="52"/>
      <c r="RJK8" s="75"/>
      <c r="RJR8" s="52"/>
      <c r="RJS8" s="75"/>
      <c r="RJZ8" s="52"/>
      <c r="RKA8" s="75"/>
      <c r="RKH8" s="52"/>
      <c r="RKI8" s="75"/>
      <c r="RKP8" s="52"/>
      <c r="RKQ8" s="75"/>
      <c r="RKX8" s="52"/>
      <c r="RKY8" s="75"/>
      <c r="RLF8" s="52"/>
      <c r="RLG8" s="75"/>
      <c r="RLN8" s="52"/>
      <c r="RLO8" s="75"/>
      <c r="RLV8" s="52"/>
      <c r="RLW8" s="75"/>
      <c r="RMD8" s="52"/>
      <c r="RME8" s="75"/>
      <c r="RML8" s="52"/>
      <c r="RMM8" s="75"/>
      <c r="RMT8" s="52"/>
      <c r="RMU8" s="75"/>
      <c r="RNB8" s="52"/>
      <c r="RNC8" s="75"/>
      <c r="RNJ8" s="52"/>
      <c r="RNK8" s="75"/>
      <c r="RNR8" s="52"/>
      <c r="RNS8" s="75"/>
      <c r="RNZ8" s="52"/>
      <c r="ROA8" s="75"/>
      <c r="ROH8" s="52"/>
      <c r="ROI8" s="75"/>
      <c r="ROP8" s="52"/>
      <c r="ROQ8" s="75"/>
      <c r="ROX8" s="52"/>
      <c r="ROY8" s="75"/>
      <c r="RPF8" s="52"/>
      <c r="RPG8" s="75"/>
      <c r="RPN8" s="52"/>
      <c r="RPO8" s="75"/>
      <c r="RPV8" s="52"/>
      <c r="RPW8" s="75"/>
      <c r="RQD8" s="52"/>
      <c r="RQE8" s="75"/>
      <c r="RQL8" s="52"/>
      <c r="RQM8" s="75"/>
      <c r="RQT8" s="52"/>
      <c r="RQU8" s="75"/>
      <c r="RRB8" s="52"/>
      <c r="RRC8" s="75"/>
      <c r="RRJ8" s="52"/>
      <c r="RRK8" s="75"/>
      <c r="RRR8" s="52"/>
      <c r="RRS8" s="75"/>
      <c r="RRZ8" s="52"/>
      <c r="RSA8" s="75"/>
      <c r="RSH8" s="52"/>
      <c r="RSI8" s="75"/>
      <c r="RSP8" s="52"/>
      <c r="RSQ8" s="75"/>
      <c r="RSX8" s="52"/>
      <c r="RSY8" s="75"/>
      <c r="RTF8" s="52"/>
      <c r="RTG8" s="75"/>
      <c r="RTN8" s="52"/>
      <c r="RTO8" s="75"/>
      <c r="RTV8" s="52"/>
      <c r="RTW8" s="75"/>
      <c r="RUD8" s="52"/>
      <c r="RUE8" s="75"/>
      <c r="RUL8" s="52"/>
      <c r="RUM8" s="75"/>
      <c r="RUT8" s="52"/>
      <c r="RUU8" s="75"/>
      <c r="RVB8" s="52"/>
      <c r="RVC8" s="75"/>
      <c r="RVJ8" s="52"/>
      <c r="RVK8" s="75"/>
      <c r="RVR8" s="52"/>
      <c r="RVS8" s="75"/>
      <c r="RVZ8" s="52"/>
      <c r="RWA8" s="75"/>
      <c r="RWH8" s="52"/>
      <c r="RWI8" s="75"/>
      <c r="RWP8" s="52"/>
      <c r="RWQ8" s="75"/>
      <c r="RWX8" s="52"/>
      <c r="RWY8" s="75"/>
      <c r="RXF8" s="52"/>
      <c r="RXG8" s="75"/>
      <c r="RXN8" s="52"/>
      <c r="RXO8" s="75"/>
      <c r="RXV8" s="52"/>
      <c r="RXW8" s="75"/>
      <c r="RYD8" s="52"/>
      <c r="RYE8" s="75"/>
      <c r="RYL8" s="52"/>
      <c r="RYM8" s="75"/>
      <c r="RYT8" s="52"/>
      <c r="RYU8" s="75"/>
      <c r="RZB8" s="52"/>
      <c r="RZC8" s="75"/>
      <c r="RZJ8" s="52"/>
      <c r="RZK8" s="75"/>
      <c r="RZR8" s="52"/>
      <c r="RZS8" s="75"/>
      <c r="RZZ8" s="52"/>
      <c r="SAA8" s="75"/>
      <c r="SAH8" s="52"/>
      <c r="SAI8" s="75"/>
      <c r="SAP8" s="52"/>
      <c r="SAQ8" s="75"/>
      <c r="SAX8" s="52"/>
      <c r="SAY8" s="75"/>
      <c r="SBF8" s="52"/>
      <c r="SBG8" s="75"/>
      <c r="SBN8" s="52"/>
      <c r="SBO8" s="75"/>
      <c r="SBV8" s="52"/>
      <c r="SBW8" s="75"/>
      <c r="SCD8" s="52"/>
      <c r="SCE8" s="75"/>
      <c r="SCL8" s="52"/>
      <c r="SCM8" s="75"/>
      <c r="SCT8" s="52"/>
      <c r="SCU8" s="75"/>
      <c r="SDB8" s="52"/>
      <c r="SDC8" s="75"/>
      <c r="SDJ8" s="52"/>
      <c r="SDK8" s="75"/>
      <c r="SDR8" s="52"/>
      <c r="SDS8" s="75"/>
      <c r="SDZ8" s="52"/>
      <c r="SEA8" s="75"/>
      <c r="SEH8" s="52"/>
      <c r="SEI8" s="75"/>
      <c r="SEP8" s="52"/>
      <c r="SEQ8" s="75"/>
      <c r="SEX8" s="52"/>
      <c r="SEY8" s="75"/>
      <c r="SFF8" s="52"/>
      <c r="SFG8" s="75"/>
      <c r="SFN8" s="52"/>
      <c r="SFO8" s="75"/>
      <c r="SFV8" s="52"/>
      <c r="SFW8" s="75"/>
      <c r="SGD8" s="52"/>
      <c r="SGE8" s="75"/>
      <c r="SGL8" s="52"/>
      <c r="SGM8" s="75"/>
      <c r="SGT8" s="52"/>
      <c r="SGU8" s="75"/>
      <c r="SHB8" s="52"/>
      <c r="SHC8" s="75"/>
      <c r="SHJ8" s="52"/>
      <c r="SHK8" s="75"/>
      <c r="SHR8" s="52"/>
      <c r="SHS8" s="75"/>
      <c r="SHZ8" s="52"/>
      <c r="SIA8" s="75"/>
      <c r="SIH8" s="52"/>
      <c r="SII8" s="75"/>
      <c r="SIP8" s="52"/>
      <c r="SIQ8" s="75"/>
      <c r="SIX8" s="52"/>
      <c r="SIY8" s="75"/>
      <c r="SJF8" s="52"/>
      <c r="SJG8" s="75"/>
      <c r="SJN8" s="52"/>
      <c r="SJO8" s="75"/>
      <c r="SJV8" s="52"/>
      <c r="SJW8" s="75"/>
      <c r="SKD8" s="52"/>
      <c r="SKE8" s="75"/>
      <c r="SKL8" s="52"/>
      <c r="SKM8" s="75"/>
      <c r="SKT8" s="52"/>
      <c r="SKU8" s="75"/>
      <c r="SLB8" s="52"/>
      <c r="SLC8" s="75"/>
      <c r="SLJ8" s="52"/>
      <c r="SLK8" s="75"/>
      <c r="SLR8" s="52"/>
      <c r="SLS8" s="75"/>
      <c r="SLZ8" s="52"/>
      <c r="SMA8" s="75"/>
      <c r="SMH8" s="52"/>
      <c r="SMI8" s="75"/>
      <c r="SMP8" s="52"/>
      <c r="SMQ8" s="75"/>
      <c r="SMX8" s="52"/>
      <c r="SMY8" s="75"/>
      <c r="SNF8" s="52"/>
      <c r="SNG8" s="75"/>
      <c r="SNN8" s="52"/>
      <c r="SNO8" s="75"/>
      <c r="SNV8" s="52"/>
      <c r="SNW8" s="75"/>
      <c r="SOD8" s="52"/>
      <c r="SOE8" s="75"/>
      <c r="SOL8" s="52"/>
      <c r="SOM8" s="75"/>
      <c r="SOT8" s="52"/>
      <c r="SOU8" s="75"/>
      <c r="SPB8" s="52"/>
      <c r="SPC8" s="75"/>
      <c r="SPJ8" s="52"/>
      <c r="SPK8" s="75"/>
      <c r="SPR8" s="52"/>
      <c r="SPS8" s="75"/>
      <c r="SPZ8" s="52"/>
      <c r="SQA8" s="75"/>
      <c r="SQH8" s="52"/>
      <c r="SQI8" s="75"/>
      <c r="SQP8" s="52"/>
      <c r="SQQ8" s="75"/>
      <c r="SQX8" s="52"/>
      <c r="SQY8" s="75"/>
      <c r="SRF8" s="52"/>
      <c r="SRG8" s="75"/>
      <c r="SRN8" s="52"/>
      <c r="SRO8" s="75"/>
      <c r="SRV8" s="52"/>
      <c r="SRW8" s="75"/>
      <c r="SSD8" s="52"/>
      <c r="SSE8" s="75"/>
      <c r="SSL8" s="52"/>
      <c r="SSM8" s="75"/>
      <c r="SST8" s="52"/>
      <c r="SSU8" s="75"/>
      <c r="STB8" s="52"/>
      <c r="STC8" s="75"/>
      <c r="STJ8" s="52"/>
      <c r="STK8" s="75"/>
      <c r="STR8" s="52"/>
      <c r="STS8" s="75"/>
      <c r="STZ8" s="52"/>
      <c r="SUA8" s="75"/>
      <c r="SUH8" s="52"/>
      <c r="SUI8" s="75"/>
      <c r="SUP8" s="52"/>
      <c r="SUQ8" s="75"/>
      <c r="SUX8" s="52"/>
      <c r="SUY8" s="75"/>
      <c r="SVF8" s="52"/>
      <c r="SVG8" s="75"/>
      <c r="SVN8" s="52"/>
      <c r="SVO8" s="75"/>
      <c r="SVV8" s="52"/>
      <c r="SVW8" s="75"/>
      <c r="SWD8" s="52"/>
      <c r="SWE8" s="75"/>
      <c r="SWL8" s="52"/>
      <c r="SWM8" s="75"/>
      <c r="SWT8" s="52"/>
      <c r="SWU8" s="75"/>
      <c r="SXB8" s="52"/>
      <c r="SXC8" s="75"/>
      <c r="SXJ8" s="52"/>
      <c r="SXK8" s="75"/>
      <c r="SXR8" s="52"/>
      <c r="SXS8" s="75"/>
      <c r="SXZ8" s="52"/>
      <c r="SYA8" s="75"/>
      <c r="SYH8" s="52"/>
      <c r="SYI8" s="75"/>
      <c r="SYP8" s="52"/>
      <c r="SYQ8" s="75"/>
      <c r="SYX8" s="52"/>
      <c r="SYY8" s="75"/>
      <c r="SZF8" s="52"/>
      <c r="SZG8" s="75"/>
      <c r="SZN8" s="52"/>
      <c r="SZO8" s="75"/>
      <c r="SZV8" s="52"/>
      <c r="SZW8" s="75"/>
      <c r="TAD8" s="52"/>
      <c r="TAE8" s="75"/>
      <c r="TAL8" s="52"/>
      <c r="TAM8" s="75"/>
      <c r="TAT8" s="52"/>
      <c r="TAU8" s="75"/>
      <c r="TBB8" s="52"/>
      <c r="TBC8" s="75"/>
      <c r="TBJ8" s="52"/>
      <c r="TBK8" s="75"/>
      <c r="TBR8" s="52"/>
      <c r="TBS8" s="75"/>
      <c r="TBZ8" s="52"/>
      <c r="TCA8" s="75"/>
      <c r="TCH8" s="52"/>
      <c r="TCI8" s="75"/>
      <c r="TCP8" s="52"/>
      <c r="TCQ8" s="75"/>
      <c r="TCX8" s="52"/>
      <c r="TCY8" s="75"/>
      <c r="TDF8" s="52"/>
      <c r="TDG8" s="75"/>
      <c r="TDN8" s="52"/>
      <c r="TDO8" s="75"/>
      <c r="TDV8" s="52"/>
      <c r="TDW8" s="75"/>
      <c r="TED8" s="52"/>
      <c r="TEE8" s="75"/>
      <c r="TEL8" s="52"/>
      <c r="TEM8" s="75"/>
      <c r="TET8" s="52"/>
      <c r="TEU8" s="75"/>
      <c r="TFB8" s="52"/>
      <c r="TFC8" s="75"/>
      <c r="TFJ8" s="52"/>
      <c r="TFK8" s="75"/>
      <c r="TFR8" s="52"/>
      <c r="TFS8" s="75"/>
      <c r="TFZ8" s="52"/>
      <c r="TGA8" s="75"/>
      <c r="TGH8" s="52"/>
      <c r="TGI8" s="75"/>
      <c r="TGP8" s="52"/>
      <c r="TGQ8" s="75"/>
      <c r="TGX8" s="52"/>
      <c r="TGY8" s="75"/>
      <c r="THF8" s="52"/>
      <c r="THG8" s="75"/>
      <c r="THN8" s="52"/>
      <c r="THO8" s="75"/>
      <c r="THV8" s="52"/>
      <c r="THW8" s="75"/>
      <c r="TID8" s="52"/>
      <c r="TIE8" s="75"/>
      <c r="TIL8" s="52"/>
      <c r="TIM8" s="75"/>
      <c r="TIT8" s="52"/>
      <c r="TIU8" s="75"/>
      <c r="TJB8" s="52"/>
      <c r="TJC8" s="75"/>
      <c r="TJJ8" s="52"/>
      <c r="TJK8" s="75"/>
      <c r="TJR8" s="52"/>
      <c r="TJS8" s="75"/>
      <c r="TJZ8" s="52"/>
      <c r="TKA8" s="75"/>
      <c r="TKH8" s="52"/>
      <c r="TKI8" s="75"/>
      <c r="TKP8" s="52"/>
      <c r="TKQ8" s="75"/>
      <c r="TKX8" s="52"/>
      <c r="TKY8" s="75"/>
      <c r="TLF8" s="52"/>
      <c r="TLG8" s="75"/>
      <c r="TLN8" s="52"/>
      <c r="TLO8" s="75"/>
      <c r="TLV8" s="52"/>
      <c r="TLW8" s="75"/>
      <c r="TMD8" s="52"/>
      <c r="TME8" s="75"/>
      <c r="TML8" s="52"/>
      <c r="TMM8" s="75"/>
      <c r="TMT8" s="52"/>
      <c r="TMU8" s="75"/>
      <c r="TNB8" s="52"/>
      <c r="TNC8" s="75"/>
      <c r="TNJ8" s="52"/>
      <c r="TNK8" s="75"/>
      <c r="TNR8" s="52"/>
      <c r="TNS8" s="75"/>
      <c r="TNZ8" s="52"/>
      <c r="TOA8" s="75"/>
      <c r="TOH8" s="52"/>
      <c r="TOI8" s="75"/>
      <c r="TOP8" s="52"/>
      <c r="TOQ8" s="75"/>
      <c r="TOX8" s="52"/>
      <c r="TOY8" s="75"/>
      <c r="TPF8" s="52"/>
      <c r="TPG8" s="75"/>
      <c r="TPN8" s="52"/>
      <c r="TPO8" s="75"/>
      <c r="TPV8" s="52"/>
      <c r="TPW8" s="75"/>
      <c r="TQD8" s="52"/>
      <c r="TQE8" s="75"/>
      <c r="TQL8" s="52"/>
      <c r="TQM8" s="75"/>
      <c r="TQT8" s="52"/>
      <c r="TQU8" s="75"/>
      <c r="TRB8" s="52"/>
      <c r="TRC8" s="75"/>
      <c r="TRJ8" s="52"/>
      <c r="TRK8" s="75"/>
      <c r="TRR8" s="52"/>
      <c r="TRS8" s="75"/>
      <c r="TRZ8" s="52"/>
      <c r="TSA8" s="75"/>
      <c r="TSH8" s="52"/>
      <c r="TSI8" s="75"/>
      <c r="TSP8" s="52"/>
      <c r="TSQ8" s="75"/>
      <c r="TSX8" s="52"/>
      <c r="TSY8" s="75"/>
      <c r="TTF8" s="52"/>
      <c r="TTG8" s="75"/>
      <c r="TTN8" s="52"/>
      <c r="TTO8" s="75"/>
      <c r="TTV8" s="52"/>
      <c r="TTW8" s="75"/>
      <c r="TUD8" s="52"/>
      <c r="TUE8" s="75"/>
      <c r="TUL8" s="52"/>
      <c r="TUM8" s="75"/>
      <c r="TUT8" s="52"/>
      <c r="TUU8" s="75"/>
      <c r="TVB8" s="52"/>
      <c r="TVC8" s="75"/>
      <c r="TVJ8" s="52"/>
      <c r="TVK8" s="75"/>
      <c r="TVR8" s="52"/>
      <c r="TVS8" s="75"/>
      <c r="TVZ8" s="52"/>
      <c r="TWA8" s="75"/>
      <c r="TWH8" s="52"/>
      <c r="TWI8" s="75"/>
      <c r="TWP8" s="52"/>
      <c r="TWQ8" s="75"/>
      <c r="TWX8" s="52"/>
      <c r="TWY8" s="75"/>
      <c r="TXF8" s="52"/>
      <c r="TXG8" s="75"/>
      <c r="TXN8" s="52"/>
      <c r="TXO8" s="75"/>
      <c r="TXV8" s="52"/>
      <c r="TXW8" s="75"/>
      <c r="TYD8" s="52"/>
      <c r="TYE8" s="75"/>
      <c r="TYL8" s="52"/>
      <c r="TYM8" s="75"/>
      <c r="TYT8" s="52"/>
      <c r="TYU8" s="75"/>
      <c r="TZB8" s="52"/>
      <c r="TZC8" s="75"/>
      <c r="TZJ8" s="52"/>
      <c r="TZK8" s="75"/>
      <c r="TZR8" s="52"/>
      <c r="TZS8" s="75"/>
      <c r="TZZ8" s="52"/>
      <c r="UAA8" s="75"/>
      <c r="UAH8" s="52"/>
      <c r="UAI8" s="75"/>
      <c r="UAP8" s="52"/>
      <c r="UAQ8" s="75"/>
      <c r="UAX8" s="52"/>
      <c r="UAY8" s="75"/>
      <c r="UBF8" s="52"/>
      <c r="UBG8" s="75"/>
      <c r="UBN8" s="52"/>
      <c r="UBO8" s="75"/>
      <c r="UBV8" s="52"/>
      <c r="UBW8" s="75"/>
      <c r="UCD8" s="52"/>
      <c r="UCE8" s="75"/>
      <c r="UCL8" s="52"/>
      <c r="UCM8" s="75"/>
      <c r="UCT8" s="52"/>
      <c r="UCU8" s="75"/>
      <c r="UDB8" s="52"/>
      <c r="UDC8" s="75"/>
      <c r="UDJ8" s="52"/>
      <c r="UDK8" s="75"/>
      <c r="UDR8" s="52"/>
      <c r="UDS8" s="75"/>
      <c r="UDZ8" s="52"/>
      <c r="UEA8" s="75"/>
      <c r="UEH8" s="52"/>
      <c r="UEI8" s="75"/>
      <c r="UEP8" s="52"/>
      <c r="UEQ8" s="75"/>
      <c r="UEX8" s="52"/>
      <c r="UEY8" s="75"/>
      <c r="UFF8" s="52"/>
      <c r="UFG8" s="75"/>
      <c r="UFN8" s="52"/>
      <c r="UFO8" s="75"/>
      <c r="UFV8" s="52"/>
      <c r="UFW8" s="75"/>
      <c r="UGD8" s="52"/>
      <c r="UGE8" s="75"/>
      <c r="UGL8" s="52"/>
      <c r="UGM8" s="75"/>
      <c r="UGT8" s="52"/>
      <c r="UGU8" s="75"/>
      <c r="UHB8" s="52"/>
      <c r="UHC8" s="75"/>
      <c r="UHJ8" s="52"/>
      <c r="UHK8" s="75"/>
      <c r="UHR8" s="52"/>
      <c r="UHS8" s="75"/>
      <c r="UHZ8" s="52"/>
      <c r="UIA8" s="75"/>
      <c r="UIH8" s="52"/>
      <c r="UII8" s="75"/>
      <c r="UIP8" s="52"/>
      <c r="UIQ8" s="75"/>
      <c r="UIX8" s="52"/>
      <c r="UIY8" s="75"/>
      <c r="UJF8" s="52"/>
      <c r="UJG8" s="75"/>
      <c r="UJN8" s="52"/>
      <c r="UJO8" s="75"/>
      <c r="UJV8" s="52"/>
      <c r="UJW8" s="75"/>
      <c r="UKD8" s="52"/>
      <c r="UKE8" s="75"/>
      <c r="UKL8" s="52"/>
      <c r="UKM8" s="75"/>
      <c r="UKT8" s="52"/>
      <c r="UKU8" s="75"/>
      <c r="ULB8" s="52"/>
      <c r="ULC8" s="75"/>
      <c r="ULJ8" s="52"/>
      <c r="ULK8" s="75"/>
      <c r="ULR8" s="52"/>
      <c r="ULS8" s="75"/>
      <c r="ULZ8" s="52"/>
      <c r="UMA8" s="75"/>
      <c r="UMH8" s="52"/>
      <c r="UMI8" s="75"/>
      <c r="UMP8" s="52"/>
      <c r="UMQ8" s="75"/>
      <c r="UMX8" s="52"/>
      <c r="UMY8" s="75"/>
      <c r="UNF8" s="52"/>
      <c r="UNG8" s="75"/>
      <c r="UNN8" s="52"/>
      <c r="UNO8" s="75"/>
      <c r="UNV8" s="52"/>
      <c r="UNW8" s="75"/>
      <c r="UOD8" s="52"/>
      <c r="UOE8" s="75"/>
      <c r="UOL8" s="52"/>
      <c r="UOM8" s="75"/>
      <c r="UOT8" s="52"/>
      <c r="UOU8" s="75"/>
      <c r="UPB8" s="52"/>
      <c r="UPC8" s="75"/>
      <c r="UPJ8" s="52"/>
      <c r="UPK8" s="75"/>
      <c r="UPR8" s="52"/>
      <c r="UPS8" s="75"/>
      <c r="UPZ8" s="52"/>
      <c r="UQA8" s="75"/>
      <c r="UQH8" s="52"/>
      <c r="UQI8" s="75"/>
      <c r="UQP8" s="52"/>
      <c r="UQQ8" s="75"/>
      <c r="UQX8" s="52"/>
      <c r="UQY8" s="75"/>
      <c r="URF8" s="52"/>
      <c r="URG8" s="75"/>
      <c r="URN8" s="52"/>
      <c r="URO8" s="75"/>
      <c r="URV8" s="52"/>
      <c r="URW8" s="75"/>
      <c r="USD8" s="52"/>
      <c r="USE8" s="75"/>
      <c r="USL8" s="52"/>
      <c r="USM8" s="75"/>
      <c r="UST8" s="52"/>
      <c r="USU8" s="75"/>
      <c r="UTB8" s="52"/>
      <c r="UTC8" s="75"/>
      <c r="UTJ8" s="52"/>
      <c r="UTK8" s="75"/>
      <c r="UTR8" s="52"/>
      <c r="UTS8" s="75"/>
      <c r="UTZ8" s="52"/>
      <c r="UUA8" s="75"/>
      <c r="UUH8" s="52"/>
      <c r="UUI8" s="75"/>
      <c r="UUP8" s="52"/>
      <c r="UUQ8" s="75"/>
      <c r="UUX8" s="52"/>
      <c r="UUY8" s="75"/>
      <c r="UVF8" s="52"/>
      <c r="UVG8" s="75"/>
      <c r="UVN8" s="52"/>
      <c r="UVO8" s="75"/>
      <c r="UVV8" s="52"/>
      <c r="UVW8" s="75"/>
      <c r="UWD8" s="52"/>
      <c r="UWE8" s="75"/>
      <c r="UWL8" s="52"/>
      <c r="UWM8" s="75"/>
      <c r="UWT8" s="52"/>
      <c r="UWU8" s="75"/>
      <c r="UXB8" s="52"/>
      <c r="UXC8" s="75"/>
      <c r="UXJ8" s="52"/>
      <c r="UXK8" s="75"/>
      <c r="UXR8" s="52"/>
      <c r="UXS8" s="75"/>
      <c r="UXZ8" s="52"/>
      <c r="UYA8" s="75"/>
      <c r="UYH8" s="52"/>
      <c r="UYI8" s="75"/>
      <c r="UYP8" s="52"/>
      <c r="UYQ8" s="75"/>
      <c r="UYX8" s="52"/>
      <c r="UYY8" s="75"/>
      <c r="UZF8" s="52"/>
      <c r="UZG8" s="75"/>
      <c r="UZN8" s="52"/>
      <c r="UZO8" s="75"/>
      <c r="UZV8" s="52"/>
      <c r="UZW8" s="75"/>
      <c r="VAD8" s="52"/>
      <c r="VAE8" s="75"/>
      <c r="VAL8" s="52"/>
      <c r="VAM8" s="75"/>
      <c r="VAT8" s="52"/>
      <c r="VAU8" s="75"/>
      <c r="VBB8" s="52"/>
      <c r="VBC8" s="75"/>
      <c r="VBJ8" s="52"/>
      <c r="VBK8" s="75"/>
      <c r="VBR8" s="52"/>
      <c r="VBS8" s="75"/>
      <c r="VBZ8" s="52"/>
      <c r="VCA8" s="75"/>
      <c r="VCH8" s="52"/>
      <c r="VCI8" s="75"/>
      <c r="VCP8" s="52"/>
      <c r="VCQ8" s="75"/>
      <c r="VCX8" s="52"/>
      <c r="VCY8" s="75"/>
      <c r="VDF8" s="52"/>
      <c r="VDG8" s="75"/>
      <c r="VDN8" s="52"/>
      <c r="VDO8" s="75"/>
      <c r="VDV8" s="52"/>
      <c r="VDW8" s="75"/>
      <c r="VED8" s="52"/>
      <c r="VEE8" s="75"/>
      <c r="VEL8" s="52"/>
      <c r="VEM8" s="75"/>
      <c r="VET8" s="52"/>
      <c r="VEU8" s="75"/>
      <c r="VFB8" s="52"/>
      <c r="VFC8" s="75"/>
      <c r="VFJ8" s="52"/>
      <c r="VFK8" s="75"/>
      <c r="VFR8" s="52"/>
      <c r="VFS8" s="75"/>
      <c r="VFZ8" s="52"/>
      <c r="VGA8" s="75"/>
      <c r="VGH8" s="52"/>
      <c r="VGI8" s="75"/>
      <c r="VGP8" s="52"/>
      <c r="VGQ8" s="75"/>
      <c r="VGX8" s="52"/>
      <c r="VGY8" s="75"/>
      <c r="VHF8" s="52"/>
      <c r="VHG8" s="75"/>
      <c r="VHN8" s="52"/>
      <c r="VHO8" s="75"/>
      <c r="VHV8" s="52"/>
      <c r="VHW8" s="75"/>
      <c r="VID8" s="52"/>
      <c r="VIE8" s="75"/>
      <c r="VIL8" s="52"/>
      <c r="VIM8" s="75"/>
      <c r="VIT8" s="52"/>
      <c r="VIU8" s="75"/>
      <c r="VJB8" s="52"/>
      <c r="VJC8" s="75"/>
      <c r="VJJ8" s="52"/>
      <c r="VJK8" s="75"/>
      <c r="VJR8" s="52"/>
      <c r="VJS8" s="75"/>
      <c r="VJZ8" s="52"/>
      <c r="VKA8" s="75"/>
      <c r="VKH8" s="52"/>
      <c r="VKI8" s="75"/>
      <c r="VKP8" s="52"/>
      <c r="VKQ8" s="75"/>
      <c r="VKX8" s="52"/>
      <c r="VKY8" s="75"/>
      <c r="VLF8" s="52"/>
      <c r="VLG8" s="75"/>
      <c r="VLN8" s="52"/>
      <c r="VLO8" s="75"/>
      <c r="VLV8" s="52"/>
      <c r="VLW8" s="75"/>
      <c r="VMD8" s="52"/>
      <c r="VME8" s="75"/>
      <c r="VML8" s="52"/>
      <c r="VMM8" s="75"/>
      <c r="VMT8" s="52"/>
      <c r="VMU8" s="75"/>
      <c r="VNB8" s="52"/>
      <c r="VNC8" s="75"/>
      <c r="VNJ8" s="52"/>
      <c r="VNK8" s="75"/>
      <c r="VNR8" s="52"/>
      <c r="VNS8" s="75"/>
      <c r="VNZ8" s="52"/>
      <c r="VOA8" s="75"/>
      <c r="VOH8" s="52"/>
      <c r="VOI8" s="75"/>
      <c r="VOP8" s="52"/>
      <c r="VOQ8" s="75"/>
      <c r="VOX8" s="52"/>
      <c r="VOY8" s="75"/>
      <c r="VPF8" s="52"/>
      <c r="VPG8" s="75"/>
      <c r="VPN8" s="52"/>
      <c r="VPO8" s="75"/>
      <c r="VPV8" s="52"/>
      <c r="VPW8" s="75"/>
      <c r="VQD8" s="52"/>
      <c r="VQE8" s="75"/>
      <c r="VQL8" s="52"/>
      <c r="VQM8" s="75"/>
      <c r="VQT8" s="52"/>
      <c r="VQU8" s="75"/>
      <c r="VRB8" s="52"/>
      <c r="VRC8" s="75"/>
      <c r="VRJ8" s="52"/>
      <c r="VRK8" s="75"/>
      <c r="VRR8" s="52"/>
      <c r="VRS8" s="75"/>
      <c r="VRZ8" s="52"/>
      <c r="VSA8" s="75"/>
      <c r="VSH8" s="52"/>
      <c r="VSI8" s="75"/>
      <c r="VSP8" s="52"/>
      <c r="VSQ8" s="75"/>
      <c r="VSX8" s="52"/>
      <c r="VSY8" s="75"/>
      <c r="VTF8" s="52"/>
      <c r="VTG8" s="75"/>
      <c r="VTN8" s="52"/>
      <c r="VTO8" s="75"/>
      <c r="VTV8" s="52"/>
      <c r="VTW8" s="75"/>
      <c r="VUD8" s="52"/>
      <c r="VUE8" s="75"/>
      <c r="VUL8" s="52"/>
      <c r="VUM8" s="75"/>
      <c r="VUT8" s="52"/>
      <c r="VUU8" s="75"/>
      <c r="VVB8" s="52"/>
      <c r="VVC8" s="75"/>
      <c r="VVJ8" s="52"/>
      <c r="VVK8" s="75"/>
      <c r="VVR8" s="52"/>
      <c r="VVS8" s="75"/>
      <c r="VVZ8" s="52"/>
      <c r="VWA8" s="75"/>
      <c r="VWH8" s="52"/>
      <c r="VWI8" s="75"/>
      <c r="VWP8" s="52"/>
      <c r="VWQ8" s="75"/>
      <c r="VWX8" s="52"/>
      <c r="VWY8" s="75"/>
      <c r="VXF8" s="52"/>
      <c r="VXG8" s="75"/>
      <c r="VXN8" s="52"/>
      <c r="VXO8" s="75"/>
      <c r="VXV8" s="52"/>
      <c r="VXW8" s="75"/>
      <c r="VYD8" s="52"/>
      <c r="VYE8" s="75"/>
      <c r="VYL8" s="52"/>
      <c r="VYM8" s="75"/>
      <c r="VYT8" s="52"/>
      <c r="VYU8" s="75"/>
      <c r="VZB8" s="52"/>
      <c r="VZC8" s="75"/>
      <c r="VZJ8" s="52"/>
      <c r="VZK8" s="75"/>
      <c r="VZR8" s="52"/>
      <c r="VZS8" s="75"/>
      <c r="VZZ8" s="52"/>
      <c r="WAA8" s="75"/>
      <c r="WAH8" s="52"/>
      <c r="WAI8" s="75"/>
      <c r="WAP8" s="52"/>
      <c r="WAQ8" s="75"/>
      <c r="WAX8" s="52"/>
      <c r="WAY8" s="75"/>
      <c r="WBF8" s="52"/>
      <c r="WBG8" s="75"/>
      <c r="WBN8" s="52"/>
      <c r="WBO8" s="75"/>
      <c r="WBV8" s="52"/>
      <c r="WBW8" s="75"/>
      <c r="WCD8" s="52"/>
      <c r="WCE8" s="75"/>
      <c r="WCL8" s="52"/>
      <c r="WCM8" s="75"/>
      <c r="WCT8" s="52"/>
      <c r="WCU8" s="75"/>
      <c r="WDB8" s="52"/>
      <c r="WDC8" s="75"/>
      <c r="WDJ8" s="52"/>
      <c r="WDK8" s="75"/>
      <c r="WDR8" s="52"/>
      <c r="WDS8" s="75"/>
      <c r="WDZ8" s="52"/>
      <c r="WEA8" s="75"/>
      <c r="WEH8" s="52"/>
      <c r="WEI8" s="75"/>
      <c r="WEP8" s="52"/>
      <c r="WEQ8" s="75"/>
      <c r="WEX8" s="52"/>
      <c r="WEY8" s="75"/>
      <c r="WFF8" s="52"/>
      <c r="WFG8" s="75"/>
      <c r="WFN8" s="52"/>
      <c r="WFO8" s="75"/>
      <c r="WFV8" s="52"/>
      <c r="WFW8" s="75"/>
      <c r="WGD8" s="52"/>
      <c r="WGE8" s="75"/>
      <c r="WGL8" s="52"/>
      <c r="WGM8" s="75"/>
      <c r="WGT8" s="52"/>
      <c r="WGU8" s="75"/>
      <c r="WHB8" s="52"/>
      <c r="WHC8" s="75"/>
      <c r="WHJ8" s="52"/>
      <c r="WHK8" s="75"/>
      <c r="WHR8" s="52"/>
      <c r="WHS8" s="75"/>
      <c r="WHZ8" s="52"/>
      <c r="WIA8" s="75"/>
      <c r="WIH8" s="52"/>
      <c r="WII8" s="75"/>
      <c r="WIP8" s="52"/>
      <c r="WIQ8" s="75"/>
      <c r="WIX8" s="52"/>
      <c r="WIY8" s="75"/>
      <c r="WJF8" s="52"/>
      <c r="WJG8" s="75"/>
      <c r="WJN8" s="52"/>
      <c r="WJO8" s="75"/>
      <c r="WJV8" s="52"/>
      <c r="WJW8" s="75"/>
      <c r="WKD8" s="52"/>
      <c r="WKE8" s="75"/>
      <c r="WKL8" s="52"/>
      <c r="WKM8" s="75"/>
      <c r="WKT8" s="52"/>
      <c r="WKU8" s="75"/>
      <c r="WLB8" s="52"/>
      <c r="WLC8" s="75"/>
      <c r="WLJ8" s="52"/>
      <c r="WLK8" s="75"/>
      <c r="WLR8" s="52"/>
      <c r="WLS8" s="75"/>
      <c r="WLZ8" s="52"/>
      <c r="WMA8" s="75"/>
      <c r="WMH8" s="52"/>
      <c r="WMI8" s="75"/>
      <c r="WMP8" s="52"/>
      <c r="WMQ8" s="75"/>
      <c r="WMX8" s="52"/>
      <c r="WMY8" s="75"/>
      <c r="WNF8" s="52"/>
      <c r="WNG8" s="75"/>
      <c r="WNN8" s="52"/>
      <c r="WNO8" s="75"/>
      <c r="WNV8" s="52"/>
      <c r="WNW8" s="75"/>
      <c r="WOD8" s="52"/>
      <c r="WOE8" s="75"/>
      <c r="WOL8" s="52"/>
      <c r="WOM8" s="75"/>
      <c r="WOT8" s="52"/>
      <c r="WOU8" s="75"/>
      <c r="WPB8" s="52"/>
      <c r="WPC8" s="75"/>
      <c r="WPJ8" s="52"/>
      <c r="WPK8" s="75"/>
      <c r="WPR8" s="52"/>
      <c r="WPS8" s="75"/>
      <c r="WPZ8" s="52"/>
      <c r="WQA8" s="75"/>
      <c r="WQH8" s="52"/>
      <c r="WQI8" s="75"/>
      <c r="WQP8" s="52"/>
      <c r="WQQ8" s="75"/>
      <c r="WQX8" s="52"/>
      <c r="WQY8" s="75"/>
      <c r="WRF8" s="52"/>
      <c r="WRG8" s="75"/>
      <c r="WRN8" s="52"/>
      <c r="WRO8" s="75"/>
      <c r="WRV8" s="52"/>
      <c r="WRW8" s="75"/>
      <c r="WSD8" s="52"/>
      <c r="WSE8" s="75"/>
      <c r="WSL8" s="52"/>
      <c r="WSM8" s="75"/>
      <c r="WST8" s="52"/>
      <c r="WSU8" s="75"/>
      <c r="WTB8" s="52"/>
      <c r="WTC8" s="75"/>
      <c r="WTJ8" s="52"/>
      <c r="WTK8" s="75"/>
      <c r="WTR8" s="52"/>
      <c r="WTS8" s="75"/>
      <c r="WTZ8" s="52"/>
      <c r="WUA8" s="75"/>
      <c r="WUH8" s="52"/>
      <c r="WUI8" s="75"/>
      <c r="WUP8" s="52"/>
      <c r="WUQ8" s="75"/>
      <c r="WUX8" s="52"/>
      <c r="WUY8" s="75"/>
      <c r="WVF8" s="52"/>
      <c r="WVG8" s="75"/>
      <c r="WVN8" s="52"/>
      <c r="WVO8" s="75"/>
      <c r="WVV8" s="52"/>
      <c r="WVW8" s="75"/>
      <c r="WWD8" s="52"/>
      <c r="WWE8" s="75"/>
      <c r="WWL8" s="52"/>
      <c r="WWM8" s="75"/>
      <c r="WWT8" s="52"/>
      <c r="WWU8" s="75"/>
      <c r="WXB8" s="52"/>
      <c r="WXC8" s="75"/>
      <c r="WXJ8" s="52"/>
      <c r="WXK8" s="75"/>
      <c r="WXR8" s="52"/>
      <c r="WXS8" s="75"/>
      <c r="WXZ8" s="52"/>
      <c r="WYA8" s="75"/>
      <c r="WYH8" s="52"/>
      <c r="WYI8" s="75"/>
      <c r="WYP8" s="52"/>
      <c r="WYQ8" s="75"/>
      <c r="WYX8" s="52"/>
      <c r="WYY8" s="75"/>
      <c r="WZF8" s="52"/>
      <c r="WZG8" s="75"/>
      <c r="WZN8" s="52"/>
      <c r="WZO8" s="75"/>
      <c r="WZV8" s="52"/>
      <c r="WZW8" s="75"/>
      <c r="XAD8" s="52"/>
      <c r="XAE8" s="75"/>
      <c r="XAL8" s="52"/>
      <c r="XAM8" s="75"/>
      <c r="XAT8" s="52"/>
      <c r="XAU8" s="75"/>
      <c r="XBB8" s="52"/>
      <c r="XBC8" s="75"/>
      <c r="XBJ8" s="52"/>
      <c r="XBK8" s="75"/>
      <c r="XBR8" s="52"/>
      <c r="XBS8" s="75"/>
      <c r="XBZ8" s="52"/>
      <c r="XCA8" s="75"/>
      <c r="XCH8" s="52"/>
      <c r="XCI8" s="75"/>
      <c r="XCP8" s="52"/>
      <c r="XCQ8" s="75"/>
      <c r="XCX8" s="52"/>
      <c r="XCY8" s="75"/>
      <c r="XDF8" s="52"/>
      <c r="XDG8" s="75"/>
    </row>
    <row r="9" spans="1:1023 1030:2047 2054:3071 3078:4095 4102:5119 5126:6143 6150:7167 7174:8191 8198:9215 9222:10239 10246:11263 11270:12287 12294:13311 13318:14335 14342:15359 15366:16335" s="4" customFormat="1" ht="6" customHeight="1">
      <c r="B9" s="82"/>
      <c r="C9" s="89"/>
      <c r="D9" s="88"/>
      <c r="E9" s="89"/>
      <c r="F9" s="89"/>
      <c r="G9" s="89"/>
      <c r="H9" s="88"/>
      <c r="I9" s="89"/>
      <c r="J9" s="89"/>
      <c r="K9" s="89"/>
      <c r="L9" s="88"/>
      <c r="M9" s="89"/>
      <c r="N9" s="89"/>
      <c r="O9" s="89"/>
      <c r="P9" s="85"/>
      <c r="Q9" s="85"/>
      <c r="R9" s="85"/>
      <c r="S9" s="85"/>
      <c r="T9" s="85"/>
      <c r="U9" s="85"/>
      <c r="V9" s="85"/>
    </row>
    <row r="10" spans="1:1023 1030:2047 2054:3071 3078:4095 4102:5119 5126:6143 6150:7167 7174:8191 8198:9215 9222:10239 10246:11263 11270:12287 12294:13311 13318:14335 14342:15359 15366:16335" s="54" customFormat="1" ht="15" customHeight="1" thickBot="1">
      <c r="A10" s="4"/>
      <c r="B10" s="52" t="s">
        <v>185</v>
      </c>
      <c r="N10" s="55"/>
      <c r="O10" s="55"/>
      <c r="V10" s="55"/>
      <c r="W10" s="72"/>
      <c r="X10" s="73"/>
      <c r="Y10" s="73"/>
      <c r="Z10" s="73"/>
      <c r="AA10" s="73"/>
      <c r="AB10" s="73"/>
      <c r="AC10" s="73"/>
      <c r="AD10" s="74"/>
      <c r="AE10" s="72"/>
      <c r="AF10" s="73"/>
      <c r="AG10" s="73"/>
      <c r="AH10" s="73"/>
      <c r="AI10" s="73"/>
      <c r="AJ10" s="73"/>
      <c r="AK10" s="73"/>
      <c r="AL10" s="74"/>
      <c r="AM10" s="72"/>
      <c r="AN10" s="73"/>
      <c r="AO10" s="73"/>
      <c r="AP10" s="73"/>
      <c r="AQ10" s="73"/>
      <c r="AR10" s="73"/>
      <c r="AS10" s="73"/>
      <c r="AT10" s="74"/>
      <c r="AU10" s="72"/>
      <c r="AV10" s="73"/>
      <c r="AW10" s="73"/>
      <c r="AX10" s="73"/>
      <c r="AY10" s="73"/>
      <c r="AZ10" s="73"/>
      <c r="BA10" s="73"/>
      <c r="BB10" s="74"/>
      <c r="BC10" s="72"/>
      <c r="BD10" s="73"/>
      <c r="BE10" s="73"/>
      <c r="BF10" s="73"/>
      <c r="BG10" s="73"/>
      <c r="BH10" s="73"/>
      <c r="BI10" s="73"/>
      <c r="BJ10" s="74"/>
      <c r="BK10" s="72"/>
      <c r="BL10" s="73"/>
      <c r="BM10" s="73"/>
      <c r="BN10" s="73"/>
      <c r="BO10" s="73"/>
      <c r="BP10" s="73"/>
      <c r="BQ10" s="73"/>
      <c r="BR10" s="74"/>
      <c r="BS10" s="72"/>
      <c r="BT10" s="73"/>
      <c r="BU10" s="73"/>
      <c r="BV10" s="73"/>
      <c r="BW10" s="73"/>
      <c r="BX10" s="73"/>
      <c r="BY10" s="73"/>
      <c r="BZ10" s="74"/>
      <c r="CA10" s="72"/>
      <c r="CB10" s="73"/>
      <c r="CC10" s="73"/>
      <c r="CD10" s="73"/>
      <c r="CE10" s="73"/>
      <c r="CF10" s="73"/>
      <c r="CG10" s="73"/>
      <c r="CH10" s="74"/>
      <c r="CI10" s="72"/>
      <c r="CJ10" s="73"/>
      <c r="CK10" s="73"/>
      <c r="CL10" s="73"/>
      <c r="CM10" s="73"/>
      <c r="CN10" s="73"/>
      <c r="CO10" s="73"/>
      <c r="CP10" s="52"/>
      <c r="CQ10" s="75"/>
      <c r="CX10" s="52"/>
      <c r="CY10" s="75"/>
      <c r="DF10" s="52"/>
      <c r="DG10" s="75"/>
      <c r="DN10" s="52"/>
      <c r="DO10" s="75"/>
      <c r="DV10" s="52"/>
      <c r="DW10" s="75"/>
      <c r="ED10" s="52"/>
      <c r="EE10" s="75"/>
      <c r="EL10" s="52"/>
      <c r="EM10" s="75"/>
      <c r="ET10" s="52"/>
      <c r="EU10" s="75"/>
      <c r="FB10" s="52"/>
      <c r="FC10" s="75"/>
      <c r="FJ10" s="52"/>
      <c r="FK10" s="75"/>
      <c r="FR10" s="52"/>
      <c r="FS10" s="75"/>
      <c r="FZ10" s="52"/>
      <c r="GA10" s="75"/>
      <c r="GH10" s="52"/>
      <c r="GI10" s="75"/>
      <c r="GP10" s="52"/>
      <c r="GQ10" s="75"/>
      <c r="GX10" s="52"/>
      <c r="GY10" s="75"/>
      <c r="HF10" s="52"/>
      <c r="HG10" s="75"/>
      <c r="HN10" s="52"/>
      <c r="HO10" s="75"/>
      <c r="HV10" s="52"/>
      <c r="HW10" s="75"/>
      <c r="ID10" s="52"/>
      <c r="IE10" s="75"/>
      <c r="IL10" s="52"/>
      <c r="IM10" s="75"/>
      <c r="IT10" s="52"/>
      <c r="IU10" s="75"/>
      <c r="JB10" s="52"/>
      <c r="JC10" s="75"/>
      <c r="JJ10" s="52"/>
      <c r="JK10" s="75"/>
      <c r="JR10" s="52"/>
      <c r="JS10" s="75"/>
      <c r="JZ10" s="52"/>
      <c r="KA10" s="75"/>
      <c r="KH10" s="52"/>
      <c r="KI10" s="75"/>
      <c r="KP10" s="52"/>
      <c r="KQ10" s="75"/>
      <c r="KX10" s="52"/>
      <c r="KY10" s="75"/>
      <c r="LF10" s="52"/>
      <c r="LG10" s="75"/>
      <c r="LN10" s="52"/>
      <c r="LO10" s="75"/>
      <c r="LV10" s="52"/>
      <c r="LW10" s="75"/>
      <c r="MD10" s="52"/>
      <c r="ME10" s="75"/>
      <c r="ML10" s="52"/>
      <c r="MM10" s="75"/>
      <c r="MT10" s="52"/>
      <c r="MU10" s="75"/>
      <c r="NB10" s="52"/>
      <c r="NC10" s="75"/>
      <c r="NJ10" s="52"/>
      <c r="NK10" s="75"/>
      <c r="NR10" s="52"/>
      <c r="NS10" s="75"/>
      <c r="NZ10" s="52"/>
      <c r="OA10" s="75"/>
      <c r="OH10" s="52"/>
      <c r="OI10" s="75"/>
      <c r="OP10" s="52"/>
      <c r="OQ10" s="75"/>
      <c r="OX10" s="52"/>
      <c r="OY10" s="75"/>
      <c r="PF10" s="52"/>
      <c r="PG10" s="75"/>
      <c r="PN10" s="52"/>
      <c r="PO10" s="75"/>
      <c r="PV10" s="52"/>
      <c r="PW10" s="75"/>
      <c r="QD10" s="52"/>
      <c r="QE10" s="75"/>
      <c r="QL10" s="52"/>
      <c r="QM10" s="75"/>
      <c r="QT10" s="52"/>
      <c r="QU10" s="75"/>
      <c r="RB10" s="52"/>
      <c r="RC10" s="75"/>
      <c r="RJ10" s="52"/>
      <c r="RK10" s="75"/>
      <c r="RR10" s="52"/>
      <c r="RS10" s="75"/>
      <c r="RZ10" s="52"/>
      <c r="SA10" s="75"/>
      <c r="SH10" s="52"/>
      <c r="SI10" s="75"/>
      <c r="SP10" s="52"/>
      <c r="SQ10" s="75"/>
      <c r="SX10" s="52"/>
      <c r="SY10" s="75"/>
      <c r="TF10" s="52"/>
      <c r="TG10" s="75"/>
      <c r="TN10" s="52"/>
      <c r="TO10" s="75"/>
      <c r="TV10" s="52"/>
      <c r="TW10" s="75"/>
      <c r="UD10" s="52"/>
      <c r="UE10" s="75"/>
      <c r="UL10" s="52"/>
      <c r="UM10" s="75"/>
      <c r="UT10" s="52"/>
      <c r="UU10" s="75"/>
      <c r="VB10" s="52"/>
      <c r="VC10" s="75"/>
      <c r="VJ10" s="52"/>
      <c r="VK10" s="75"/>
      <c r="VR10" s="52"/>
      <c r="VS10" s="75"/>
      <c r="VZ10" s="52"/>
      <c r="WA10" s="75"/>
      <c r="WH10" s="52"/>
      <c r="WI10" s="75"/>
      <c r="WP10" s="52"/>
      <c r="WQ10" s="75"/>
      <c r="WX10" s="52"/>
      <c r="WY10" s="75"/>
      <c r="XF10" s="52"/>
      <c r="XG10" s="75"/>
      <c r="XN10" s="52"/>
      <c r="XO10" s="75"/>
      <c r="XV10" s="52"/>
      <c r="XW10" s="75"/>
      <c r="YD10" s="52"/>
      <c r="YE10" s="75"/>
      <c r="YL10" s="52"/>
      <c r="YM10" s="75"/>
      <c r="YT10" s="52"/>
      <c r="YU10" s="75"/>
      <c r="ZB10" s="52"/>
      <c r="ZC10" s="75"/>
      <c r="ZJ10" s="52"/>
      <c r="ZK10" s="75"/>
      <c r="ZR10" s="52"/>
      <c r="ZS10" s="75"/>
      <c r="ZZ10" s="52"/>
      <c r="AAA10" s="75"/>
      <c r="AAH10" s="52"/>
      <c r="AAI10" s="75"/>
      <c r="AAP10" s="52"/>
      <c r="AAQ10" s="75"/>
      <c r="AAX10" s="52"/>
      <c r="AAY10" s="75"/>
      <c r="ABF10" s="52"/>
      <c r="ABG10" s="75"/>
      <c r="ABN10" s="52"/>
      <c r="ABO10" s="75"/>
      <c r="ABV10" s="52"/>
      <c r="ABW10" s="75"/>
      <c r="ACD10" s="52"/>
      <c r="ACE10" s="75"/>
      <c r="ACL10" s="52"/>
      <c r="ACM10" s="75"/>
      <c r="ACT10" s="52"/>
      <c r="ACU10" s="75"/>
      <c r="ADB10" s="52"/>
      <c r="ADC10" s="75"/>
      <c r="ADJ10" s="52"/>
      <c r="ADK10" s="75"/>
      <c r="ADR10" s="52"/>
      <c r="ADS10" s="75"/>
      <c r="ADZ10" s="52"/>
      <c r="AEA10" s="75"/>
      <c r="AEH10" s="52"/>
      <c r="AEI10" s="75"/>
      <c r="AEP10" s="52"/>
      <c r="AEQ10" s="75"/>
      <c r="AEX10" s="52"/>
      <c r="AEY10" s="75"/>
      <c r="AFF10" s="52"/>
      <c r="AFG10" s="75"/>
      <c r="AFN10" s="52"/>
      <c r="AFO10" s="75"/>
      <c r="AFV10" s="52"/>
      <c r="AFW10" s="75"/>
      <c r="AGD10" s="52"/>
      <c r="AGE10" s="75"/>
      <c r="AGL10" s="52"/>
      <c r="AGM10" s="75"/>
      <c r="AGT10" s="52"/>
      <c r="AGU10" s="75"/>
      <c r="AHB10" s="52"/>
      <c r="AHC10" s="75"/>
      <c r="AHJ10" s="52"/>
      <c r="AHK10" s="75"/>
      <c r="AHR10" s="52"/>
      <c r="AHS10" s="75"/>
      <c r="AHZ10" s="52"/>
      <c r="AIA10" s="75"/>
      <c r="AIH10" s="52"/>
      <c r="AII10" s="75"/>
      <c r="AIP10" s="52"/>
      <c r="AIQ10" s="75"/>
      <c r="AIX10" s="52"/>
      <c r="AIY10" s="75"/>
      <c r="AJF10" s="52"/>
      <c r="AJG10" s="75"/>
      <c r="AJN10" s="52"/>
      <c r="AJO10" s="75"/>
      <c r="AJV10" s="52"/>
      <c r="AJW10" s="75"/>
      <c r="AKD10" s="52"/>
      <c r="AKE10" s="75"/>
      <c r="AKL10" s="52"/>
      <c r="AKM10" s="75"/>
      <c r="AKT10" s="52"/>
      <c r="AKU10" s="75"/>
      <c r="ALB10" s="52"/>
      <c r="ALC10" s="75"/>
      <c r="ALJ10" s="52"/>
      <c r="ALK10" s="75"/>
      <c r="ALR10" s="52"/>
      <c r="ALS10" s="75"/>
      <c r="ALZ10" s="52"/>
      <c r="AMA10" s="75"/>
      <c r="AMH10" s="52"/>
      <c r="AMI10" s="75"/>
      <c r="AMP10" s="52"/>
      <c r="AMQ10" s="75"/>
      <c r="AMX10" s="52"/>
      <c r="AMY10" s="75"/>
      <c r="ANF10" s="52"/>
      <c r="ANG10" s="75"/>
      <c r="ANN10" s="52"/>
      <c r="ANO10" s="75"/>
      <c r="ANV10" s="52"/>
      <c r="ANW10" s="75"/>
      <c r="AOD10" s="52"/>
      <c r="AOE10" s="75"/>
      <c r="AOL10" s="52"/>
      <c r="AOM10" s="75"/>
      <c r="AOT10" s="52"/>
      <c r="AOU10" s="75"/>
      <c r="APB10" s="52"/>
      <c r="APC10" s="75"/>
      <c r="APJ10" s="52"/>
      <c r="APK10" s="75"/>
      <c r="APR10" s="52"/>
      <c r="APS10" s="75"/>
      <c r="APZ10" s="52"/>
      <c r="AQA10" s="75"/>
      <c r="AQH10" s="52"/>
      <c r="AQI10" s="75"/>
      <c r="AQP10" s="52"/>
      <c r="AQQ10" s="75"/>
      <c r="AQX10" s="52"/>
      <c r="AQY10" s="75"/>
      <c r="ARF10" s="52"/>
      <c r="ARG10" s="75"/>
      <c r="ARN10" s="52"/>
      <c r="ARO10" s="75"/>
      <c r="ARV10" s="52"/>
      <c r="ARW10" s="75"/>
      <c r="ASD10" s="52"/>
      <c r="ASE10" s="75"/>
      <c r="ASL10" s="52"/>
      <c r="ASM10" s="75"/>
      <c r="AST10" s="52"/>
      <c r="ASU10" s="75"/>
      <c r="ATB10" s="52"/>
      <c r="ATC10" s="75"/>
      <c r="ATJ10" s="52"/>
      <c r="ATK10" s="75"/>
      <c r="ATR10" s="52"/>
      <c r="ATS10" s="75"/>
      <c r="ATZ10" s="52"/>
      <c r="AUA10" s="75"/>
      <c r="AUH10" s="52"/>
      <c r="AUI10" s="75"/>
      <c r="AUP10" s="52"/>
      <c r="AUQ10" s="75"/>
      <c r="AUX10" s="52"/>
      <c r="AUY10" s="75"/>
      <c r="AVF10" s="52"/>
      <c r="AVG10" s="75"/>
      <c r="AVN10" s="52"/>
      <c r="AVO10" s="75"/>
      <c r="AVV10" s="52"/>
      <c r="AVW10" s="75"/>
      <c r="AWD10" s="52"/>
      <c r="AWE10" s="75"/>
      <c r="AWL10" s="52"/>
      <c r="AWM10" s="75"/>
      <c r="AWT10" s="52"/>
      <c r="AWU10" s="75"/>
      <c r="AXB10" s="52"/>
      <c r="AXC10" s="75"/>
      <c r="AXJ10" s="52"/>
      <c r="AXK10" s="75"/>
      <c r="AXR10" s="52"/>
      <c r="AXS10" s="75"/>
      <c r="AXZ10" s="52"/>
      <c r="AYA10" s="75"/>
      <c r="AYH10" s="52"/>
      <c r="AYI10" s="75"/>
      <c r="AYP10" s="52"/>
      <c r="AYQ10" s="75"/>
      <c r="AYX10" s="52"/>
      <c r="AYY10" s="75"/>
      <c r="AZF10" s="52"/>
      <c r="AZG10" s="75"/>
      <c r="AZN10" s="52"/>
      <c r="AZO10" s="75"/>
      <c r="AZV10" s="52"/>
      <c r="AZW10" s="75"/>
      <c r="BAD10" s="52"/>
      <c r="BAE10" s="75"/>
      <c r="BAL10" s="52"/>
      <c r="BAM10" s="75"/>
      <c r="BAT10" s="52"/>
      <c r="BAU10" s="75"/>
      <c r="BBB10" s="52"/>
      <c r="BBC10" s="75"/>
      <c r="BBJ10" s="52"/>
      <c r="BBK10" s="75"/>
      <c r="BBR10" s="52"/>
      <c r="BBS10" s="75"/>
      <c r="BBZ10" s="52"/>
      <c r="BCA10" s="75"/>
      <c r="BCH10" s="52"/>
      <c r="BCI10" s="75"/>
      <c r="BCP10" s="52"/>
      <c r="BCQ10" s="75"/>
      <c r="BCX10" s="52"/>
      <c r="BCY10" s="75"/>
      <c r="BDF10" s="52"/>
      <c r="BDG10" s="75"/>
      <c r="BDN10" s="52"/>
      <c r="BDO10" s="75"/>
      <c r="BDV10" s="52"/>
      <c r="BDW10" s="75"/>
      <c r="BED10" s="52"/>
      <c r="BEE10" s="75"/>
      <c r="BEL10" s="52"/>
      <c r="BEM10" s="75"/>
      <c r="BET10" s="52"/>
      <c r="BEU10" s="75"/>
      <c r="BFB10" s="52"/>
      <c r="BFC10" s="75"/>
      <c r="BFJ10" s="52"/>
      <c r="BFK10" s="75"/>
      <c r="BFR10" s="52"/>
      <c r="BFS10" s="75"/>
      <c r="BFZ10" s="52"/>
      <c r="BGA10" s="75"/>
      <c r="BGH10" s="52"/>
      <c r="BGI10" s="75"/>
      <c r="BGP10" s="52"/>
      <c r="BGQ10" s="75"/>
      <c r="BGX10" s="52"/>
      <c r="BGY10" s="75"/>
      <c r="BHF10" s="52"/>
      <c r="BHG10" s="75"/>
      <c r="BHN10" s="52"/>
      <c r="BHO10" s="75"/>
      <c r="BHV10" s="52"/>
      <c r="BHW10" s="75"/>
      <c r="BID10" s="52"/>
      <c r="BIE10" s="75"/>
      <c r="BIL10" s="52"/>
      <c r="BIM10" s="75"/>
      <c r="BIT10" s="52"/>
      <c r="BIU10" s="75"/>
      <c r="BJB10" s="52"/>
      <c r="BJC10" s="75"/>
      <c r="BJJ10" s="52"/>
      <c r="BJK10" s="75"/>
      <c r="BJR10" s="52"/>
      <c r="BJS10" s="75"/>
      <c r="BJZ10" s="52"/>
      <c r="BKA10" s="75"/>
      <c r="BKH10" s="52"/>
      <c r="BKI10" s="75"/>
      <c r="BKP10" s="52"/>
      <c r="BKQ10" s="75"/>
      <c r="BKX10" s="52"/>
      <c r="BKY10" s="75"/>
      <c r="BLF10" s="52"/>
      <c r="BLG10" s="75"/>
      <c r="BLN10" s="52"/>
      <c r="BLO10" s="75"/>
      <c r="BLV10" s="52"/>
      <c r="BLW10" s="75"/>
      <c r="BMD10" s="52"/>
      <c r="BME10" s="75"/>
      <c r="BML10" s="52"/>
      <c r="BMM10" s="75"/>
      <c r="BMT10" s="52"/>
      <c r="BMU10" s="75"/>
      <c r="BNB10" s="52"/>
      <c r="BNC10" s="75"/>
      <c r="BNJ10" s="52"/>
      <c r="BNK10" s="75"/>
      <c r="BNR10" s="52"/>
      <c r="BNS10" s="75"/>
      <c r="BNZ10" s="52"/>
      <c r="BOA10" s="75"/>
      <c r="BOH10" s="52"/>
      <c r="BOI10" s="75"/>
      <c r="BOP10" s="52"/>
      <c r="BOQ10" s="75"/>
      <c r="BOX10" s="52"/>
      <c r="BOY10" s="75"/>
      <c r="BPF10" s="52"/>
      <c r="BPG10" s="75"/>
      <c r="BPN10" s="52"/>
      <c r="BPO10" s="75"/>
      <c r="BPV10" s="52"/>
      <c r="BPW10" s="75"/>
      <c r="BQD10" s="52"/>
      <c r="BQE10" s="75"/>
      <c r="BQL10" s="52"/>
      <c r="BQM10" s="75"/>
      <c r="BQT10" s="52"/>
      <c r="BQU10" s="75"/>
      <c r="BRB10" s="52"/>
      <c r="BRC10" s="75"/>
      <c r="BRJ10" s="52"/>
      <c r="BRK10" s="75"/>
      <c r="BRR10" s="52"/>
      <c r="BRS10" s="75"/>
      <c r="BRZ10" s="52"/>
      <c r="BSA10" s="75"/>
      <c r="BSH10" s="52"/>
      <c r="BSI10" s="75"/>
      <c r="BSP10" s="52"/>
      <c r="BSQ10" s="75"/>
      <c r="BSX10" s="52"/>
      <c r="BSY10" s="75"/>
      <c r="BTF10" s="52"/>
      <c r="BTG10" s="75"/>
      <c r="BTN10" s="52"/>
      <c r="BTO10" s="75"/>
      <c r="BTV10" s="52"/>
      <c r="BTW10" s="75"/>
      <c r="BUD10" s="52"/>
      <c r="BUE10" s="75"/>
      <c r="BUL10" s="52"/>
      <c r="BUM10" s="75"/>
      <c r="BUT10" s="52"/>
      <c r="BUU10" s="75"/>
      <c r="BVB10" s="52"/>
      <c r="BVC10" s="75"/>
      <c r="BVJ10" s="52"/>
      <c r="BVK10" s="75"/>
      <c r="BVR10" s="52"/>
      <c r="BVS10" s="75"/>
      <c r="BVZ10" s="52"/>
      <c r="BWA10" s="75"/>
      <c r="BWH10" s="52"/>
      <c r="BWI10" s="75"/>
      <c r="BWP10" s="52"/>
      <c r="BWQ10" s="75"/>
      <c r="BWX10" s="52"/>
      <c r="BWY10" s="75"/>
      <c r="BXF10" s="52"/>
      <c r="BXG10" s="75"/>
      <c r="BXN10" s="52"/>
      <c r="BXO10" s="75"/>
      <c r="BXV10" s="52"/>
      <c r="BXW10" s="75"/>
      <c r="BYD10" s="52"/>
      <c r="BYE10" s="75"/>
      <c r="BYL10" s="52"/>
      <c r="BYM10" s="75"/>
      <c r="BYT10" s="52"/>
      <c r="BYU10" s="75"/>
      <c r="BZB10" s="52"/>
      <c r="BZC10" s="75"/>
      <c r="BZJ10" s="52"/>
      <c r="BZK10" s="75"/>
      <c r="BZR10" s="52"/>
      <c r="BZS10" s="75"/>
      <c r="BZZ10" s="52"/>
      <c r="CAA10" s="75"/>
      <c r="CAH10" s="52"/>
      <c r="CAI10" s="75"/>
      <c r="CAP10" s="52"/>
      <c r="CAQ10" s="75"/>
      <c r="CAX10" s="52"/>
      <c r="CAY10" s="75"/>
      <c r="CBF10" s="52"/>
      <c r="CBG10" s="75"/>
      <c r="CBN10" s="52"/>
      <c r="CBO10" s="75"/>
      <c r="CBV10" s="52"/>
      <c r="CBW10" s="75"/>
      <c r="CCD10" s="52"/>
      <c r="CCE10" s="75"/>
      <c r="CCL10" s="52"/>
      <c r="CCM10" s="75"/>
      <c r="CCT10" s="52"/>
      <c r="CCU10" s="75"/>
      <c r="CDB10" s="52"/>
      <c r="CDC10" s="75"/>
      <c r="CDJ10" s="52"/>
      <c r="CDK10" s="75"/>
      <c r="CDR10" s="52"/>
      <c r="CDS10" s="75"/>
      <c r="CDZ10" s="52"/>
      <c r="CEA10" s="75"/>
      <c r="CEH10" s="52"/>
      <c r="CEI10" s="75"/>
      <c r="CEP10" s="52"/>
      <c r="CEQ10" s="75"/>
      <c r="CEX10" s="52"/>
      <c r="CEY10" s="75"/>
      <c r="CFF10" s="52"/>
      <c r="CFG10" s="75"/>
      <c r="CFN10" s="52"/>
      <c r="CFO10" s="75"/>
      <c r="CFV10" s="52"/>
      <c r="CFW10" s="75"/>
      <c r="CGD10" s="52"/>
      <c r="CGE10" s="75"/>
      <c r="CGL10" s="52"/>
      <c r="CGM10" s="75"/>
      <c r="CGT10" s="52"/>
      <c r="CGU10" s="75"/>
      <c r="CHB10" s="52"/>
      <c r="CHC10" s="75"/>
      <c r="CHJ10" s="52"/>
      <c r="CHK10" s="75"/>
      <c r="CHR10" s="52"/>
      <c r="CHS10" s="75"/>
      <c r="CHZ10" s="52"/>
      <c r="CIA10" s="75"/>
      <c r="CIH10" s="52"/>
      <c r="CII10" s="75"/>
      <c r="CIP10" s="52"/>
      <c r="CIQ10" s="75"/>
      <c r="CIX10" s="52"/>
      <c r="CIY10" s="75"/>
      <c r="CJF10" s="52"/>
      <c r="CJG10" s="75"/>
      <c r="CJN10" s="52"/>
      <c r="CJO10" s="75"/>
      <c r="CJV10" s="52"/>
      <c r="CJW10" s="75"/>
      <c r="CKD10" s="52"/>
      <c r="CKE10" s="75"/>
      <c r="CKL10" s="52"/>
      <c r="CKM10" s="75"/>
      <c r="CKT10" s="52"/>
      <c r="CKU10" s="75"/>
      <c r="CLB10" s="52"/>
      <c r="CLC10" s="75"/>
      <c r="CLJ10" s="52"/>
      <c r="CLK10" s="75"/>
      <c r="CLR10" s="52"/>
      <c r="CLS10" s="75"/>
      <c r="CLZ10" s="52"/>
      <c r="CMA10" s="75"/>
      <c r="CMH10" s="52"/>
      <c r="CMI10" s="75"/>
      <c r="CMP10" s="52"/>
      <c r="CMQ10" s="75"/>
      <c r="CMX10" s="52"/>
      <c r="CMY10" s="75"/>
      <c r="CNF10" s="52"/>
      <c r="CNG10" s="75"/>
      <c r="CNN10" s="52"/>
      <c r="CNO10" s="75"/>
      <c r="CNV10" s="52"/>
      <c r="CNW10" s="75"/>
      <c r="COD10" s="52"/>
      <c r="COE10" s="75"/>
      <c r="COL10" s="52"/>
      <c r="COM10" s="75"/>
      <c r="COT10" s="52"/>
      <c r="COU10" s="75"/>
      <c r="CPB10" s="52"/>
      <c r="CPC10" s="75"/>
      <c r="CPJ10" s="52"/>
      <c r="CPK10" s="75"/>
      <c r="CPR10" s="52"/>
      <c r="CPS10" s="75"/>
      <c r="CPZ10" s="52"/>
      <c r="CQA10" s="75"/>
      <c r="CQH10" s="52"/>
      <c r="CQI10" s="75"/>
      <c r="CQP10" s="52"/>
      <c r="CQQ10" s="75"/>
      <c r="CQX10" s="52"/>
      <c r="CQY10" s="75"/>
      <c r="CRF10" s="52"/>
      <c r="CRG10" s="75"/>
      <c r="CRN10" s="52"/>
      <c r="CRO10" s="75"/>
      <c r="CRV10" s="52"/>
      <c r="CRW10" s="75"/>
      <c r="CSD10" s="52"/>
      <c r="CSE10" s="75"/>
      <c r="CSL10" s="52"/>
      <c r="CSM10" s="75"/>
      <c r="CST10" s="52"/>
      <c r="CSU10" s="75"/>
      <c r="CTB10" s="52"/>
      <c r="CTC10" s="75"/>
      <c r="CTJ10" s="52"/>
      <c r="CTK10" s="75"/>
      <c r="CTR10" s="52"/>
      <c r="CTS10" s="75"/>
      <c r="CTZ10" s="52"/>
      <c r="CUA10" s="75"/>
      <c r="CUH10" s="52"/>
      <c r="CUI10" s="75"/>
      <c r="CUP10" s="52"/>
      <c r="CUQ10" s="75"/>
      <c r="CUX10" s="52"/>
      <c r="CUY10" s="75"/>
      <c r="CVF10" s="52"/>
      <c r="CVG10" s="75"/>
      <c r="CVN10" s="52"/>
      <c r="CVO10" s="75"/>
      <c r="CVV10" s="52"/>
      <c r="CVW10" s="75"/>
      <c r="CWD10" s="52"/>
      <c r="CWE10" s="75"/>
      <c r="CWL10" s="52"/>
      <c r="CWM10" s="75"/>
      <c r="CWT10" s="52"/>
      <c r="CWU10" s="75"/>
      <c r="CXB10" s="52"/>
      <c r="CXC10" s="75"/>
      <c r="CXJ10" s="52"/>
      <c r="CXK10" s="75"/>
      <c r="CXR10" s="52"/>
      <c r="CXS10" s="75"/>
      <c r="CXZ10" s="52"/>
      <c r="CYA10" s="75"/>
      <c r="CYH10" s="52"/>
      <c r="CYI10" s="75"/>
      <c r="CYP10" s="52"/>
      <c r="CYQ10" s="75"/>
      <c r="CYX10" s="52"/>
      <c r="CYY10" s="75"/>
      <c r="CZF10" s="52"/>
      <c r="CZG10" s="75"/>
      <c r="CZN10" s="52"/>
      <c r="CZO10" s="75"/>
      <c r="CZV10" s="52"/>
      <c r="CZW10" s="75"/>
      <c r="DAD10" s="52"/>
      <c r="DAE10" s="75"/>
      <c r="DAL10" s="52"/>
      <c r="DAM10" s="75"/>
      <c r="DAT10" s="52"/>
      <c r="DAU10" s="75"/>
      <c r="DBB10" s="52"/>
      <c r="DBC10" s="75"/>
      <c r="DBJ10" s="52"/>
      <c r="DBK10" s="75"/>
      <c r="DBR10" s="52"/>
      <c r="DBS10" s="75"/>
      <c r="DBZ10" s="52"/>
      <c r="DCA10" s="75"/>
      <c r="DCH10" s="52"/>
      <c r="DCI10" s="75"/>
      <c r="DCP10" s="52"/>
      <c r="DCQ10" s="75"/>
      <c r="DCX10" s="52"/>
      <c r="DCY10" s="75"/>
      <c r="DDF10" s="52"/>
      <c r="DDG10" s="75"/>
      <c r="DDN10" s="52"/>
      <c r="DDO10" s="75"/>
      <c r="DDV10" s="52"/>
      <c r="DDW10" s="75"/>
      <c r="DED10" s="52"/>
      <c r="DEE10" s="75"/>
      <c r="DEL10" s="52"/>
      <c r="DEM10" s="75"/>
      <c r="DET10" s="52"/>
      <c r="DEU10" s="75"/>
      <c r="DFB10" s="52"/>
      <c r="DFC10" s="75"/>
      <c r="DFJ10" s="52"/>
      <c r="DFK10" s="75"/>
      <c r="DFR10" s="52"/>
      <c r="DFS10" s="75"/>
      <c r="DFZ10" s="52"/>
      <c r="DGA10" s="75"/>
      <c r="DGH10" s="52"/>
      <c r="DGI10" s="75"/>
      <c r="DGP10" s="52"/>
      <c r="DGQ10" s="75"/>
      <c r="DGX10" s="52"/>
      <c r="DGY10" s="75"/>
      <c r="DHF10" s="52"/>
      <c r="DHG10" s="75"/>
      <c r="DHN10" s="52"/>
      <c r="DHO10" s="75"/>
      <c r="DHV10" s="52"/>
      <c r="DHW10" s="75"/>
      <c r="DID10" s="52"/>
      <c r="DIE10" s="75"/>
      <c r="DIL10" s="52"/>
      <c r="DIM10" s="75"/>
      <c r="DIT10" s="52"/>
      <c r="DIU10" s="75"/>
      <c r="DJB10" s="52"/>
      <c r="DJC10" s="75"/>
      <c r="DJJ10" s="52"/>
      <c r="DJK10" s="75"/>
      <c r="DJR10" s="52"/>
      <c r="DJS10" s="75"/>
      <c r="DJZ10" s="52"/>
      <c r="DKA10" s="75"/>
      <c r="DKH10" s="52"/>
      <c r="DKI10" s="75"/>
      <c r="DKP10" s="52"/>
      <c r="DKQ10" s="75"/>
      <c r="DKX10" s="52"/>
      <c r="DKY10" s="75"/>
      <c r="DLF10" s="52"/>
      <c r="DLG10" s="75"/>
      <c r="DLN10" s="52"/>
      <c r="DLO10" s="75"/>
      <c r="DLV10" s="52"/>
      <c r="DLW10" s="75"/>
      <c r="DMD10" s="52"/>
      <c r="DME10" s="75"/>
      <c r="DML10" s="52"/>
      <c r="DMM10" s="75"/>
      <c r="DMT10" s="52"/>
      <c r="DMU10" s="75"/>
      <c r="DNB10" s="52"/>
      <c r="DNC10" s="75"/>
      <c r="DNJ10" s="52"/>
      <c r="DNK10" s="75"/>
      <c r="DNR10" s="52"/>
      <c r="DNS10" s="75"/>
      <c r="DNZ10" s="52"/>
      <c r="DOA10" s="75"/>
      <c r="DOH10" s="52"/>
      <c r="DOI10" s="75"/>
      <c r="DOP10" s="52"/>
      <c r="DOQ10" s="75"/>
      <c r="DOX10" s="52"/>
      <c r="DOY10" s="75"/>
      <c r="DPF10" s="52"/>
      <c r="DPG10" s="75"/>
      <c r="DPN10" s="52"/>
      <c r="DPO10" s="75"/>
      <c r="DPV10" s="52"/>
      <c r="DPW10" s="75"/>
      <c r="DQD10" s="52"/>
      <c r="DQE10" s="75"/>
      <c r="DQL10" s="52"/>
      <c r="DQM10" s="75"/>
      <c r="DQT10" s="52"/>
      <c r="DQU10" s="75"/>
      <c r="DRB10" s="52"/>
      <c r="DRC10" s="75"/>
      <c r="DRJ10" s="52"/>
      <c r="DRK10" s="75"/>
      <c r="DRR10" s="52"/>
      <c r="DRS10" s="75"/>
      <c r="DRZ10" s="52"/>
      <c r="DSA10" s="75"/>
      <c r="DSH10" s="52"/>
      <c r="DSI10" s="75"/>
      <c r="DSP10" s="52"/>
      <c r="DSQ10" s="75"/>
      <c r="DSX10" s="52"/>
      <c r="DSY10" s="75"/>
      <c r="DTF10" s="52"/>
      <c r="DTG10" s="75"/>
      <c r="DTN10" s="52"/>
      <c r="DTO10" s="75"/>
      <c r="DTV10" s="52"/>
      <c r="DTW10" s="75"/>
      <c r="DUD10" s="52"/>
      <c r="DUE10" s="75"/>
      <c r="DUL10" s="52"/>
      <c r="DUM10" s="75"/>
      <c r="DUT10" s="52"/>
      <c r="DUU10" s="75"/>
      <c r="DVB10" s="52"/>
      <c r="DVC10" s="75"/>
      <c r="DVJ10" s="52"/>
      <c r="DVK10" s="75"/>
      <c r="DVR10" s="52"/>
      <c r="DVS10" s="75"/>
      <c r="DVZ10" s="52"/>
      <c r="DWA10" s="75"/>
      <c r="DWH10" s="52"/>
      <c r="DWI10" s="75"/>
      <c r="DWP10" s="52"/>
      <c r="DWQ10" s="75"/>
      <c r="DWX10" s="52"/>
      <c r="DWY10" s="75"/>
      <c r="DXF10" s="52"/>
      <c r="DXG10" s="75"/>
      <c r="DXN10" s="52"/>
      <c r="DXO10" s="75"/>
      <c r="DXV10" s="52"/>
      <c r="DXW10" s="75"/>
      <c r="DYD10" s="52"/>
      <c r="DYE10" s="75"/>
      <c r="DYL10" s="52"/>
      <c r="DYM10" s="75"/>
      <c r="DYT10" s="52"/>
      <c r="DYU10" s="75"/>
      <c r="DZB10" s="52"/>
      <c r="DZC10" s="75"/>
      <c r="DZJ10" s="52"/>
      <c r="DZK10" s="75"/>
      <c r="DZR10" s="52"/>
      <c r="DZS10" s="75"/>
      <c r="DZZ10" s="52"/>
      <c r="EAA10" s="75"/>
      <c r="EAH10" s="52"/>
      <c r="EAI10" s="75"/>
      <c r="EAP10" s="52"/>
      <c r="EAQ10" s="75"/>
      <c r="EAX10" s="52"/>
      <c r="EAY10" s="75"/>
      <c r="EBF10" s="52"/>
      <c r="EBG10" s="75"/>
      <c r="EBN10" s="52"/>
      <c r="EBO10" s="75"/>
      <c r="EBV10" s="52"/>
      <c r="EBW10" s="75"/>
      <c r="ECD10" s="52"/>
      <c r="ECE10" s="75"/>
      <c r="ECL10" s="52"/>
      <c r="ECM10" s="75"/>
      <c r="ECT10" s="52"/>
      <c r="ECU10" s="75"/>
      <c r="EDB10" s="52"/>
      <c r="EDC10" s="75"/>
      <c r="EDJ10" s="52"/>
      <c r="EDK10" s="75"/>
      <c r="EDR10" s="52"/>
      <c r="EDS10" s="75"/>
      <c r="EDZ10" s="52"/>
      <c r="EEA10" s="75"/>
      <c r="EEH10" s="52"/>
      <c r="EEI10" s="75"/>
      <c r="EEP10" s="52"/>
      <c r="EEQ10" s="75"/>
      <c r="EEX10" s="52"/>
      <c r="EEY10" s="75"/>
      <c r="EFF10" s="52"/>
      <c r="EFG10" s="75"/>
      <c r="EFN10" s="52"/>
      <c r="EFO10" s="75"/>
      <c r="EFV10" s="52"/>
      <c r="EFW10" s="75"/>
      <c r="EGD10" s="52"/>
      <c r="EGE10" s="75"/>
      <c r="EGL10" s="52"/>
      <c r="EGM10" s="75"/>
      <c r="EGT10" s="52"/>
      <c r="EGU10" s="75"/>
      <c r="EHB10" s="52"/>
      <c r="EHC10" s="75"/>
      <c r="EHJ10" s="52"/>
      <c r="EHK10" s="75"/>
      <c r="EHR10" s="52"/>
      <c r="EHS10" s="75"/>
      <c r="EHZ10" s="52"/>
      <c r="EIA10" s="75"/>
      <c r="EIH10" s="52"/>
      <c r="EII10" s="75"/>
      <c r="EIP10" s="52"/>
      <c r="EIQ10" s="75"/>
      <c r="EIX10" s="52"/>
      <c r="EIY10" s="75"/>
      <c r="EJF10" s="52"/>
      <c r="EJG10" s="75"/>
      <c r="EJN10" s="52"/>
      <c r="EJO10" s="75"/>
      <c r="EJV10" s="52"/>
      <c r="EJW10" s="75"/>
      <c r="EKD10" s="52"/>
      <c r="EKE10" s="75"/>
      <c r="EKL10" s="52"/>
      <c r="EKM10" s="75"/>
      <c r="EKT10" s="52"/>
      <c r="EKU10" s="75"/>
      <c r="ELB10" s="52"/>
      <c r="ELC10" s="75"/>
      <c r="ELJ10" s="52"/>
      <c r="ELK10" s="75"/>
      <c r="ELR10" s="52"/>
      <c r="ELS10" s="75"/>
      <c r="ELZ10" s="52"/>
      <c r="EMA10" s="75"/>
      <c r="EMH10" s="52"/>
      <c r="EMI10" s="75"/>
      <c r="EMP10" s="52"/>
      <c r="EMQ10" s="75"/>
      <c r="EMX10" s="52"/>
      <c r="EMY10" s="75"/>
      <c r="ENF10" s="52"/>
      <c r="ENG10" s="75"/>
      <c r="ENN10" s="52"/>
      <c r="ENO10" s="75"/>
      <c r="ENV10" s="52"/>
      <c r="ENW10" s="75"/>
      <c r="EOD10" s="52"/>
      <c r="EOE10" s="75"/>
      <c r="EOL10" s="52"/>
      <c r="EOM10" s="75"/>
      <c r="EOT10" s="52"/>
      <c r="EOU10" s="75"/>
      <c r="EPB10" s="52"/>
      <c r="EPC10" s="75"/>
      <c r="EPJ10" s="52"/>
      <c r="EPK10" s="75"/>
      <c r="EPR10" s="52"/>
      <c r="EPS10" s="75"/>
      <c r="EPZ10" s="52"/>
      <c r="EQA10" s="75"/>
      <c r="EQH10" s="52"/>
      <c r="EQI10" s="75"/>
      <c r="EQP10" s="52"/>
      <c r="EQQ10" s="75"/>
      <c r="EQX10" s="52"/>
      <c r="EQY10" s="75"/>
      <c r="ERF10" s="52"/>
      <c r="ERG10" s="75"/>
      <c r="ERN10" s="52"/>
      <c r="ERO10" s="75"/>
      <c r="ERV10" s="52"/>
      <c r="ERW10" s="75"/>
      <c r="ESD10" s="52"/>
      <c r="ESE10" s="75"/>
      <c r="ESL10" s="52"/>
      <c r="ESM10" s="75"/>
      <c r="EST10" s="52"/>
      <c r="ESU10" s="75"/>
      <c r="ETB10" s="52"/>
      <c r="ETC10" s="75"/>
      <c r="ETJ10" s="52"/>
      <c r="ETK10" s="75"/>
      <c r="ETR10" s="52"/>
      <c r="ETS10" s="75"/>
      <c r="ETZ10" s="52"/>
      <c r="EUA10" s="75"/>
      <c r="EUH10" s="52"/>
      <c r="EUI10" s="75"/>
      <c r="EUP10" s="52"/>
      <c r="EUQ10" s="75"/>
      <c r="EUX10" s="52"/>
      <c r="EUY10" s="75"/>
      <c r="EVF10" s="52"/>
      <c r="EVG10" s="75"/>
      <c r="EVN10" s="52"/>
      <c r="EVO10" s="75"/>
      <c r="EVV10" s="52"/>
      <c r="EVW10" s="75"/>
      <c r="EWD10" s="52"/>
      <c r="EWE10" s="75"/>
      <c r="EWL10" s="52"/>
      <c r="EWM10" s="75"/>
      <c r="EWT10" s="52"/>
      <c r="EWU10" s="75"/>
      <c r="EXB10" s="52"/>
      <c r="EXC10" s="75"/>
      <c r="EXJ10" s="52"/>
      <c r="EXK10" s="75"/>
      <c r="EXR10" s="52"/>
      <c r="EXS10" s="75"/>
      <c r="EXZ10" s="52"/>
      <c r="EYA10" s="75"/>
      <c r="EYH10" s="52"/>
      <c r="EYI10" s="75"/>
      <c r="EYP10" s="52"/>
      <c r="EYQ10" s="75"/>
      <c r="EYX10" s="52"/>
      <c r="EYY10" s="75"/>
      <c r="EZF10" s="52"/>
      <c r="EZG10" s="75"/>
      <c r="EZN10" s="52"/>
      <c r="EZO10" s="75"/>
      <c r="EZV10" s="52"/>
      <c r="EZW10" s="75"/>
      <c r="FAD10" s="52"/>
      <c r="FAE10" s="75"/>
      <c r="FAL10" s="52"/>
      <c r="FAM10" s="75"/>
      <c r="FAT10" s="52"/>
      <c r="FAU10" s="75"/>
      <c r="FBB10" s="52"/>
      <c r="FBC10" s="75"/>
      <c r="FBJ10" s="52"/>
      <c r="FBK10" s="75"/>
      <c r="FBR10" s="52"/>
      <c r="FBS10" s="75"/>
      <c r="FBZ10" s="52"/>
      <c r="FCA10" s="75"/>
      <c r="FCH10" s="52"/>
      <c r="FCI10" s="75"/>
      <c r="FCP10" s="52"/>
      <c r="FCQ10" s="75"/>
      <c r="FCX10" s="52"/>
      <c r="FCY10" s="75"/>
      <c r="FDF10" s="52"/>
      <c r="FDG10" s="75"/>
      <c r="FDN10" s="52"/>
      <c r="FDO10" s="75"/>
      <c r="FDV10" s="52"/>
      <c r="FDW10" s="75"/>
      <c r="FED10" s="52"/>
      <c r="FEE10" s="75"/>
      <c r="FEL10" s="52"/>
      <c r="FEM10" s="75"/>
      <c r="FET10" s="52"/>
      <c r="FEU10" s="75"/>
      <c r="FFB10" s="52"/>
      <c r="FFC10" s="75"/>
      <c r="FFJ10" s="52"/>
      <c r="FFK10" s="75"/>
      <c r="FFR10" s="52"/>
      <c r="FFS10" s="75"/>
      <c r="FFZ10" s="52"/>
      <c r="FGA10" s="75"/>
      <c r="FGH10" s="52"/>
      <c r="FGI10" s="75"/>
      <c r="FGP10" s="52"/>
      <c r="FGQ10" s="75"/>
      <c r="FGX10" s="52"/>
      <c r="FGY10" s="75"/>
      <c r="FHF10" s="52"/>
      <c r="FHG10" s="75"/>
      <c r="FHN10" s="52"/>
      <c r="FHO10" s="75"/>
      <c r="FHV10" s="52"/>
      <c r="FHW10" s="75"/>
      <c r="FID10" s="52"/>
      <c r="FIE10" s="75"/>
      <c r="FIL10" s="52"/>
      <c r="FIM10" s="75"/>
      <c r="FIT10" s="52"/>
      <c r="FIU10" s="75"/>
      <c r="FJB10" s="52"/>
      <c r="FJC10" s="75"/>
      <c r="FJJ10" s="52"/>
      <c r="FJK10" s="75"/>
      <c r="FJR10" s="52"/>
      <c r="FJS10" s="75"/>
      <c r="FJZ10" s="52"/>
      <c r="FKA10" s="75"/>
      <c r="FKH10" s="52"/>
      <c r="FKI10" s="75"/>
      <c r="FKP10" s="52"/>
      <c r="FKQ10" s="75"/>
      <c r="FKX10" s="52"/>
      <c r="FKY10" s="75"/>
      <c r="FLF10" s="52"/>
      <c r="FLG10" s="75"/>
      <c r="FLN10" s="52"/>
      <c r="FLO10" s="75"/>
      <c r="FLV10" s="52"/>
      <c r="FLW10" s="75"/>
      <c r="FMD10" s="52"/>
      <c r="FME10" s="75"/>
      <c r="FML10" s="52"/>
      <c r="FMM10" s="75"/>
      <c r="FMT10" s="52"/>
      <c r="FMU10" s="75"/>
      <c r="FNB10" s="52"/>
      <c r="FNC10" s="75"/>
      <c r="FNJ10" s="52"/>
      <c r="FNK10" s="75"/>
      <c r="FNR10" s="52"/>
      <c r="FNS10" s="75"/>
      <c r="FNZ10" s="52"/>
      <c r="FOA10" s="75"/>
      <c r="FOH10" s="52"/>
      <c r="FOI10" s="75"/>
      <c r="FOP10" s="52"/>
      <c r="FOQ10" s="75"/>
      <c r="FOX10" s="52"/>
      <c r="FOY10" s="75"/>
      <c r="FPF10" s="52"/>
      <c r="FPG10" s="75"/>
      <c r="FPN10" s="52"/>
      <c r="FPO10" s="75"/>
      <c r="FPV10" s="52"/>
      <c r="FPW10" s="75"/>
      <c r="FQD10" s="52"/>
      <c r="FQE10" s="75"/>
      <c r="FQL10" s="52"/>
      <c r="FQM10" s="75"/>
      <c r="FQT10" s="52"/>
      <c r="FQU10" s="75"/>
      <c r="FRB10" s="52"/>
      <c r="FRC10" s="75"/>
      <c r="FRJ10" s="52"/>
      <c r="FRK10" s="75"/>
      <c r="FRR10" s="52"/>
      <c r="FRS10" s="75"/>
      <c r="FRZ10" s="52"/>
      <c r="FSA10" s="75"/>
      <c r="FSH10" s="52"/>
      <c r="FSI10" s="75"/>
      <c r="FSP10" s="52"/>
      <c r="FSQ10" s="75"/>
      <c r="FSX10" s="52"/>
      <c r="FSY10" s="75"/>
      <c r="FTF10" s="52"/>
      <c r="FTG10" s="75"/>
      <c r="FTN10" s="52"/>
      <c r="FTO10" s="75"/>
      <c r="FTV10" s="52"/>
      <c r="FTW10" s="75"/>
      <c r="FUD10" s="52"/>
      <c r="FUE10" s="75"/>
      <c r="FUL10" s="52"/>
      <c r="FUM10" s="75"/>
      <c r="FUT10" s="52"/>
      <c r="FUU10" s="75"/>
      <c r="FVB10" s="52"/>
      <c r="FVC10" s="75"/>
      <c r="FVJ10" s="52"/>
      <c r="FVK10" s="75"/>
      <c r="FVR10" s="52"/>
      <c r="FVS10" s="75"/>
      <c r="FVZ10" s="52"/>
      <c r="FWA10" s="75"/>
      <c r="FWH10" s="52"/>
      <c r="FWI10" s="75"/>
      <c r="FWP10" s="52"/>
      <c r="FWQ10" s="75"/>
      <c r="FWX10" s="52"/>
      <c r="FWY10" s="75"/>
      <c r="FXF10" s="52"/>
      <c r="FXG10" s="75"/>
      <c r="FXN10" s="52"/>
      <c r="FXO10" s="75"/>
      <c r="FXV10" s="52"/>
      <c r="FXW10" s="75"/>
      <c r="FYD10" s="52"/>
      <c r="FYE10" s="75"/>
      <c r="FYL10" s="52"/>
      <c r="FYM10" s="75"/>
      <c r="FYT10" s="52"/>
      <c r="FYU10" s="75"/>
      <c r="FZB10" s="52"/>
      <c r="FZC10" s="75"/>
      <c r="FZJ10" s="52"/>
      <c r="FZK10" s="75"/>
      <c r="FZR10" s="52"/>
      <c r="FZS10" s="75"/>
      <c r="FZZ10" s="52"/>
      <c r="GAA10" s="75"/>
      <c r="GAH10" s="52"/>
      <c r="GAI10" s="75"/>
      <c r="GAP10" s="52"/>
      <c r="GAQ10" s="75"/>
      <c r="GAX10" s="52"/>
      <c r="GAY10" s="75"/>
      <c r="GBF10" s="52"/>
      <c r="GBG10" s="75"/>
      <c r="GBN10" s="52"/>
      <c r="GBO10" s="75"/>
      <c r="GBV10" s="52"/>
      <c r="GBW10" s="75"/>
      <c r="GCD10" s="52"/>
      <c r="GCE10" s="75"/>
      <c r="GCL10" s="52"/>
      <c r="GCM10" s="75"/>
      <c r="GCT10" s="52"/>
      <c r="GCU10" s="75"/>
      <c r="GDB10" s="52"/>
      <c r="GDC10" s="75"/>
      <c r="GDJ10" s="52"/>
      <c r="GDK10" s="75"/>
      <c r="GDR10" s="52"/>
      <c r="GDS10" s="75"/>
      <c r="GDZ10" s="52"/>
      <c r="GEA10" s="75"/>
      <c r="GEH10" s="52"/>
      <c r="GEI10" s="75"/>
      <c r="GEP10" s="52"/>
      <c r="GEQ10" s="75"/>
      <c r="GEX10" s="52"/>
      <c r="GEY10" s="75"/>
      <c r="GFF10" s="52"/>
      <c r="GFG10" s="75"/>
      <c r="GFN10" s="52"/>
      <c r="GFO10" s="75"/>
      <c r="GFV10" s="52"/>
      <c r="GFW10" s="75"/>
      <c r="GGD10" s="52"/>
      <c r="GGE10" s="75"/>
      <c r="GGL10" s="52"/>
      <c r="GGM10" s="75"/>
      <c r="GGT10" s="52"/>
      <c r="GGU10" s="75"/>
      <c r="GHB10" s="52"/>
      <c r="GHC10" s="75"/>
      <c r="GHJ10" s="52"/>
      <c r="GHK10" s="75"/>
      <c r="GHR10" s="52"/>
      <c r="GHS10" s="75"/>
      <c r="GHZ10" s="52"/>
      <c r="GIA10" s="75"/>
      <c r="GIH10" s="52"/>
      <c r="GII10" s="75"/>
      <c r="GIP10" s="52"/>
      <c r="GIQ10" s="75"/>
      <c r="GIX10" s="52"/>
      <c r="GIY10" s="75"/>
      <c r="GJF10" s="52"/>
      <c r="GJG10" s="75"/>
      <c r="GJN10" s="52"/>
      <c r="GJO10" s="75"/>
      <c r="GJV10" s="52"/>
      <c r="GJW10" s="75"/>
      <c r="GKD10" s="52"/>
      <c r="GKE10" s="75"/>
      <c r="GKL10" s="52"/>
      <c r="GKM10" s="75"/>
      <c r="GKT10" s="52"/>
      <c r="GKU10" s="75"/>
      <c r="GLB10" s="52"/>
      <c r="GLC10" s="75"/>
      <c r="GLJ10" s="52"/>
      <c r="GLK10" s="75"/>
      <c r="GLR10" s="52"/>
      <c r="GLS10" s="75"/>
      <c r="GLZ10" s="52"/>
      <c r="GMA10" s="75"/>
      <c r="GMH10" s="52"/>
      <c r="GMI10" s="75"/>
      <c r="GMP10" s="52"/>
      <c r="GMQ10" s="75"/>
      <c r="GMX10" s="52"/>
      <c r="GMY10" s="75"/>
      <c r="GNF10" s="52"/>
      <c r="GNG10" s="75"/>
      <c r="GNN10" s="52"/>
      <c r="GNO10" s="75"/>
      <c r="GNV10" s="52"/>
      <c r="GNW10" s="75"/>
      <c r="GOD10" s="52"/>
      <c r="GOE10" s="75"/>
      <c r="GOL10" s="52"/>
      <c r="GOM10" s="75"/>
      <c r="GOT10" s="52"/>
      <c r="GOU10" s="75"/>
      <c r="GPB10" s="52"/>
      <c r="GPC10" s="75"/>
      <c r="GPJ10" s="52"/>
      <c r="GPK10" s="75"/>
      <c r="GPR10" s="52"/>
      <c r="GPS10" s="75"/>
      <c r="GPZ10" s="52"/>
      <c r="GQA10" s="75"/>
      <c r="GQH10" s="52"/>
      <c r="GQI10" s="75"/>
      <c r="GQP10" s="52"/>
      <c r="GQQ10" s="75"/>
      <c r="GQX10" s="52"/>
      <c r="GQY10" s="75"/>
      <c r="GRF10" s="52"/>
      <c r="GRG10" s="75"/>
      <c r="GRN10" s="52"/>
      <c r="GRO10" s="75"/>
      <c r="GRV10" s="52"/>
      <c r="GRW10" s="75"/>
      <c r="GSD10" s="52"/>
      <c r="GSE10" s="75"/>
      <c r="GSL10" s="52"/>
      <c r="GSM10" s="75"/>
      <c r="GST10" s="52"/>
      <c r="GSU10" s="75"/>
      <c r="GTB10" s="52"/>
      <c r="GTC10" s="75"/>
      <c r="GTJ10" s="52"/>
      <c r="GTK10" s="75"/>
      <c r="GTR10" s="52"/>
      <c r="GTS10" s="75"/>
      <c r="GTZ10" s="52"/>
      <c r="GUA10" s="75"/>
      <c r="GUH10" s="52"/>
      <c r="GUI10" s="75"/>
      <c r="GUP10" s="52"/>
      <c r="GUQ10" s="75"/>
      <c r="GUX10" s="52"/>
      <c r="GUY10" s="75"/>
      <c r="GVF10" s="52"/>
      <c r="GVG10" s="75"/>
      <c r="GVN10" s="52"/>
      <c r="GVO10" s="75"/>
      <c r="GVV10" s="52"/>
      <c r="GVW10" s="75"/>
      <c r="GWD10" s="52"/>
      <c r="GWE10" s="75"/>
      <c r="GWL10" s="52"/>
      <c r="GWM10" s="75"/>
      <c r="GWT10" s="52"/>
      <c r="GWU10" s="75"/>
      <c r="GXB10" s="52"/>
      <c r="GXC10" s="75"/>
      <c r="GXJ10" s="52"/>
      <c r="GXK10" s="75"/>
      <c r="GXR10" s="52"/>
      <c r="GXS10" s="75"/>
      <c r="GXZ10" s="52"/>
      <c r="GYA10" s="75"/>
      <c r="GYH10" s="52"/>
      <c r="GYI10" s="75"/>
      <c r="GYP10" s="52"/>
      <c r="GYQ10" s="75"/>
      <c r="GYX10" s="52"/>
      <c r="GYY10" s="75"/>
      <c r="GZF10" s="52"/>
      <c r="GZG10" s="75"/>
      <c r="GZN10" s="52"/>
      <c r="GZO10" s="75"/>
      <c r="GZV10" s="52"/>
      <c r="GZW10" s="75"/>
      <c r="HAD10" s="52"/>
      <c r="HAE10" s="75"/>
      <c r="HAL10" s="52"/>
      <c r="HAM10" s="75"/>
      <c r="HAT10" s="52"/>
      <c r="HAU10" s="75"/>
      <c r="HBB10" s="52"/>
      <c r="HBC10" s="75"/>
      <c r="HBJ10" s="52"/>
      <c r="HBK10" s="75"/>
      <c r="HBR10" s="52"/>
      <c r="HBS10" s="75"/>
      <c r="HBZ10" s="52"/>
      <c r="HCA10" s="75"/>
      <c r="HCH10" s="52"/>
      <c r="HCI10" s="75"/>
      <c r="HCP10" s="52"/>
      <c r="HCQ10" s="75"/>
      <c r="HCX10" s="52"/>
      <c r="HCY10" s="75"/>
      <c r="HDF10" s="52"/>
      <c r="HDG10" s="75"/>
      <c r="HDN10" s="52"/>
      <c r="HDO10" s="75"/>
      <c r="HDV10" s="52"/>
      <c r="HDW10" s="75"/>
      <c r="HED10" s="52"/>
      <c r="HEE10" s="75"/>
      <c r="HEL10" s="52"/>
      <c r="HEM10" s="75"/>
      <c r="HET10" s="52"/>
      <c r="HEU10" s="75"/>
      <c r="HFB10" s="52"/>
      <c r="HFC10" s="75"/>
      <c r="HFJ10" s="52"/>
      <c r="HFK10" s="75"/>
      <c r="HFR10" s="52"/>
      <c r="HFS10" s="75"/>
      <c r="HFZ10" s="52"/>
      <c r="HGA10" s="75"/>
      <c r="HGH10" s="52"/>
      <c r="HGI10" s="75"/>
      <c r="HGP10" s="52"/>
      <c r="HGQ10" s="75"/>
      <c r="HGX10" s="52"/>
      <c r="HGY10" s="75"/>
      <c r="HHF10" s="52"/>
      <c r="HHG10" s="75"/>
      <c r="HHN10" s="52"/>
      <c r="HHO10" s="75"/>
      <c r="HHV10" s="52"/>
      <c r="HHW10" s="75"/>
      <c r="HID10" s="52"/>
      <c r="HIE10" s="75"/>
      <c r="HIL10" s="52"/>
      <c r="HIM10" s="75"/>
      <c r="HIT10" s="52"/>
      <c r="HIU10" s="75"/>
      <c r="HJB10" s="52"/>
      <c r="HJC10" s="75"/>
      <c r="HJJ10" s="52"/>
      <c r="HJK10" s="75"/>
      <c r="HJR10" s="52"/>
      <c r="HJS10" s="75"/>
      <c r="HJZ10" s="52"/>
      <c r="HKA10" s="75"/>
      <c r="HKH10" s="52"/>
      <c r="HKI10" s="75"/>
      <c r="HKP10" s="52"/>
      <c r="HKQ10" s="75"/>
      <c r="HKX10" s="52"/>
      <c r="HKY10" s="75"/>
      <c r="HLF10" s="52"/>
      <c r="HLG10" s="75"/>
      <c r="HLN10" s="52"/>
      <c r="HLO10" s="75"/>
      <c r="HLV10" s="52"/>
      <c r="HLW10" s="75"/>
      <c r="HMD10" s="52"/>
      <c r="HME10" s="75"/>
      <c r="HML10" s="52"/>
      <c r="HMM10" s="75"/>
      <c r="HMT10" s="52"/>
      <c r="HMU10" s="75"/>
      <c r="HNB10" s="52"/>
      <c r="HNC10" s="75"/>
      <c r="HNJ10" s="52"/>
      <c r="HNK10" s="75"/>
      <c r="HNR10" s="52"/>
      <c r="HNS10" s="75"/>
      <c r="HNZ10" s="52"/>
      <c r="HOA10" s="75"/>
      <c r="HOH10" s="52"/>
      <c r="HOI10" s="75"/>
      <c r="HOP10" s="52"/>
      <c r="HOQ10" s="75"/>
      <c r="HOX10" s="52"/>
      <c r="HOY10" s="75"/>
      <c r="HPF10" s="52"/>
      <c r="HPG10" s="75"/>
      <c r="HPN10" s="52"/>
      <c r="HPO10" s="75"/>
      <c r="HPV10" s="52"/>
      <c r="HPW10" s="75"/>
      <c r="HQD10" s="52"/>
      <c r="HQE10" s="75"/>
      <c r="HQL10" s="52"/>
      <c r="HQM10" s="75"/>
      <c r="HQT10" s="52"/>
      <c r="HQU10" s="75"/>
      <c r="HRB10" s="52"/>
      <c r="HRC10" s="75"/>
      <c r="HRJ10" s="52"/>
      <c r="HRK10" s="75"/>
      <c r="HRR10" s="52"/>
      <c r="HRS10" s="75"/>
      <c r="HRZ10" s="52"/>
      <c r="HSA10" s="75"/>
      <c r="HSH10" s="52"/>
      <c r="HSI10" s="75"/>
      <c r="HSP10" s="52"/>
      <c r="HSQ10" s="75"/>
      <c r="HSX10" s="52"/>
      <c r="HSY10" s="75"/>
      <c r="HTF10" s="52"/>
      <c r="HTG10" s="75"/>
      <c r="HTN10" s="52"/>
      <c r="HTO10" s="75"/>
      <c r="HTV10" s="52"/>
      <c r="HTW10" s="75"/>
      <c r="HUD10" s="52"/>
      <c r="HUE10" s="75"/>
      <c r="HUL10" s="52"/>
      <c r="HUM10" s="75"/>
      <c r="HUT10" s="52"/>
      <c r="HUU10" s="75"/>
      <c r="HVB10" s="52"/>
      <c r="HVC10" s="75"/>
      <c r="HVJ10" s="52"/>
      <c r="HVK10" s="75"/>
      <c r="HVR10" s="52"/>
      <c r="HVS10" s="75"/>
      <c r="HVZ10" s="52"/>
      <c r="HWA10" s="75"/>
      <c r="HWH10" s="52"/>
      <c r="HWI10" s="75"/>
      <c r="HWP10" s="52"/>
      <c r="HWQ10" s="75"/>
      <c r="HWX10" s="52"/>
      <c r="HWY10" s="75"/>
      <c r="HXF10" s="52"/>
      <c r="HXG10" s="75"/>
      <c r="HXN10" s="52"/>
      <c r="HXO10" s="75"/>
      <c r="HXV10" s="52"/>
      <c r="HXW10" s="75"/>
      <c r="HYD10" s="52"/>
      <c r="HYE10" s="75"/>
      <c r="HYL10" s="52"/>
      <c r="HYM10" s="75"/>
      <c r="HYT10" s="52"/>
      <c r="HYU10" s="75"/>
      <c r="HZB10" s="52"/>
      <c r="HZC10" s="75"/>
      <c r="HZJ10" s="52"/>
      <c r="HZK10" s="75"/>
      <c r="HZR10" s="52"/>
      <c r="HZS10" s="75"/>
      <c r="HZZ10" s="52"/>
      <c r="IAA10" s="75"/>
      <c r="IAH10" s="52"/>
      <c r="IAI10" s="75"/>
      <c r="IAP10" s="52"/>
      <c r="IAQ10" s="75"/>
      <c r="IAX10" s="52"/>
      <c r="IAY10" s="75"/>
      <c r="IBF10" s="52"/>
      <c r="IBG10" s="75"/>
      <c r="IBN10" s="52"/>
      <c r="IBO10" s="75"/>
      <c r="IBV10" s="52"/>
      <c r="IBW10" s="75"/>
      <c r="ICD10" s="52"/>
      <c r="ICE10" s="75"/>
      <c r="ICL10" s="52"/>
      <c r="ICM10" s="75"/>
      <c r="ICT10" s="52"/>
      <c r="ICU10" s="75"/>
      <c r="IDB10" s="52"/>
      <c r="IDC10" s="75"/>
      <c r="IDJ10" s="52"/>
      <c r="IDK10" s="75"/>
      <c r="IDR10" s="52"/>
      <c r="IDS10" s="75"/>
      <c r="IDZ10" s="52"/>
      <c r="IEA10" s="75"/>
      <c r="IEH10" s="52"/>
      <c r="IEI10" s="75"/>
      <c r="IEP10" s="52"/>
      <c r="IEQ10" s="75"/>
      <c r="IEX10" s="52"/>
      <c r="IEY10" s="75"/>
      <c r="IFF10" s="52"/>
      <c r="IFG10" s="75"/>
      <c r="IFN10" s="52"/>
      <c r="IFO10" s="75"/>
      <c r="IFV10" s="52"/>
      <c r="IFW10" s="75"/>
      <c r="IGD10" s="52"/>
      <c r="IGE10" s="75"/>
      <c r="IGL10" s="52"/>
      <c r="IGM10" s="75"/>
      <c r="IGT10" s="52"/>
      <c r="IGU10" s="75"/>
      <c r="IHB10" s="52"/>
      <c r="IHC10" s="75"/>
      <c r="IHJ10" s="52"/>
      <c r="IHK10" s="75"/>
      <c r="IHR10" s="52"/>
      <c r="IHS10" s="75"/>
      <c r="IHZ10" s="52"/>
      <c r="IIA10" s="75"/>
      <c r="IIH10" s="52"/>
      <c r="III10" s="75"/>
      <c r="IIP10" s="52"/>
      <c r="IIQ10" s="75"/>
      <c r="IIX10" s="52"/>
      <c r="IIY10" s="75"/>
      <c r="IJF10" s="52"/>
      <c r="IJG10" s="75"/>
      <c r="IJN10" s="52"/>
      <c r="IJO10" s="75"/>
      <c r="IJV10" s="52"/>
      <c r="IJW10" s="75"/>
      <c r="IKD10" s="52"/>
      <c r="IKE10" s="75"/>
      <c r="IKL10" s="52"/>
      <c r="IKM10" s="75"/>
      <c r="IKT10" s="52"/>
      <c r="IKU10" s="75"/>
      <c r="ILB10" s="52"/>
      <c r="ILC10" s="75"/>
      <c r="ILJ10" s="52"/>
      <c r="ILK10" s="75"/>
      <c r="ILR10" s="52"/>
      <c r="ILS10" s="75"/>
      <c r="ILZ10" s="52"/>
      <c r="IMA10" s="75"/>
      <c r="IMH10" s="52"/>
      <c r="IMI10" s="75"/>
      <c r="IMP10" s="52"/>
      <c r="IMQ10" s="75"/>
      <c r="IMX10" s="52"/>
      <c r="IMY10" s="75"/>
      <c r="INF10" s="52"/>
      <c r="ING10" s="75"/>
      <c r="INN10" s="52"/>
      <c r="INO10" s="75"/>
      <c r="INV10" s="52"/>
      <c r="INW10" s="75"/>
      <c r="IOD10" s="52"/>
      <c r="IOE10" s="75"/>
      <c r="IOL10" s="52"/>
      <c r="IOM10" s="75"/>
      <c r="IOT10" s="52"/>
      <c r="IOU10" s="75"/>
      <c r="IPB10" s="52"/>
      <c r="IPC10" s="75"/>
      <c r="IPJ10" s="52"/>
      <c r="IPK10" s="75"/>
      <c r="IPR10" s="52"/>
      <c r="IPS10" s="75"/>
      <c r="IPZ10" s="52"/>
      <c r="IQA10" s="75"/>
      <c r="IQH10" s="52"/>
      <c r="IQI10" s="75"/>
      <c r="IQP10" s="52"/>
      <c r="IQQ10" s="75"/>
      <c r="IQX10" s="52"/>
      <c r="IQY10" s="75"/>
      <c r="IRF10" s="52"/>
      <c r="IRG10" s="75"/>
      <c r="IRN10" s="52"/>
      <c r="IRO10" s="75"/>
      <c r="IRV10" s="52"/>
      <c r="IRW10" s="75"/>
      <c r="ISD10" s="52"/>
      <c r="ISE10" s="75"/>
      <c r="ISL10" s="52"/>
      <c r="ISM10" s="75"/>
      <c r="IST10" s="52"/>
      <c r="ISU10" s="75"/>
      <c r="ITB10" s="52"/>
      <c r="ITC10" s="75"/>
      <c r="ITJ10" s="52"/>
      <c r="ITK10" s="75"/>
      <c r="ITR10" s="52"/>
      <c r="ITS10" s="75"/>
      <c r="ITZ10" s="52"/>
      <c r="IUA10" s="75"/>
      <c r="IUH10" s="52"/>
      <c r="IUI10" s="75"/>
      <c r="IUP10" s="52"/>
      <c r="IUQ10" s="75"/>
      <c r="IUX10" s="52"/>
      <c r="IUY10" s="75"/>
      <c r="IVF10" s="52"/>
      <c r="IVG10" s="75"/>
      <c r="IVN10" s="52"/>
      <c r="IVO10" s="75"/>
      <c r="IVV10" s="52"/>
      <c r="IVW10" s="75"/>
      <c r="IWD10" s="52"/>
      <c r="IWE10" s="75"/>
      <c r="IWL10" s="52"/>
      <c r="IWM10" s="75"/>
      <c r="IWT10" s="52"/>
      <c r="IWU10" s="75"/>
      <c r="IXB10" s="52"/>
      <c r="IXC10" s="75"/>
      <c r="IXJ10" s="52"/>
      <c r="IXK10" s="75"/>
      <c r="IXR10" s="52"/>
      <c r="IXS10" s="75"/>
      <c r="IXZ10" s="52"/>
      <c r="IYA10" s="75"/>
      <c r="IYH10" s="52"/>
      <c r="IYI10" s="75"/>
      <c r="IYP10" s="52"/>
      <c r="IYQ10" s="75"/>
      <c r="IYX10" s="52"/>
      <c r="IYY10" s="75"/>
      <c r="IZF10" s="52"/>
      <c r="IZG10" s="75"/>
      <c r="IZN10" s="52"/>
      <c r="IZO10" s="75"/>
      <c r="IZV10" s="52"/>
      <c r="IZW10" s="75"/>
      <c r="JAD10" s="52"/>
      <c r="JAE10" s="75"/>
      <c r="JAL10" s="52"/>
      <c r="JAM10" s="75"/>
      <c r="JAT10" s="52"/>
      <c r="JAU10" s="75"/>
      <c r="JBB10" s="52"/>
      <c r="JBC10" s="75"/>
      <c r="JBJ10" s="52"/>
      <c r="JBK10" s="75"/>
      <c r="JBR10" s="52"/>
      <c r="JBS10" s="75"/>
      <c r="JBZ10" s="52"/>
      <c r="JCA10" s="75"/>
      <c r="JCH10" s="52"/>
      <c r="JCI10" s="75"/>
      <c r="JCP10" s="52"/>
      <c r="JCQ10" s="75"/>
      <c r="JCX10" s="52"/>
      <c r="JCY10" s="75"/>
      <c r="JDF10" s="52"/>
      <c r="JDG10" s="75"/>
      <c r="JDN10" s="52"/>
      <c r="JDO10" s="75"/>
      <c r="JDV10" s="52"/>
      <c r="JDW10" s="75"/>
      <c r="JED10" s="52"/>
      <c r="JEE10" s="75"/>
      <c r="JEL10" s="52"/>
      <c r="JEM10" s="75"/>
      <c r="JET10" s="52"/>
      <c r="JEU10" s="75"/>
      <c r="JFB10" s="52"/>
      <c r="JFC10" s="75"/>
      <c r="JFJ10" s="52"/>
      <c r="JFK10" s="75"/>
      <c r="JFR10" s="52"/>
      <c r="JFS10" s="75"/>
      <c r="JFZ10" s="52"/>
      <c r="JGA10" s="75"/>
      <c r="JGH10" s="52"/>
      <c r="JGI10" s="75"/>
      <c r="JGP10" s="52"/>
      <c r="JGQ10" s="75"/>
      <c r="JGX10" s="52"/>
      <c r="JGY10" s="75"/>
      <c r="JHF10" s="52"/>
      <c r="JHG10" s="75"/>
      <c r="JHN10" s="52"/>
      <c r="JHO10" s="75"/>
      <c r="JHV10" s="52"/>
      <c r="JHW10" s="75"/>
      <c r="JID10" s="52"/>
      <c r="JIE10" s="75"/>
      <c r="JIL10" s="52"/>
      <c r="JIM10" s="75"/>
      <c r="JIT10" s="52"/>
      <c r="JIU10" s="75"/>
      <c r="JJB10" s="52"/>
      <c r="JJC10" s="75"/>
      <c r="JJJ10" s="52"/>
      <c r="JJK10" s="75"/>
      <c r="JJR10" s="52"/>
      <c r="JJS10" s="75"/>
      <c r="JJZ10" s="52"/>
      <c r="JKA10" s="75"/>
      <c r="JKH10" s="52"/>
      <c r="JKI10" s="75"/>
      <c r="JKP10" s="52"/>
      <c r="JKQ10" s="75"/>
      <c r="JKX10" s="52"/>
      <c r="JKY10" s="75"/>
      <c r="JLF10" s="52"/>
      <c r="JLG10" s="75"/>
      <c r="JLN10" s="52"/>
      <c r="JLO10" s="75"/>
      <c r="JLV10" s="52"/>
      <c r="JLW10" s="75"/>
      <c r="JMD10" s="52"/>
      <c r="JME10" s="75"/>
      <c r="JML10" s="52"/>
      <c r="JMM10" s="75"/>
      <c r="JMT10" s="52"/>
      <c r="JMU10" s="75"/>
      <c r="JNB10" s="52"/>
      <c r="JNC10" s="75"/>
      <c r="JNJ10" s="52"/>
      <c r="JNK10" s="75"/>
      <c r="JNR10" s="52"/>
      <c r="JNS10" s="75"/>
      <c r="JNZ10" s="52"/>
      <c r="JOA10" s="75"/>
      <c r="JOH10" s="52"/>
      <c r="JOI10" s="75"/>
      <c r="JOP10" s="52"/>
      <c r="JOQ10" s="75"/>
      <c r="JOX10" s="52"/>
      <c r="JOY10" s="75"/>
      <c r="JPF10" s="52"/>
      <c r="JPG10" s="75"/>
      <c r="JPN10" s="52"/>
      <c r="JPO10" s="75"/>
      <c r="JPV10" s="52"/>
      <c r="JPW10" s="75"/>
      <c r="JQD10" s="52"/>
      <c r="JQE10" s="75"/>
      <c r="JQL10" s="52"/>
      <c r="JQM10" s="75"/>
      <c r="JQT10" s="52"/>
      <c r="JQU10" s="75"/>
      <c r="JRB10" s="52"/>
      <c r="JRC10" s="75"/>
      <c r="JRJ10" s="52"/>
      <c r="JRK10" s="75"/>
      <c r="JRR10" s="52"/>
      <c r="JRS10" s="75"/>
      <c r="JRZ10" s="52"/>
      <c r="JSA10" s="75"/>
      <c r="JSH10" s="52"/>
      <c r="JSI10" s="75"/>
      <c r="JSP10" s="52"/>
      <c r="JSQ10" s="75"/>
      <c r="JSX10" s="52"/>
      <c r="JSY10" s="75"/>
      <c r="JTF10" s="52"/>
      <c r="JTG10" s="75"/>
      <c r="JTN10" s="52"/>
      <c r="JTO10" s="75"/>
      <c r="JTV10" s="52"/>
      <c r="JTW10" s="75"/>
      <c r="JUD10" s="52"/>
      <c r="JUE10" s="75"/>
      <c r="JUL10" s="52"/>
      <c r="JUM10" s="75"/>
      <c r="JUT10" s="52"/>
      <c r="JUU10" s="75"/>
      <c r="JVB10" s="52"/>
      <c r="JVC10" s="75"/>
      <c r="JVJ10" s="52"/>
      <c r="JVK10" s="75"/>
      <c r="JVR10" s="52"/>
      <c r="JVS10" s="75"/>
      <c r="JVZ10" s="52"/>
      <c r="JWA10" s="75"/>
      <c r="JWH10" s="52"/>
      <c r="JWI10" s="75"/>
      <c r="JWP10" s="52"/>
      <c r="JWQ10" s="75"/>
      <c r="JWX10" s="52"/>
      <c r="JWY10" s="75"/>
      <c r="JXF10" s="52"/>
      <c r="JXG10" s="75"/>
      <c r="JXN10" s="52"/>
      <c r="JXO10" s="75"/>
      <c r="JXV10" s="52"/>
      <c r="JXW10" s="75"/>
      <c r="JYD10" s="52"/>
      <c r="JYE10" s="75"/>
      <c r="JYL10" s="52"/>
      <c r="JYM10" s="75"/>
      <c r="JYT10" s="52"/>
      <c r="JYU10" s="75"/>
      <c r="JZB10" s="52"/>
      <c r="JZC10" s="75"/>
      <c r="JZJ10" s="52"/>
      <c r="JZK10" s="75"/>
      <c r="JZR10" s="52"/>
      <c r="JZS10" s="75"/>
      <c r="JZZ10" s="52"/>
      <c r="KAA10" s="75"/>
      <c r="KAH10" s="52"/>
      <c r="KAI10" s="75"/>
      <c r="KAP10" s="52"/>
      <c r="KAQ10" s="75"/>
      <c r="KAX10" s="52"/>
      <c r="KAY10" s="75"/>
      <c r="KBF10" s="52"/>
      <c r="KBG10" s="75"/>
      <c r="KBN10" s="52"/>
      <c r="KBO10" s="75"/>
      <c r="KBV10" s="52"/>
      <c r="KBW10" s="75"/>
      <c r="KCD10" s="52"/>
      <c r="KCE10" s="75"/>
      <c r="KCL10" s="52"/>
      <c r="KCM10" s="75"/>
      <c r="KCT10" s="52"/>
      <c r="KCU10" s="75"/>
      <c r="KDB10" s="52"/>
      <c r="KDC10" s="75"/>
      <c r="KDJ10" s="52"/>
      <c r="KDK10" s="75"/>
      <c r="KDR10" s="52"/>
      <c r="KDS10" s="75"/>
      <c r="KDZ10" s="52"/>
      <c r="KEA10" s="75"/>
      <c r="KEH10" s="52"/>
      <c r="KEI10" s="75"/>
      <c r="KEP10" s="52"/>
      <c r="KEQ10" s="75"/>
      <c r="KEX10" s="52"/>
      <c r="KEY10" s="75"/>
      <c r="KFF10" s="52"/>
      <c r="KFG10" s="75"/>
      <c r="KFN10" s="52"/>
      <c r="KFO10" s="75"/>
      <c r="KFV10" s="52"/>
      <c r="KFW10" s="75"/>
      <c r="KGD10" s="52"/>
      <c r="KGE10" s="75"/>
      <c r="KGL10" s="52"/>
      <c r="KGM10" s="75"/>
      <c r="KGT10" s="52"/>
      <c r="KGU10" s="75"/>
      <c r="KHB10" s="52"/>
      <c r="KHC10" s="75"/>
      <c r="KHJ10" s="52"/>
      <c r="KHK10" s="75"/>
      <c r="KHR10" s="52"/>
      <c r="KHS10" s="75"/>
      <c r="KHZ10" s="52"/>
      <c r="KIA10" s="75"/>
      <c r="KIH10" s="52"/>
      <c r="KII10" s="75"/>
      <c r="KIP10" s="52"/>
      <c r="KIQ10" s="75"/>
      <c r="KIX10" s="52"/>
      <c r="KIY10" s="75"/>
      <c r="KJF10" s="52"/>
      <c r="KJG10" s="75"/>
      <c r="KJN10" s="52"/>
      <c r="KJO10" s="75"/>
      <c r="KJV10" s="52"/>
      <c r="KJW10" s="75"/>
      <c r="KKD10" s="52"/>
      <c r="KKE10" s="75"/>
      <c r="KKL10" s="52"/>
      <c r="KKM10" s="75"/>
      <c r="KKT10" s="52"/>
      <c r="KKU10" s="75"/>
      <c r="KLB10" s="52"/>
      <c r="KLC10" s="75"/>
      <c r="KLJ10" s="52"/>
      <c r="KLK10" s="75"/>
      <c r="KLR10" s="52"/>
      <c r="KLS10" s="75"/>
      <c r="KLZ10" s="52"/>
      <c r="KMA10" s="75"/>
      <c r="KMH10" s="52"/>
      <c r="KMI10" s="75"/>
      <c r="KMP10" s="52"/>
      <c r="KMQ10" s="75"/>
      <c r="KMX10" s="52"/>
      <c r="KMY10" s="75"/>
      <c r="KNF10" s="52"/>
      <c r="KNG10" s="75"/>
      <c r="KNN10" s="52"/>
      <c r="KNO10" s="75"/>
      <c r="KNV10" s="52"/>
      <c r="KNW10" s="75"/>
      <c r="KOD10" s="52"/>
      <c r="KOE10" s="75"/>
      <c r="KOL10" s="52"/>
      <c r="KOM10" s="75"/>
      <c r="KOT10" s="52"/>
      <c r="KOU10" s="75"/>
      <c r="KPB10" s="52"/>
      <c r="KPC10" s="75"/>
      <c r="KPJ10" s="52"/>
      <c r="KPK10" s="75"/>
      <c r="KPR10" s="52"/>
      <c r="KPS10" s="75"/>
      <c r="KPZ10" s="52"/>
      <c r="KQA10" s="75"/>
      <c r="KQH10" s="52"/>
      <c r="KQI10" s="75"/>
      <c r="KQP10" s="52"/>
      <c r="KQQ10" s="75"/>
      <c r="KQX10" s="52"/>
      <c r="KQY10" s="75"/>
      <c r="KRF10" s="52"/>
      <c r="KRG10" s="75"/>
      <c r="KRN10" s="52"/>
      <c r="KRO10" s="75"/>
      <c r="KRV10" s="52"/>
      <c r="KRW10" s="75"/>
      <c r="KSD10" s="52"/>
      <c r="KSE10" s="75"/>
      <c r="KSL10" s="52"/>
      <c r="KSM10" s="75"/>
      <c r="KST10" s="52"/>
      <c r="KSU10" s="75"/>
      <c r="KTB10" s="52"/>
      <c r="KTC10" s="75"/>
      <c r="KTJ10" s="52"/>
      <c r="KTK10" s="75"/>
      <c r="KTR10" s="52"/>
      <c r="KTS10" s="75"/>
      <c r="KTZ10" s="52"/>
      <c r="KUA10" s="75"/>
      <c r="KUH10" s="52"/>
      <c r="KUI10" s="75"/>
      <c r="KUP10" s="52"/>
      <c r="KUQ10" s="75"/>
      <c r="KUX10" s="52"/>
      <c r="KUY10" s="75"/>
      <c r="KVF10" s="52"/>
      <c r="KVG10" s="75"/>
      <c r="KVN10" s="52"/>
      <c r="KVO10" s="75"/>
      <c r="KVV10" s="52"/>
      <c r="KVW10" s="75"/>
      <c r="KWD10" s="52"/>
      <c r="KWE10" s="75"/>
      <c r="KWL10" s="52"/>
      <c r="KWM10" s="75"/>
      <c r="KWT10" s="52"/>
      <c r="KWU10" s="75"/>
      <c r="KXB10" s="52"/>
      <c r="KXC10" s="75"/>
      <c r="KXJ10" s="52"/>
      <c r="KXK10" s="75"/>
      <c r="KXR10" s="52"/>
      <c r="KXS10" s="75"/>
      <c r="KXZ10" s="52"/>
      <c r="KYA10" s="75"/>
      <c r="KYH10" s="52"/>
      <c r="KYI10" s="75"/>
      <c r="KYP10" s="52"/>
      <c r="KYQ10" s="75"/>
      <c r="KYX10" s="52"/>
      <c r="KYY10" s="75"/>
      <c r="KZF10" s="52"/>
      <c r="KZG10" s="75"/>
      <c r="KZN10" s="52"/>
      <c r="KZO10" s="75"/>
      <c r="KZV10" s="52"/>
      <c r="KZW10" s="75"/>
      <c r="LAD10" s="52"/>
      <c r="LAE10" s="75"/>
      <c r="LAL10" s="52"/>
      <c r="LAM10" s="75"/>
      <c r="LAT10" s="52"/>
      <c r="LAU10" s="75"/>
      <c r="LBB10" s="52"/>
      <c r="LBC10" s="75"/>
      <c r="LBJ10" s="52"/>
      <c r="LBK10" s="75"/>
      <c r="LBR10" s="52"/>
      <c r="LBS10" s="75"/>
      <c r="LBZ10" s="52"/>
      <c r="LCA10" s="75"/>
      <c r="LCH10" s="52"/>
      <c r="LCI10" s="75"/>
      <c r="LCP10" s="52"/>
      <c r="LCQ10" s="75"/>
      <c r="LCX10" s="52"/>
      <c r="LCY10" s="75"/>
      <c r="LDF10" s="52"/>
      <c r="LDG10" s="75"/>
      <c r="LDN10" s="52"/>
      <c r="LDO10" s="75"/>
      <c r="LDV10" s="52"/>
      <c r="LDW10" s="75"/>
      <c r="LED10" s="52"/>
      <c r="LEE10" s="75"/>
      <c r="LEL10" s="52"/>
      <c r="LEM10" s="75"/>
      <c r="LET10" s="52"/>
      <c r="LEU10" s="75"/>
      <c r="LFB10" s="52"/>
      <c r="LFC10" s="75"/>
      <c r="LFJ10" s="52"/>
      <c r="LFK10" s="75"/>
      <c r="LFR10" s="52"/>
      <c r="LFS10" s="75"/>
      <c r="LFZ10" s="52"/>
      <c r="LGA10" s="75"/>
      <c r="LGH10" s="52"/>
      <c r="LGI10" s="75"/>
      <c r="LGP10" s="52"/>
      <c r="LGQ10" s="75"/>
      <c r="LGX10" s="52"/>
      <c r="LGY10" s="75"/>
      <c r="LHF10" s="52"/>
      <c r="LHG10" s="75"/>
      <c r="LHN10" s="52"/>
      <c r="LHO10" s="75"/>
      <c r="LHV10" s="52"/>
      <c r="LHW10" s="75"/>
      <c r="LID10" s="52"/>
      <c r="LIE10" s="75"/>
      <c r="LIL10" s="52"/>
      <c r="LIM10" s="75"/>
      <c r="LIT10" s="52"/>
      <c r="LIU10" s="75"/>
      <c r="LJB10" s="52"/>
      <c r="LJC10" s="75"/>
      <c r="LJJ10" s="52"/>
      <c r="LJK10" s="75"/>
      <c r="LJR10" s="52"/>
      <c r="LJS10" s="75"/>
      <c r="LJZ10" s="52"/>
      <c r="LKA10" s="75"/>
      <c r="LKH10" s="52"/>
      <c r="LKI10" s="75"/>
      <c r="LKP10" s="52"/>
      <c r="LKQ10" s="75"/>
      <c r="LKX10" s="52"/>
      <c r="LKY10" s="75"/>
      <c r="LLF10" s="52"/>
      <c r="LLG10" s="75"/>
      <c r="LLN10" s="52"/>
      <c r="LLO10" s="75"/>
      <c r="LLV10" s="52"/>
      <c r="LLW10" s="75"/>
      <c r="LMD10" s="52"/>
      <c r="LME10" s="75"/>
      <c r="LML10" s="52"/>
      <c r="LMM10" s="75"/>
      <c r="LMT10" s="52"/>
      <c r="LMU10" s="75"/>
      <c r="LNB10" s="52"/>
      <c r="LNC10" s="75"/>
      <c r="LNJ10" s="52"/>
      <c r="LNK10" s="75"/>
      <c r="LNR10" s="52"/>
      <c r="LNS10" s="75"/>
      <c r="LNZ10" s="52"/>
      <c r="LOA10" s="75"/>
      <c r="LOH10" s="52"/>
      <c r="LOI10" s="75"/>
      <c r="LOP10" s="52"/>
      <c r="LOQ10" s="75"/>
      <c r="LOX10" s="52"/>
      <c r="LOY10" s="75"/>
      <c r="LPF10" s="52"/>
      <c r="LPG10" s="75"/>
      <c r="LPN10" s="52"/>
      <c r="LPO10" s="75"/>
      <c r="LPV10" s="52"/>
      <c r="LPW10" s="75"/>
      <c r="LQD10" s="52"/>
      <c r="LQE10" s="75"/>
      <c r="LQL10" s="52"/>
      <c r="LQM10" s="75"/>
      <c r="LQT10" s="52"/>
      <c r="LQU10" s="75"/>
      <c r="LRB10" s="52"/>
      <c r="LRC10" s="75"/>
      <c r="LRJ10" s="52"/>
      <c r="LRK10" s="75"/>
      <c r="LRR10" s="52"/>
      <c r="LRS10" s="75"/>
      <c r="LRZ10" s="52"/>
      <c r="LSA10" s="75"/>
      <c r="LSH10" s="52"/>
      <c r="LSI10" s="75"/>
      <c r="LSP10" s="52"/>
      <c r="LSQ10" s="75"/>
      <c r="LSX10" s="52"/>
      <c r="LSY10" s="75"/>
      <c r="LTF10" s="52"/>
      <c r="LTG10" s="75"/>
      <c r="LTN10" s="52"/>
      <c r="LTO10" s="75"/>
      <c r="LTV10" s="52"/>
      <c r="LTW10" s="75"/>
      <c r="LUD10" s="52"/>
      <c r="LUE10" s="75"/>
      <c r="LUL10" s="52"/>
      <c r="LUM10" s="75"/>
      <c r="LUT10" s="52"/>
      <c r="LUU10" s="75"/>
      <c r="LVB10" s="52"/>
      <c r="LVC10" s="75"/>
      <c r="LVJ10" s="52"/>
      <c r="LVK10" s="75"/>
      <c r="LVR10" s="52"/>
      <c r="LVS10" s="75"/>
      <c r="LVZ10" s="52"/>
      <c r="LWA10" s="75"/>
      <c r="LWH10" s="52"/>
      <c r="LWI10" s="75"/>
      <c r="LWP10" s="52"/>
      <c r="LWQ10" s="75"/>
      <c r="LWX10" s="52"/>
      <c r="LWY10" s="75"/>
      <c r="LXF10" s="52"/>
      <c r="LXG10" s="75"/>
      <c r="LXN10" s="52"/>
      <c r="LXO10" s="75"/>
      <c r="LXV10" s="52"/>
      <c r="LXW10" s="75"/>
      <c r="LYD10" s="52"/>
      <c r="LYE10" s="75"/>
      <c r="LYL10" s="52"/>
      <c r="LYM10" s="75"/>
      <c r="LYT10" s="52"/>
      <c r="LYU10" s="75"/>
      <c r="LZB10" s="52"/>
      <c r="LZC10" s="75"/>
      <c r="LZJ10" s="52"/>
      <c r="LZK10" s="75"/>
      <c r="LZR10" s="52"/>
      <c r="LZS10" s="75"/>
      <c r="LZZ10" s="52"/>
      <c r="MAA10" s="75"/>
      <c r="MAH10" s="52"/>
      <c r="MAI10" s="75"/>
      <c r="MAP10" s="52"/>
      <c r="MAQ10" s="75"/>
      <c r="MAX10" s="52"/>
      <c r="MAY10" s="75"/>
      <c r="MBF10" s="52"/>
      <c r="MBG10" s="75"/>
      <c r="MBN10" s="52"/>
      <c r="MBO10" s="75"/>
      <c r="MBV10" s="52"/>
      <c r="MBW10" s="75"/>
      <c r="MCD10" s="52"/>
      <c r="MCE10" s="75"/>
      <c r="MCL10" s="52"/>
      <c r="MCM10" s="75"/>
      <c r="MCT10" s="52"/>
      <c r="MCU10" s="75"/>
      <c r="MDB10" s="52"/>
      <c r="MDC10" s="75"/>
      <c r="MDJ10" s="52"/>
      <c r="MDK10" s="75"/>
      <c r="MDR10" s="52"/>
      <c r="MDS10" s="75"/>
      <c r="MDZ10" s="52"/>
      <c r="MEA10" s="75"/>
      <c r="MEH10" s="52"/>
      <c r="MEI10" s="75"/>
      <c r="MEP10" s="52"/>
      <c r="MEQ10" s="75"/>
      <c r="MEX10" s="52"/>
      <c r="MEY10" s="75"/>
      <c r="MFF10" s="52"/>
      <c r="MFG10" s="75"/>
      <c r="MFN10" s="52"/>
      <c r="MFO10" s="75"/>
      <c r="MFV10" s="52"/>
      <c r="MFW10" s="75"/>
      <c r="MGD10" s="52"/>
      <c r="MGE10" s="75"/>
      <c r="MGL10" s="52"/>
      <c r="MGM10" s="75"/>
      <c r="MGT10" s="52"/>
      <c r="MGU10" s="75"/>
      <c r="MHB10" s="52"/>
      <c r="MHC10" s="75"/>
      <c r="MHJ10" s="52"/>
      <c r="MHK10" s="75"/>
      <c r="MHR10" s="52"/>
      <c r="MHS10" s="75"/>
      <c r="MHZ10" s="52"/>
      <c r="MIA10" s="75"/>
      <c r="MIH10" s="52"/>
      <c r="MII10" s="75"/>
      <c r="MIP10" s="52"/>
      <c r="MIQ10" s="75"/>
      <c r="MIX10" s="52"/>
      <c r="MIY10" s="75"/>
      <c r="MJF10" s="52"/>
      <c r="MJG10" s="75"/>
      <c r="MJN10" s="52"/>
      <c r="MJO10" s="75"/>
      <c r="MJV10" s="52"/>
      <c r="MJW10" s="75"/>
      <c r="MKD10" s="52"/>
      <c r="MKE10" s="75"/>
      <c r="MKL10" s="52"/>
      <c r="MKM10" s="75"/>
      <c r="MKT10" s="52"/>
      <c r="MKU10" s="75"/>
      <c r="MLB10" s="52"/>
      <c r="MLC10" s="75"/>
      <c r="MLJ10" s="52"/>
      <c r="MLK10" s="75"/>
      <c r="MLR10" s="52"/>
      <c r="MLS10" s="75"/>
      <c r="MLZ10" s="52"/>
      <c r="MMA10" s="75"/>
      <c r="MMH10" s="52"/>
      <c r="MMI10" s="75"/>
      <c r="MMP10" s="52"/>
      <c r="MMQ10" s="75"/>
      <c r="MMX10" s="52"/>
      <c r="MMY10" s="75"/>
      <c r="MNF10" s="52"/>
      <c r="MNG10" s="75"/>
      <c r="MNN10" s="52"/>
      <c r="MNO10" s="75"/>
      <c r="MNV10" s="52"/>
      <c r="MNW10" s="75"/>
      <c r="MOD10" s="52"/>
      <c r="MOE10" s="75"/>
      <c r="MOL10" s="52"/>
      <c r="MOM10" s="75"/>
      <c r="MOT10" s="52"/>
      <c r="MOU10" s="75"/>
      <c r="MPB10" s="52"/>
      <c r="MPC10" s="75"/>
      <c r="MPJ10" s="52"/>
      <c r="MPK10" s="75"/>
      <c r="MPR10" s="52"/>
      <c r="MPS10" s="75"/>
      <c r="MPZ10" s="52"/>
      <c r="MQA10" s="75"/>
      <c r="MQH10" s="52"/>
      <c r="MQI10" s="75"/>
      <c r="MQP10" s="52"/>
      <c r="MQQ10" s="75"/>
      <c r="MQX10" s="52"/>
      <c r="MQY10" s="75"/>
      <c r="MRF10" s="52"/>
      <c r="MRG10" s="75"/>
      <c r="MRN10" s="52"/>
      <c r="MRO10" s="75"/>
      <c r="MRV10" s="52"/>
      <c r="MRW10" s="75"/>
      <c r="MSD10" s="52"/>
      <c r="MSE10" s="75"/>
      <c r="MSL10" s="52"/>
      <c r="MSM10" s="75"/>
      <c r="MST10" s="52"/>
      <c r="MSU10" s="75"/>
      <c r="MTB10" s="52"/>
      <c r="MTC10" s="75"/>
      <c r="MTJ10" s="52"/>
      <c r="MTK10" s="75"/>
      <c r="MTR10" s="52"/>
      <c r="MTS10" s="75"/>
      <c r="MTZ10" s="52"/>
      <c r="MUA10" s="75"/>
      <c r="MUH10" s="52"/>
      <c r="MUI10" s="75"/>
      <c r="MUP10" s="52"/>
      <c r="MUQ10" s="75"/>
      <c r="MUX10" s="52"/>
      <c r="MUY10" s="75"/>
      <c r="MVF10" s="52"/>
      <c r="MVG10" s="75"/>
      <c r="MVN10" s="52"/>
      <c r="MVO10" s="75"/>
      <c r="MVV10" s="52"/>
      <c r="MVW10" s="75"/>
      <c r="MWD10" s="52"/>
      <c r="MWE10" s="75"/>
      <c r="MWL10" s="52"/>
      <c r="MWM10" s="75"/>
      <c r="MWT10" s="52"/>
      <c r="MWU10" s="75"/>
      <c r="MXB10" s="52"/>
      <c r="MXC10" s="75"/>
      <c r="MXJ10" s="52"/>
      <c r="MXK10" s="75"/>
      <c r="MXR10" s="52"/>
      <c r="MXS10" s="75"/>
      <c r="MXZ10" s="52"/>
      <c r="MYA10" s="75"/>
      <c r="MYH10" s="52"/>
      <c r="MYI10" s="75"/>
      <c r="MYP10" s="52"/>
      <c r="MYQ10" s="75"/>
      <c r="MYX10" s="52"/>
      <c r="MYY10" s="75"/>
      <c r="MZF10" s="52"/>
      <c r="MZG10" s="75"/>
      <c r="MZN10" s="52"/>
      <c r="MZO10" s="75"/>
      <c r="MZV10" s="52"/>
      <c r="MZW10" s="75"/>
      <c r="NAD10" s="52"/>
      <c r="NAE10" s="75"/>
      <c r="NAL10" s="52"/>
      <c r="NAM10" s="75"/>
      <c r="NAT10" s="52"/>
      <c r="NAU10" s="75"/>
      <c r="NBB10" s="52"/>
      <c r="NBC10" s="75"/>
      <c r="NBJ10" s="52"/>
      <c r="NBK10" s="75"/>
      <c r="NBR10" s="52"/>
      <c r="NBS10" s="75"/>
      <c r="NBZ10" s="52"/>
      <c r="NCA10" s="75"/>
      <c r="NCH10" s="52"/>
      <c r="NCI10" s="75"/>
      <c r="NCP10" s="52"/>
      <c r="NCQ10" s="75"/>
      <c r="NCX10" s="52"/>
      <c r="NCY10" s="75"/>
      <c r="NDF10" s="52"/>
      <c r="NDG10" s="75"/>
      <c r="NDN10" s="52"/>
      <c r="NDO10" s="75"/>
      <c r="NDV10" s="52"/>
      <c r="NDW10" s="75"/>
      <c r="NED10" s="52"/>
      <c r="NEE10" s="75"/>
      <c r="NEL10" s="52"/>
      <c r="NEM10" s="75"/>
      <c r="NET10" s="52"/>
      <c r="NEU10" s="75"/>
      <c r="NFB10" s="52"/>
      <c r="NFC10" s="75"/>
      <c r="NFJ10" s="52"/>
      <c r="NFK10" s="75"/>
      <c r="NFR10" s="52"/>
      <c r="NFS10" s="75"/>
      <c r="NFZ10" s="52"/>
      <c r="NGA10" s="75"/>
      <c r="NGH10" s="52"/>
      <c r="NGI10" s="75"/>
      <c r="NGP10" s="52"/>
      <c r="NGQ10" s="75"/>
      <c r="NGX10" s="52"/>
      <c r="NGY10" s="75"/>
      <c r="NHF10" s="52"/>
      <c r="NHG10" s="75"/>
      <c r="NHN10" s="52"/>
      <c r="NHO10" s="75"/>
      <c r="NHV10" s="52"/>
      <c r="NHW10" s="75"/>
      <c r="NID10" s="52"/>
      <c r="NIE10" s="75"/>
      <c r="NIL10" s="52"/>
      <c r="NIM10" s="75"/>
      <c r="NIT10" s="52"/>
      <c r="NIU10" s="75"/>
      <c r="NJB10" s="52"/>
      <c r="NJC10" s="75"/>
      <c r="NJJ10" s="52"/>
      <c r="NJK10" s="75"/>
      <c r="NJR10" s="52"/>
      <c r="NJS10" s="75"/>
      <c r="NJZ10" s="52"/>
      <c r="NKA10" s="75"/>
      <c r="NKH10" s="52"/>
      <c r="NKI10" s="75"/>
      <c r="NKP10" s="52"/>
      <c r="NKQ10" s="75"/>
      <c r="NKX10" s="52"/>
      <c r="NKY10" s="75"/>
      <c r="NLF10" s="52"/>
      <c r="NLG10" s="75"/>
      <c r="NLN10" s="52"/>
      <c r="NLO10" s="75"/>
      <c r="NLV10" s="52"/>
      <c r="NLW10" s="75"/>
      <c r="NMD10" s="52"/>
      <c r="NME10" s="75"/>
      <c r="NML10" s="52"/>
      <c r="NMM10" s="75"/>
      <c r="NMT10" s="52"/>
      <c r="NMU10" s="75"/>
      <c r="NNB10" s="52"/>
      <c r="NNC10" s="75"/>
      <c r="NNJ10" s="52"/>
      <c r="NNK10" s="75"/>
      <c r="NNR10" s="52"/>
      <c r="NNS10" s="75"/>
      <c r="NNZ10" s="52"/>
      <c r="NOA10" s="75"/>
      <c r="NOH10" s="52"/>
      <c r="NOI10" s="75"/>
      <c r="NOP10" s="52"/>
      <c r="NOQ10" s="75"/>
      <c r="NOX10" s="52"/>
      <c r="NOY10" s="75"/>
      <c r="NPF10" s="52"/>
      <c r="NPG10" s="75"/>
      <c r="NPN10" s="52"/>
      <c r="NPO10" s="75"/>
      <c r="NPV10" s="52"/>
      <c r="NPW10" s="75"/>
      <c r="NQD10" s="52"/>
      <c r="NQE10" s="75"/>
      <c r="NQL10" s="52"/>
      <c r="NQM10" s="75"/>
      <c r="NQT10" s="52"/>
      <c r="NQU10" s="75"/>
      <c r="NRB10" s="52"/>
      <c r="NRC10" s="75"/>
      <c r="NRJ10" s="52"/>
      <c r="NRK10" s="75"/>
      <c r="NRR10" s="52"/>
      <c r="NRS10" s="75"/>
      <c r="NRZ10" s="52"/>
      <c r="NSA10" s="75"/>
      <c r="NSH10" s="52"/>
      <c r="NSI10" s="75"/>
      <c r="NSP10" s="52"/>
      <c r="NSQ10" s="75"/>
      <c r="NSX10" s="52"/>
      <c r="NSY10" s="75"/>
      <c r="NTF10" s="52"/>
      <c r="NTG10" s="75"/>
      <c r="NTN10" s="52"/>
      <c r="NTO10" s="75"/>
      <c r="NTV10" s="52"/>
      <c r="NTW10" s="75"/>
      <c r="NUD10" s="52"/>
      <c r="NUE10" s="75"/>
      <c r="NUL10" s="52"/>
      <c r="NUM10" s="75"/>
      <c r="NUT10" s="52"/>
      <c r="NUU10" s="75"/>
      <c r="NVB10" s="52"/>
      <c r="NVC10" s="75"/>
      <c r="NVJ10" s="52"/>
      <c r="NVK10" s="75"/>
      <c r="NVR10" s="52"/>
      <c r="NVS10" s="75"/>
      <c r="NVZ10" s="52"/>
      <c r="NWA10" s="75"/>
      <c r="NWH10" s="52"/>
      <c r="NWI10" s="75"/>
      <c r="NWP10" s="52"/>
      <c r="NWQ10" s="75"/>
      <c r="NWX10" s="52"/>
      <c r="NWY10" s="75"/>
      <c r="NXF10" s="52"/>
      <c r="NXG10" s="75"/>
      <c r="NXN10" s="52"/>
      <c r="NXO10" s="75"/>
      <c r="NXV10" s="52"/>
      <c r="NXW10" s="75"/>
      <c r="NYD10" s="52"/>
      <c r="NYE10" s="75"/>
      <c r="NYL10" s="52"/>
      <c r="NYM10" s="75"/>
      <c r="NYT10" s="52"/>
      <c r="NYU10" s="75"/>
      <c r="NZB10" s="52"/>
      <c r="NZC10" s="75"/>
      <c r="NZJ10" s="52"/>
      <c r="NZK10" s="75"/>
      <c r="NZR10" s="52"/>
      <c r="NZS10" s="75"/>
      <c r="NZZ10" s="52"/>
      <c r="OAA10" s="75"/>
      <c r="OAH10" s="52"/>
      <c r="OAI10" s="75"/>
      <c r="OAP10" s="52"/>
      <c r="OAQ10" s="75"/>
      <c r="OAX10" s="52"/>
      <c r="OAY10" s="75"/>
      <c r="OBF10" s="52"/>
      <c r="OBG10" s="75"/>
      <c r="OBN10" s="52"/>
      <c r="OBO10" s="75"/>
      <c r="OBV10" s="52"/>
      <c r="OBW10" s="75"/>
      <c r="OCD10" s="52"/>
      <c r="OCE10" s="75"/>
      <c r="OCL10" s="52"/>
      <c r="OCM10" s="75"/>
      <c r="OCT10" s="52"/>
      <c r="OCU10" s="75"/>
      <c r="ODB10" s="52"/>
      <c r="ODC10" s="75"/>
      <c r="ODJ10" s="52"/>
      <c r="ODK10" s="75"/>
      <c r="ODR10" s="52"/>
      <c r="ODS10" s="75"/>
      <c r="ODZ10" s="52"/>
      <c r="OEA10" s="75"/>
      <c r="OEH10" s="52"/>
      <c r="OEI10" s="75"/>
      <c r="OEP10" s="52"/>
      <c r="OEQ10" s="75"/>
      <c r="OEX10" s="52"/>
      <c r="OEY10" s="75"/>
      <c r="OFF10" s="52"/>
      <c r="OFG10" s="75"/>
      <c r="OFN10" s="52"/>
      <c r="OFO10" s="75"/>
      <c r="OFV10" s="52"/>
      <c r="OFW10" s="75"/>
      <c r="OGD10" s="52"/>
      <c r="OGE10" s="75"/>
      <c r="OGL10" s="52"/>
      <c r="OGM10" s="75"/>
      <c r="OGT10" s="52"/>
      <c r="OGU10" s="75"/>
      <c r="OHB10" s="52"/>
      <c r="OHC10" s="75"/>
      <c r="OHJ10" s="52"/>
      <c r="OHK10" s="75"/>
      <c r="OHR10" s="52"/>
      <c r="OHS10" s="75"/>
      <c r="OHZ10" s="52"/>
      <c r="OIA10" s="75"/>
      <c r="OIH10" s="52"/>
      <c r="OII10" s="75"/>
      <c r="OIP10" s="52"/>
      <c r="OIQ10" s="75"/>
      <c r="OIX10" s="52"/>
      <c r="OIY10" s="75"/>
      <c r="OJF10" s="52"/>
      <c r="OJG10" s="75"/>
      <c r="OJN10" s="52"/>
      <c r="OJO10" s="75"/>
      <c r="OJV10" s="52"/>
      <c r="OJW10" s="75"/>
      <c r="OKD10" s="52"/>
      <c r="OKE10" s="75"/>
      <c r="OKL10" s="52"/>
      <c r="OKM10" s="75"/>
      <c r="OKT10" s="52"/>
      <c r="OKU10" s="75"/>
      <c r="OLB10" s="52"/>
      <c r="OLC10" s="75"/>
      <c r="OLJ10" s="52"/>
      <c r="OLK10" s="75"/>
      <c r="OLR10" s="52"/>
      <c r="OLS10" s="75"/>
      <c r="OLZ10" s="52"/>
      <c r="OMA10" s="75"/>
      <c r="OMH10" s="52"/>
      <c r="OMI10" s="75"/>
      <c r="OMP10" s="52"/>
      <c r="OMQ10" s="75"/>
      <c r="OMX10" s="52"/>
      <c r="OMY10" s="75"/>
      <c r="ONF10" s="52"/>
      <c r="ONG10" s="75"/>
      <c r="ONN10" s="52"/>
      <c r="ONO10" s="75"/>
      <c r="ONV10" s="52"/>
      <c r="ONW10" s="75"/>
      <c r="OOD10" s="52"/>
      <c r="OOE10" s="75"/>
      <c r="OOL10" s="52"/>
      <c r="OOM10" s="75"/>
      <c r="OOT10" s="52"/>
      <c r="OOU10" s="75"/>
      <c r="OPB10" s="52"/>
      <c r="OPC10" s="75"/>
      <c r="OPJ10" s="52"/>
      <c r="OPK10" s="75"/>
      <c r="OPR10" s="52"/>
      <c r="OPS10" s="75"/>
      <c r="OPZ10" s="52"/>
      <c r="OQA10" s="75"/>
      <c r="OQH10" s="52"/>
      <c r="OQI10" s="75"/>
      <c r="OQP10" s="52"/>
      <c r="OQQ10" s="75"/>
      <c r="OQX10" s="52"/>
      <c r="OQY10" s="75"/>
      <c r="ORF10" s="52"/>
      <c r="ORG10" s="75"/>
      <c r="ORN10" s="52"/>
      <c r="ORO10" s="75"/>
      <c r="ORV10" s="52"/>
      <c r="ORW10" s="75"/>
      <c r="OSD10" s="52"/>
      <c r="OSE10" s="75"/>
      <c r="OSL10" s="52"/>
      <c r="OSM10" s="75"/>
      <c r="OST10" s="52"/>
      <c r="OSU10" s="75"/>
      <c r="OTB10" s="52"/>
      <c r="OTC10" s="75"/>
      <c r="OTJ10" s="52"/>
      <c r="OTK10" s="75"/>
      <c r="OTR10" s="52"/>
      <c r="OTS10" s="75"/>
      <c r="OTZ10" s="52"/>
      <c r="OUA10" s="75"/>
      <c r="OUH10" s="52"/>
      <c r="OUI10" s="75"/>
      <c r="OUP10" s="52"/>
      <c r="OUQ10" s="75"/>
      <c r="OUX10" s="52"/>
      <c r="OUY10" s="75"/>
      <c r="OVF10" s="52"/>
      <c r="OVG10" s="75"/>
      <c r="OVN10" s="52"/>
      <c r="OVO10" s="75"/>
      <c r="OVV10" s="52"/>
      <c r="OVW10" s="75"/>
      <c r="OWD10" s="52"/>
      <c r="OWE10" s="75"/>
      <c r="OWL10" s="52"/>
      <c r="OWM10" s="75"/>
      <c r="OWT10" s="52"/>
      <c r="OWU10" s="75"/>
      <c r="OXB10" s="52"/>
      <c r="OXC10" s="75"/>
      <c r="OXJ10" s="52"/>
      <c r="OXK10" s="75"/>
      <c r="OXR10" s="52"/>
      <c r="OXS10" s="75"/>
      <c r="OXZ10" s="52"/>
      <c r="OYA10" s="75"/>
      <c r="OYH10" s="52"/>
      <c r="OYI10" s="75"/>
      <c r="OYP10" s="52"/>
      <c r="OYQ10" s="75"/>
      <c r="OYX10" s="52"/>
      <c r="OYY10" s="75"/>
      <c r="OZF10" s="52"/>
      <c r="OZG10" s="75"/>
      <c r="OZN10" s="52"/>
      <c r="OZO10" s="75"/>
      <c r="OZV10" s="52"/>
      <c r="OZW10" s="75"/>
      <c r="PAD10" s="52"/>
      <c r="PAE10" s="75"/>
      <c r="PAL10" s="52"/>
      <c r="PAM10" s="75"/>
      <c r="PAT10" s="52"/>
      <c r="PAU10" s="75"/>
      <c r="PBB10" s="52"/>
      <c r="PBC10" s="75"/>
      <c r="PBJ10" s="52"/>
      <c r="PBK10" s="75"/>
      <c r="PBR10" s="52"/>
      <c r="PBS10" s="75"/>
      <c r="PBZ10" s="52"/>
      <c r="PCA10" s="75"/>
      <c r="PCH10" s="52"/>
      <c r="PCI10" s="75"/>
      <c r="PCP10" s="52"/>
      <c r="PCQ10" s="75"/>
      <c r="PCX10" s="52"/>
      <c r="PCY10" s="75"/>
      <c r="PDF10" s="52"/>
      <c r="PDG10" s="75"/>
      <c r="PDN10" s="52"/>
      <c r="PDO10" s="75"/>
      <c r="PDV10" s="52"/>
      <c r="PDW10" s="75"/>
      <c r="PED10" s="52"/>
      <c r="PEE10" s="75"/>
      <c r="PEL10" s="52"/>
      <c r="PEM10" s="75"/>
      <c r="PET10" s="52"/>
      <c r="PEU10" s="75"/>
      <c r="PFB10" s="52"/>
      <c r="PFC10" s="75"/>
      <c r="PFJ10" s="52"/>
      <c r="PFK10" s="75"/>
      <c r="PFR10" s="52"/>
      <c r="PFS10" s="75"/>
      <c r="PFZ10" s="52"/>
      <c r="PGA10" s="75"/>
      <c r="PGH10" s="52"/>
      <c r="PGI10" s="75"/>
      <c r="PGP10" s="52"/>
      <c r="PGQ10" s="75"/>
      <c r="PGX10" s="52"/>
      <c r="PGY10" s="75"/>
      <c r="PHF10" s="52"/>
      <c r="PHG10" s="75"/>
      <c r="PHN10" s="52"/>
      <c r="PHO10" s="75"/>
      <c r="PHV10" s="52"/>
      <c r="PHW10" s="75"/>
      <c r="PID10" s="52"/>
      <c r="PIE10" s="75"/>
      <c r="PIL10" s="52"/>
      <c r="PIM10" s="75"/>
      <c r="PIT10" s="52"/>
      <c r="PIU10" s="75"/>
      <c r="PJB10" s="52"/>
      <c r="PJC10" s="75"/>
      <c r="PJJ10" s="52"/>
      <c r="PJK10" s="75"/>
      <c r="PJR10" s="52"/>
      <c r="PJS10" s="75"/>
      <c r="PJZ10" s="52"/>
      <c r="PKA10" s="75"/>
      <c r="PKH10" s="52"/>
      <c r="PKI10" s="75"/>
      <c r="PKP10" s="52"/>
      <c r="PKQ10" s="75"/>
      <c r="PKX10" s="52"/>
      <c r="PKY10" s="75"/>
      <c r="PLF10" s="52"/>
      <c r="PLG10" s="75"/>
      <c r="PLN10" s="52"/>
      <c r="PLO10" s="75"/>
      <c r="PLV10" s="52"/>
      <c r="PLW10" s="75"/>
      <c r="PMD10" s="52"/>
      <c r="PME10" s="75"/>
      <c r="PML10" s="52"/>
      <c r="PMM10" s="75"/>
      <c r="PMT10" s="52"/>
      <c r="PMU10" s="75"/>
      <c r="PNB10" s="52"/>
      <c r="PNC10" s="75"/>
      <c r="PNJ10" s="52"/>
      <c r="PNK10" s="75"/>
      <c r="PNR10" s="52"/>
      <c r="PNS10" s="75"/>
      <c r="PNZ10" s="52"/>
      <c r="POA10" s="75"/>
      <c r="POH10" s="52"/>
      <c r="POI10" s="75"/>
      <c r="POP10" s="52"/>
      <c r="POQ10" s="75"/>
      <c r="POX10" s="52"/>
      <c r="POY10" s="75"/>
      <c r="PPF10" s="52"/>
      <c r="PPG10" s="75"/>
      <c r="PPN10" s="52"/>
      <c r="PPO10" s="75"/>
      <c r="PPV10" s="52"/>
      <c r="PPW10" s="75"/>
      <c r="PQD10" s="52"/>
      <c r="PQE10" s="75"/>
      <c r="PQL10" s="52"/>
      <c r="PQM10" s="75"/>
      <c r="PQT10" s="52"/>
      <c r="PQU10" s="75"/>
      <c r="PRB10" s="52"/>
      <c r="PRC10" s="75"/>
      <c r="PRJ10" s="52"/>
      <c r="PRK10" s="75"/>
      <c r="PRR10" s="52"/>
      <c r="PRS10" s="75"/>
      <c r="PRZ10" s="52"/>
      <c r="PSA10" s="75"/>
      <c r="PSH10" s="52"/>
      <c r="PSI10" s="75"/>
      <c r="PSP10" s="52"/>
      <c r="PSQ10" s="75"/>
      <c r="PSX10" s="52"/>
      <c r="PSY10" s="75"/>
      <c r="PTF10" s="52"/>
      <c r="PTG10" s="75"/>
      <c r="PTN10" s="52"/>
      <c r="PTO10" s="75"/>
      <c r="PTV10" s="52"/>
      <c r="PTW10" s="75"/>
      <c r="PUD10" s="52"/>
      <c r="PUE10" s="75"/>
      <c r="PUL10" s="52"/>
      <c r="PUM10" s="75"/>
      <c r="PUT10" s="52"/>
      <c r="PUU10" s="75"/>
      <c r="PVB10" s="52"/>
      <c r="PVC10" s="75"/>
      <c r="PVJ10" s="52"/>
      <c r="PVK10" s="75"/>
      <c r="PVR10" s="52"/>
      <c r="PVS10" s="75"/>
      <c r="PVZ10" s="52"/>
      <c r="PWA10" s="75"/>
      <c r="PWH10" s="52"/>
      <c r="PWI10" s="75"/>
      <c r="PWP10" s="52"/>
      <c r="PWQ10" s="75"/>
      <c r="PWX10" s="52"/>
      <c r="PWY10" s="75"/>
      <c r="PXF10" s="52"/>
      <c r="PXG10" s="75"/>
      <c r="PXN10" s="52"/>
      <c r="PXO10" s="75"/>
      <c r="PXV10" s="52"/>
      <c r="PXW10" s="75"/>
      <c r="PYD10" s="52"/>
      <c r="PYE10" s="75"/>
      <c r="PYL10" s="52"/>
      <c r="PYM10" s="75"/>
      <c r="PYT10" s="52"/>
      <c r="PYU10" s="75"/>
      <c r="PZB10" s="52"/>
      <c r="PZC10" s="75"/>
      <c r="PZJ10" s="52"/>
      <c r="PZK10" s="75"/>
      <c r="PZR10" s="52"/>
      <c r="PZS10" s="75"/>
      <c r="PZZ10" s="52"/>
      <c r="QAA10" s="75"/>
      <c r="QAH10" s="52"/>
      <c r="QAI10" s="75"/>
      <c r="QAP10" s="52"/>
      <c r="QAQ10" s="75"/>
      <c r="QAX10" s="52"/>
      <c r="QAY10" s="75"/>
      <c r="QBF10" s="52"/>
      <c r="QBG10" s="75"/>
      <c r="QBN10" s="52"/>
      <c r="QBO10" s="75"/>
      <c r="QBV10" s="52"/>
      <c r="QBW10" s="75"/>
      <c r="QCD10" s="52"/>
      <c r="QCE10" s="75"/>
      <c r="QCL10" s="52"/>
      <c r="QCM10" s="75"/>
      <c r="QCT10" s="52"/>
      <c r="QCU10" s="75"/>
      <c r="QDB10" s="52"/>
      <c r="QDC10" s="75"/>
      <c r="QDJ10" s="52"/>
      <c r="QDK10" s="75"/>
      <c r="QDR10" s="52"/>
      <c r="QDS10" s="75"/>
      <c r="QDZ10" s="52"/>
      <c r="QEA10" s="75"/>
      <c r="QEH10" s="52"/>
      <c r="QEI10" s="75"/>
      <c r="QEP10" s="52"/>
      <c r="QEQ10" s="75"/>
      <c r="QEX10" s="52"/>
      <c r="QEY10" s="75"/>
      <c r="QFF10" s="52"/>
      <c r="QFG10" s="75"/>
      <c r="QFN10" s="52"/>
      <c r="QFO10" s="75"/>
      <c r="QFV10" s="52"/>
      <c r="QFW10" s="75"/>
      <c r="QGD10" s="52"/>
      <c r="QGE10" s="75"/>
      <c r="QGL10" s="52"/>
      <c r="QGM10" s="75"/>
      <c r="QGT10" s="52"/>
      <c r="QGU10" s="75"/>
      <c r="QHB10" s="52"/>
      <c r="QHC10" s="75"/>
      <c r="QHJ10" s="52"/>
      <c r="QHK10" s="75"/>
      <c r="QHR10" s="52"/>
      <c r="QHS10" s="75"/>
      <c r="QHZ10" s="52"/>
      <c r="QIA10" s="75"/>
      <c r="QIH10" s="52"/>
      <c r="QII10" s="75"/>
      <c r="QIP10" s="52"/>
      <c r="QIQ10" s="75"/>
      <c r="QIX10" s="52"/>
      <c r="QIY10" s="75"/>
      <c r="QJF10" s="52"/>
      <c r="QJG10" s="75"/>
      <c r="QJN10" s="52"/>
      <c r="QJO10" s="75"/>
      <c r="QJV10" s="52"/>
      <c r="QJW10" s="75"/>
      <c r="QKD10" s="52"/>
      <c r="QKE10" s="75"/>
      <c r="QKL10" s="52"/>
      <c r="QKM10" s="75"/>
      <c r="QKT10" s="52"/>
      <c r="QKU10" s="75"/>
      <c r="QLB10" s="52"/>
      <c r="QLC10" s="75"/>
      <c r="QLJ10" s="52"/>
      <c r="QLK10" s="75"/>
      <c r="QLR10" s="52"/>
      <c r="QLS10" s="75"/>
      <c r="QLZ10" s="52"/>
      <c r="QMA10" s="75"/>
      <c r="QMH10" s="52"/>
      <c r="QMI10" s="75"/>
      <c r="QMP10" s="52"/>
      <c r="QMQ10" s="75"/>
      <c r="QMX10" s="52"/>
      <c r="QMY10" s="75"/>
      <c r="QNF10" s="52"/>
      <c r="QNG10" s="75"/>
      <c r="QNN10" s="52"/>
      <c r="QNO10" s="75"/>
      <c r="QNV10" s="52"/>
      <c r="QNW10" s="75"/>
      <c r="QOD10" s="52"/>
      <c r="QOE10" s="75"/>
      <c r="QOL10" s="52"/>
      <c r="QOM10" s="75"/>
      <c r="QOT10" s="52"/>
      <c r="QOU10" s="75"/>
      <c r="QPB10" s="52"/>
      <c r="QPC10" s="75"/>
      <c r="QPJ10" s="52"/>
      <c r="QPK10" s="75"/>
      <c r="QPR10" s="52"/>
      <c r="QPS10" s="75"/>
      <c r="QPZ10" s="52"/>
      <c r="QQA10" s="75"/>
      <c r="QQH10" s="52"/>
      <c r="QQI10" s="75"/>
      <c r="QQP10" s="52"/>
      <c r="QQQ10" s="75"/>
      <c r="QQX10" s="52"/>
      <c r="QQY10" s="75"/>
      <c r="QRF10" s="52"/>
      <c r="QRG10" s="75"/>
      <c r="QRN10" s="52"/>
      <c r="QRO10" s="75"/>
      <c r="QRV10" s="52"/>
      <c r="QRW10" s="75"/>
      <c r="QSD10" s="52"/>
      <c r="QSE10" s="75"/>
      <c r="QSL10" s="52"/>
      <c r="QSM10" s="75"/>
      <c r="QST10" s="52"/>
      <c r="QSU10" s="75"/>
      <c r="QTB10" s="52"/>
      <c r="QTC10" s="75"/>
      <c r="QTJ10" s="52"/>
      <c r="QTK10" s="75"/>
      <c r="QTR10" s="52"/>
      <c r="QTS10" s="75"/>
      <c r="QTZ10" s="52"/>
      <c r="QUA10" s="75"/>
      <c r="QUH10" s="52"/>
      <c r="QUI10" s="75"/>
      <c r="QUP10" s="52"/>
      <c r="QUQ10" s="75"/>
      <c r="QUX10" s="52"/>
      <c r="QUY10" s="75"/>
      <c r="QVF10" s="52"/>
      <c r="QVG10" s="75"/>
      <c r="QVN10" s="52"/>
      <c r="QVO10" s="75"/>
      <c r="QVV10" s="52"/>
      <c r="QVW10" s="75"/>
      <c r="QWD10" s="52"/>
      <c r="QWE10" s="75"/>
      <c r="QWL10" s="52"/>
      <c r="QWM10" s="75"/>
      <c r="QWT10" s="52"/>
      <c r="QWU10" s="75"/>
      <c r="QXB10" s="52"/>
      <c r="QXC10" s="75"/>
      <c r="QXJ10" s="52"/>
      <c r="QXK10" s="75"/>
      <c r="QXR10" s="52"/>
      <c r="QXS10" s="75"/>
      <c r="QXZ10" s="52"/>
      <c r="QYA10" s="75"/>
      <c r="QYH10" s="52"/>
      <c r="QYI10" s="75"/>
      <c r="QYP10" s="52"/>
      <c r="QYQ10" s="75"/>
      <c r="QYX10" s="52"/>
      <c r="QYY10" s="75"/>
      <c r="QZF10" s="52"/>
      <c r="QZG10" s="75"/>
      <c r="QZN10" s="52"/>
      <c r="QZO10" s="75"/>
      <c r="QZV10" s="52"/>
      <c r="QZW10" s="75"/>
      <c r="RAD10" s="52"/>
      <c r="RAE10" s="75"/>
      <c r="RAL10" s="52"/>
      <c r="RAM10" s="75"/>
      <c r="RAT10" s="52"/>
      <c r="RAU10" s="75"/>
      <c r="RBB10" s="52"/>
      <c r="RBC10" s="75"/>
      <c r="RBJ10" s="52"/>
      <c r="RBK10" s="75"/>
      <c r="RBR10" s="52"/>
      <c r="RBS10" s="75"/>
      <c r="RBZ10" s="52"/>
      <c r="RCA10" s="75"/>
      <c r="RCH10" s="52"/>
      <c r="RCI10" s="75"/>
      <c r="RCP10" s="52"/>
      <c r="RCQ10" s="75"/>
      <c r="RCX10" s="52"/>
      <c r="RCY10" s="75"/>
      <c r="RDF10" s="52"/>
      <c r="RDG10" s="75"/>
      <c r="RDN10" s="52"/>
      <c r="RDO10" s="75"/>
      <c r="RDV10" s="52"/>
      <c r="RDW10" s="75"/>
      <c r="RED10" s="52"/>
      <c r="REE10" s="75"/>
      <c r="REL10" s="52"/>
      <c r="REM10" s="75"/>
      <c r="RET10" s="52"/>
      <c r="REU10" s="75"/>
      <c r="RFB10" s="52"/>
      <c r="RFC10" s="75"/>
      <c r="RFJ10" s="52"/>
      <c r="RFK10" s="75"/>
      <c r="RFR10" s="52"/>
      <c r="RFS10" s="75"/>
      <c r="RFZ10" s="52"/>
      <c r="RGA10" s="75"/>
      <c r="RGH10" s="52"/>
      <c r="RGI10" s="75"/>
      <c r="RGP10" s="52"/>
      <c r="RGQ10" s="75"/>
      <c r="RGX10" s="52"/>
      <c r="RGY10" s="75"/>
      <c r="RHF10" s="52"/>
      <c r="RHG10" s="75"/>
      <c r="RHN10" s="52"/>
      <c r="RHO10" s="75"/>
      <c r="RHV10" s="52"/>
      <c r="RHW10" s="75"/>
      <c r="RID10" s="52"/>
      <c r="RIE10" s="75"/>
      <c r="RIL10" s="52"/>
      <c r="RIM10" s="75"/>
      <c r="RIT10" s="52"/>
      <c r="RIU10" s="75"/>
      <c r="RJB10" s="52"/>
      <c r="RJC10" s="75"/>
      <c r="RJJ10" s="52"/>
      <c r="RJK10" s="75"/>
      <c r="RJR10" s="52"/>
      <c r="RJS10" s="75"/>
      <c r="RJZ10" s="52"/>
      <c r="RKA10" s="75"/>
      <c r="RKH10" s="52"/>
      <c r="RKI10" s="75"/>
      <c r="RKP10" s="52"/>
      <c r="RKQ10" s="75"/>
      <c r="RKX10" s="52"/>
      <c r="RKY10" s="75"/>
      <c r="RLF10" s="52"/>
      <c r="RLG10" s="75"/>
      <c r="RLN10" s="52"/>
      <c r="RLO10" s="75"/>
      <c r="RLV10" s="52"/>
      <c r="RLW10" s="75"/>
      <c r="RMD10" s="52"/>
      <c r="RME10" s="75"/>
      <c r="RML10" s="52"/>
      <c r="RMM10" s="75"/>
      <c r="RMT10" s="52"/>
      <c r="RMU10" s="75"/>
      <c r="RNB10" s="52"/>
      <c r="RNC10" s="75"/>
      <c r="RNJ10" s="52"/>
      <c r="RNK10" s="75"/>
      <c r="RNR10" s="52"/>
      <c r="RNS10" s="75"/>
      <c r="RNZ10" s="52"/>
      <c r="ROA10" s="75"/>
      <c r="ROH10" s="52"/>
      <c r="ROI10" s="75"/>
      <c r="ROP10" s="52"/>
      <c r="ROQ10" s="75"/>
      <c r="ROX10" s="52"/>
      <c r="ROY10" s="75"/>
      <c r="RPF10" s="52"/>
      <c r="RPG10" s="75"/>
      <c r="RPN10" s="52"/>
      <c r="RPO10" s="75"/>
      <c r="RPV10" s="52"/>
      <c r="RPW10" s="75"/>
      <c r="RQD10" s="52"/>
      <c r="RQE10" s="75"/>
      <c r="RQL10" s="52"/>
      <c r="RQM10" s="75"/>
      <c r="RQT10" s="52"/>
      <c r="RQU10" s="75"/>
      <c r="RRB10" s="52"/>
      <c r="RRC10" s="75"/>
      <c r="RRJ10" s="52"/>
      <c r="RRK10" s="75"/>
      <c r="RRR10" s="52"/>
      <c r="RRS10" s="75"/>
      <c r="RRZ10" s="52"/>
      <c r="RSA10" s="75"/>
      <c r="RSH10" s="52"/>
      <c r="RSI10" s="75"/>
      <c r="RSP10" s="52"/>
      <c r="RSQ10" s="75"/>
      <c r="RSX10" s="52"/>
      <c r="RSY10" s="75"/>
      <c r="RTF10" s="52"/>
      <c r="RTG10" s="75"/>
      <c r="RTN10" s="52"/>
      <c r="RTO10" s="75"/>
      <c r="RTV10" s="52"/>
      <c r="RTW10" s="75"/>
      <c r="RUD10" s="52"/>
      <c r="RUE10" s="75"/>
      <c r="RUL10" s="52"/>
      <c r="RUM10" s="75"/>
      <c r="RUT10" s="52"/>
      <c r="RUU10" s="75"/>
      <c r="RVB10" s="52"/>
      <c r="RVC10" s="75"/>
      <c r="RVJ10" s="52"/>
      <c r="RVK10" s="75"/>
      <c r="RVR10" s="52"/>
      <c r="RVS10" s="75"/>
      <c r="RVZ10" s="52"/>
      <c r="RWA10" s="75"/>
      <c r="RWH10" s="52"/>
      <c r="RWI10" s="75"/>
      <c r="RWP10" s="52"/>
      <c r="RWQ10" s="75"/>
      <c r="RWX10" s="52"/>
      <c r="RWY10" s="75"/>
      <c r="RXF10" s="52"/>
      <c r="RXG10" s="75"/>
      <c r="RXN10" s="52"/>
      <c r="RXO10" s="75"/>
      <c r="RXV10" s="52"/>
      <c r="RXW10" s="75"/>
      <c r="RYD10" s="52"/>
      <c r="RYE10" s="75"/>
      <c r="RYL10" s="52"/>
      <c r="RYM10" s="75"/>
      <c r="RYT10" s="52"/>
      <c r="RYU10" s="75"/>
      <c r="RZB10" s="52"/>
      <c r="RZC10" s="75"/>
      <c r="RZJ10" s="52"/>
      <c r="RZK10" s="75"/>
      <c r="RZR10" s="52"/>
      <c r="RZS10" s="75"/>
      <c r="RZZ10" s="52"/>
      <c r="SAA10" s="75"/>
      <c r="SAH10" s="52"/>
      <c r="SAI10" s="75"/>
      <c r="SAP10" s="52"/>
      <c r="SAQ10" s="75"/>
      <c r="SAX10" s="52"/>
      <c r="SAY10" s="75"/>
      <c r="SBF10" s="52"/>
      <c r="SBG10" s="75"/>
      <c r="SBN10" s="52"/>
      <c r="SBO10" s="75"/>
      <c r="SBV10" s="52"/>
      <c r="SBW10" s="75"/>
      <c r="SCD10" s="52"/>
      <c r="SCE10" s="75"/>
      <c r="SCL10" s="52"/>
      <c r="SCM10" s="75"/>
      <c r="SCT10" s="52"/>
      <c r="SCU10" s="75"/>
      <c r="SDB10" s="52"/>
      <c r="SDC10" s="75"/>
      <c r="SDJ10" s="52"/>
      <c r="SDK10" s="75"/>
      <c r="SDR10" s="52"/>
      <c r="SDS10" s="75"/>
      <c r="SDZ10" s="52"/>
      <c r="SEA10" s="75"/>
      <c r="SEH10" s="52"/>
      <c r="SEI10" s="75"/>
      <c r="SEP10" s="52"/>
      <c r="SEQ10" s="75"/>
      <c r="SEX10" s="52"/>
      <c r="SEY10" s="75"/>
      <c r="SFF10" s="52"/>
      <c r="SFG10" s="75"/>
      <c r="SFN10" s="52"/>
      <c r="SFO10" s="75"/>
      <c r="SFV10" s="52"/>
      <c r="SFW10" s="75"/>
      <c r="SGD10" s="52"/>
      <c r="SGE10" s="75"/>
      <c r="SGL10" s="52"/>
      <c r="SGM10" s="75"/>
      <c r="SGT10" s="52"/>
      <c r="SGU10" s="75"/>
      <c r="SHB10" s="52"/>
      <c r="SHC10" s="75"/>
      <c r="SHJ10" s="52"/>
      <c r="SHK10" s="75"/>
      <c r="SHR10" s="52"/>
      <c r="SHS10" s="75"/>
      <c r="SHZ10" s="52"/>
      <c r="SIA10" s="75"/>
      <c r="SIH10" s="52"/>
      <c r="SII10" s="75"/>
      <c r="SIP10" s="52"/>
      <c r="SIQ10" s="75"/>
      <c r="SIX10" s="52"/>
      <c r="SIY10" s="75"/>
      <c r="SJF10" s="52"/>
      <c r="SJG10" s="75"/>
      <c r="SJN10" s="52"/>
      <c r="SJO10" s="75"/>
      <c r="SJV10" s="52"/>
      <c r="SJW10" s="75"/>
      <c r="SKD10" s="52"/>
      <c r="SKE10" s="75"/>
      <c r="SKL10" s="52"/>
      <c r="SKM10" s="75"/>
      <c r="SKT10" s="52"/>
      <c r="SKU10" s="75"/>
      <c r="SLB10" s="52"/>
      <c r="SLC10" s="75"/>
      <c r="SLJ10" s="52"/>
      <c r="SLK10" s="75"/>
      <c r="SLR10" s="52"/>
      <c r="SLS10" s="75"/>
      <c r="SLZ10" s="52"/>
      <c r="SMA10" s="75"/>
      <c r="SMH10" s="52"/>
      <c r="SMI10" s="75"/>
      <c r="SMP10" s="52"/>
      <c r="SMQ10" s="75"/>
      <c r="SMX10" s="52"/>
      <c r="SMY10" s="75"/>
      <c r="SNF10" s="52"/>
      <c r="SNG10" s="75"/>
      <c r="SNN10" s="52"/>
      <c r="SNO10" s="75"/>
      <c r="SNV10" s="52"/>
      <c r="SNW10" s="75"/>
      <c r="SOD10" s="52"/>
      <c r="SOE10" s="75"/>
      <c r="SOL10" s="52"/>
      <c r="SOM10" s="75"/>
      <c r="SOT10" s="52"/>
      <c r="SOU10" s="75"/>
      <c r="SPB10" s="52"/>
      <c r="SPC10" s="75"/>
      <c r="SPJ10" s="52"/>
      <c r="SPK10" s="75"/>
      <c r="SPR10" s="52"/>
      <c r="SPS10" s="75"/>
      <c r="SPZ10" s="52"/>
      <c r="SQA10" s="75"/>
      <c r="SQH10" s="52"/>
      <c r="SQI10" s="75"/>
      <c r="SQP10" s="52"/>
      <c r="SQQ10" s="75"/>
      <c r="SQX10" s="52"/>
      <c r="SQY10" s="75"/>
      <c r="SRF10" s="52"/>
      <c r="SRG10" s="75"/>
      <c r="SRN10" s="52"/>
      <c r="SRO10" s="75"/>
      <c r="SRV10" s="52"/>
      <c r="SRW10" s="75"/>
      <c r="SSD10" s="52"/>
      <c r="SSE10" s="75"/>
      <c r="SSL10" s="52"/>
      <c r="SSM10" s="75"/>
      <c r="SST10" s="52"/>
      <c r="SSU10" s="75"/>
      <c r="STB10" s="52"/>
      <c r="STC10" s="75"/>
      <c r="STJ10" s="52"/>
      <c r="STK10" s="75"/>
      <c r="STR10" s="52"/>
      <c r="STS10" s="75"/>
      <c r="STZ10" s="52"/>
      <c r="SUA10" s="75"/>
      <c r="SUH10" s="52"/>
      <c r="SUI10" s="75"/>
      <c r="SUP10" s="52"/>
      <c r="SUQ10" s="75"/>
      <c r="SUX10" s="52"/>
      <c r="SUY10" s="75"/>
      <c r="SVF10" s="52"/>
      <c r="SVG10" s="75"/>
      <c r="SVN10" s="52"/>
      <c r="SVO10" s="75"/>
      <c r="SVV10" s="52"/>
      <c r="SVW10" s="75"/>
      <c r="SWD10" s="52"/>
      <c r="SWE10" s="75"/>
      <c r="SWL10" s="52"/>
      <c r="SWM10" s="75"/>
      <c r="SWT10" s="52"/>
      <c r="SWU10" s="75"/>
      <c r="SXB10" s="52"/>
      <c r="SXC10" s="75"/>
      <c r="SXJ10" s="52"/>
      <c r="SXK10" s="75"/>
      <c r="SXR10" s="52"/>
      <c r="SXS10" s="75"/>
      <c r="SXZ10" s="52"/>
      <c r="SYA10" s="75"/>
      <c r="SYH10" s="52"/>
      <c r="SYI10" s="75"/>
      <c r="SYP10" s="52"/>
      <c r="SYQ10" s="75"/>
      <c r="SYX10" s="52"/>
      <c r="SYY10" s="75"/>
      <c r="SZF10" s="52"/>
      <c r="SZG10" s="75"/>
      <c r="SZN10" s="52"/>
      <c r="SZO10" s="75"/>
      <c r="SZV10" s="52"/>
      <c r="SZW10" s="75"/>
      <c r="TAD10" s="52"/>
      <c r="TAE10" s="75"/>
      <c r="TAL10" s="52"/>
      <c r="TAM10" s="75"/>
      <c r="TAT10" s="52"/>
      <c r="TAU10" s="75"/>
      <c r="TBB10" s="52"/>
      <c r="TBC10" s="75"/>
      <c r="TBJ10" s="52"/>
      <c r="TBK10" s="75"/>
      <c r="TBR10" s="52"/>
      <c r="TBS10" s="75"/>
      <c r="TBZ10" s="52"/>
      <c r="TCA10" s="75"/>
      <c r="TCH10" s="52"/>
      <c r="TCI10" s="75"/>
      <c r="TCP10" s="52"/>
      <c r="TCQ10" s="75"/>
      <c r="TCX10" s="52"/>
      <c r="TCY10" s="75"/>
      <c r="TDF10" s="52"/>
      <c r="TDG10" s="75"/>
      <c r="TDN10" s="52"/>
      <c r="TDO10" s="75"/>
      <c r="TDV10" s="52"/>
      <c r="TDW10" s="75"/>
      <c r="TED10" s="52"/>
      <c r="TEE10" s="75"/>
      <c r="TEL10" s="52"/>
      <c r="TEM10" s="75"/>
      <c r="TET10" s="52"/>
      <c r="TEU10" s="75"/>
      <c r="TFB10" s="52"/>
      <c r="TFC10" s="75"/>
      <c r="TFJ10" s="52"/>
      <c r="TFK10" s="75"/>
      <c r="TFR10" s="52"/>
      <c r="TFS10" s="75"/>
      <c r="TFZ10" s="52"/>
      <c r="TGA10" s="75"/>
      <c r="TGH10" s="52"/>
      <c r="TGI10" s="75"/>
      <c r="TGP10" s="52"/>
      <c r="TGQ10" s="75"/>
      <c r="TGX10" s="52"/>
      <c r="TGY10" s="75"/>
      <c r="THF10" s="52"/>
      <c r="THG10" s="75"/>
      <c r="THN10" s="52"/>
      <c r="THO10" s="75"/>
      <c r="THV10" s="52"/>
      <c r="THW10" s="75"/>
      <c r="TID10" s="52"/>
      <c r="TIE10" s="75"/>
      <c r="TIL10" s="52"/>
      <c r="TIM10" s="75"/>
      <c r="TIT10" s="52"/>
      <c r="TIU10" s="75"/>
      <c r="TJB10" s="52"/>
      <c r="TJC10" s="75"/>
      <c r="TJJ10" s="52"/>
      <c r="TJK10" s="75"/>
      <c r="TJR10" s="52"/>
      <c r="TJS10" s="75"/>
      <c r="TJZ10" s="52"/>
      <c r="TKA10" s="75"/>
      <c r="TKH10" s="52"/>
      <c r="TKI10" s="75"/>
      <c r="TKP10" s="52"/>
      <c r="TKQ10" s="75"/>
      <c r="TKX10" s="52"/>
      <c r="TKY10" s="75"/>
      <c r="TLF10" s="52"/>
      <c r="TLG10" s="75"/>
      <c r="TLN10" s="52"/>
      <c r="TLO10" s="75"/>
      <c r="TLV10" s="52"/>
      <c r="TLW10" s="75"/>
      <c r="TMD10" s="52"/>
      <c r="TME10" s="75"/>
      <c r="TML10" s="52"/>
      <c r="TMM10" s="75"/>
      <c r="TMT10" s="52"/>
      <c r="TMU10" s="75"/>
      <c r="TNB10" s="52"/>
      <c r="TNC10" s="75"/>
      <c r="TNJ10" s="52"/>
      <c r="TNK10" s="75"/>
      <c r="TNR10" s="52"/>
      <c r="TNS10" s="75"/>
      <c r="TNZ10" s="52"/>
      <c r="TOA10" s="75"/>
      <c r="TOH10" s="52"/>
      <c r="TOI10" s="75"/>
      <c r="TOP10" s="52"/>
      <c r="TOQ10" s="75"/>
      <c r="TOX10" s="52"/>
      <c r="TOY10" s="75"/>
      <c r="TPF10" s="52"/>
      <c r="TPG10" s="75"/>
      <c r="TPN10" s="52"/>
      <c r="TPO10" s="75"/>
      <c r="TPV10" s="52"/>
      <c r="TPW10" s="75"/>
      <c r="TQD10" s="52"/>
      <c r="TQE10" s="75"/>
      <c r="TQL10" s="52"/>
      <c r="TQM10" s="75"/>
      <c r="TQT10" s="52"/>
      <c r="TQU10" s="75"/>
      <c r="TRB10" s="52"/>
      <c r="TRC10" s="75"/>
      <c r="TRJ10" s="52"/>
      <c r="TRK10" s="75"/>
      <c r="TRR10" s="52"/>
      <c r="TRS10" s="75"/>
      <c r="TRZ10" s="52"/>
      <c r="TSA10" s="75"/>
      <c r="TSH10" s="52"/>
      <c r="TSI10" s="75"/>
      <c r="TSP10" s="52"/>
      <c r="TSQ10" s="75"/>
      <c r="TSX10" s="52"/>
      <c r="TSY10" s="75"/>
      <c r="TTF10" s="52"/>
      <c r="TTG10" s="75"/>
      <c r="TTN10" s="52"/>
      <c r="TTO10" s="75"/>
      <c r="TTV10" s="52"/>
      <c r="TTW10" s="75"/>
      <c r="TUD10" s="52"/>
      <c r="TUE10" s="75"/>
      <c r="TUL10" s="52"/>
      <c r="TUM10" s="75"/>
      <c r="TUT10" s="52"/>
      <c r="TUU10" s="75"/>
      <c r="TVB10" s="52"/>
      <c r="TVC10" s="75"/>
      <c r="TVJ10" s="52"/>
      <c r="TVK10" s="75"/>
      <c r="TVR10" s="52"/>
      <c r="TVS10" s="75"/>
      <c r="TVZ10" s="52"/>
      <c r="TWA10" s="75"/>
      <c r="TWH10" s="52"/>
      <c r="TWI10" s="75"/>
      <c r="TWP10" s="52"/>
      <c r="TWQ10" s="75"/>
      <c r="TWX10" s="52"/>
      <c r="TWY10" s="75"/>
      <c r="TXF10" s="52"/>
      <c r="TXG10" s="75"/>
      <c r="TXN10" s="52"/>
      <c r="TXO10" s="75"/>
      <c r="TXV10" s="52"/>
      <c r="TXW10" s="75"/>
      <c r="TYD10" s="52"/>
      <c r="TYE10" s="75"/>
      <c r="TYL10" s="52"/>
      <c r="TYM10" s="75"/>
      <c r="TYT10" s="52"/>
      <c r="TYU10" s="75"/>
      <c r="TZB10" s="52"/>
      <c r="TZC10" s="75"/>
      <c r="TZJ10" s="52"/>
      <c r="TZK10" s="75"/>
      <c r="TZR10" s="52"/>
      <c r="TZS10" s="75"/>
      <c r="TZZ10" s="52"/>
      <c r="UAA10" s="75"/>
      <c r="UAH10" s="52"/>
      <c r="UAI10" s="75"/>
      <c r="UAP10" s="52"/>
      <c r="UAQ10" s="75"/>
      <c r="UAX10" s="52"/>
      <c r="UAY10" s="75"/>
      <c r="UBF10" s="52"/>
      <c r="UBG10" s="75"/>
      <c r="UBN10" s="52"/>
      <c r="UBO10" s="75"/>
      <c r="UBV10" s="52"/>
      <c r="UBW10" s="75"/>
      <c r="UCD10" s="52"/>
      <c r="UCE10" s="75"/>
      <c r="UCL10" s="52"/>
      <c r="UCM10" s="75"/>
      <c r="UCT10" s="52"/>
      <c r="UCU10" s="75"/>
      <c r="UDB10" s="52"/>
      <c r="UDC10" s="75"/>
      <c r="UDJ10" s="52"/>
      <c r="UDK10" s="75"/>
      <c r="UDR10" s="52"/>
      <c r="UDS10" s="75"/>
      <c r="UDZ10" s="52"/>
      <c r="UEA10" s="75"/>
      <c r="UEH10" s="52"/>
      <c r="UEI10" s="75"/>
      <c r="UEP10" s="52"/>
      <c r="UEQ10" s="75"/>
      <c r="UEX10" s="52"/>
      <c r="UEY10" s="75"/>
      <c r="UFF10" s="52"/>
      <c r="UFG10" s="75"/>
      <c r="UFN10" s="52"/>
      <c r="UFO10" s="75"/>
      <c r="UFV10" s="52"/>
      <c r="UFW10" s="75"/>
      <c r="UGD10" s="52"/>
      <c r="UGE10" s="75"/>
      <c r="UGL10" s="52"/>
      <c r="UGM10" s="75"/>
      <c r="UGT10" s="52"/>
      <c r="UGU10" s="75"/>
      <c r="UHB10" s="52"/>
      <c r="UHC10" s="75"/>
      <c r="UHJ10" s="52"/>
      <c r="UHK10" s="75"/>
      <c r="UHR10" s="52"/>
      <c r="UHS10" s="75"/>
      <c r="UHZ10" s="52"/>
      <c r="UIA10" s="75"/>
      <c r="UIH10" s="52"/>
      <c r="UII10" s="75"/>
      <c r="UIP10" s="52"/>
      <c r="UIQ10" s="75"/>
      <c r="UIX10" s="52"/>
      <c r="UIY10" s="75"/>
      <c r="UJF10" s="52"/>
      <c r="UJG10" s="75"/>
      <c r="UJN10" s="52"/>
      <c r="UJO10" s="75"/>
      <c r="UJV10" s="52"/>
      <c r="UJW10" s="75"/>
      <c r="UKD10" s="52"/>
      <c r="UKE10" s="75"/>
      <c r="UKL10" s="52"/>
      <c r="UKM10" s="75"/>
      <c r="UKT10" s="52"/>
      <c r="UKU10" s="75"/>
      <c r="ULB10" s="52"/>
      <c r="ULC10" s="75"/>
      <c r="ULJ10" s="52"/>
      <c r="ULK10" s="75"/>
      <c r="ULR10" s="52"/>
      <c r="ULS10" s="75"/>
      <c r="ULZ10" s="52"/>
      <c r="UMA10" s="75"/>
      <c r="UMH10" s="52"/>
      <c r="UMI10" s="75"/>
      <c r="UMP10" s="52"/>
      <c r="UMQ10" s="75"/>
      <c r="UMX10" s="52"/>
      <c r="UMY10" s="75"/>
      <c r="UNF10" s="52"/>
      <c r="UNG10" s="75"/>
      <c r="UNN10" s="52"/>
      <c r="UNO10" s="75"/>
      <c r="UNV10" s="52"/>
      <c r="UNW10" s="75"/>
      <c r="UOD10" s="52"/>
      <c r="UOE10" s="75"/>
      <c r="UOL10" s="52"/>
      <c r="UOM10" s="75"/>
      <c r="UOT10" s="52"/>
      <c r="UOU10" s="75"/>
      <c r="UPB10" s="52"/>
      <c r="UPC10" s="75"/>
      <c r="UPJ10" s="52"/>
      <c r="UPK10" s="75"/>
      <c r="UPR10" s="52"/>
      <c r="UPS10" s="75"/>
      <c r="UPZ10" s="52"/>
      <c r="UQA10" s="75"/>
      <c r="UQH10" s="52"/>
      <c r="UQI10" s="75"/>
      <c r="UQP10" s="52"/>
      <c r="UQQ10" s="75"/>
      <c r="UQX10" s="52"/>
      <c r="UQY10" s="75"/>
      <c r="URF10" s="52"/>
      <c r="URG10" s="75"/>
      <c r="URN10" s="52"/>
      <c r="URO10" s="75"/>
      <c r="URV10" s="52"/>
      <c r="URW10" s="75"/>
      <c r="USD10" s="52"/>
      <c r="USE10" s="75"/>
      <c r="USL10" s="52"/>
      <c r="USM10" s="75"/>
      <c r="UST10" s="52"/>
      <c r="USU10" s="75"/>
      <c r="UTB10" s="52"/>
      <c r="UTC10" s="75"/>
      <c r="UTJ10" s="52"/>
      <c r="UTK10" s="75"/>
      <c r="UTR10" s="52"/>
      <c r="UTS10" s="75"/>
      <c r="UTZ10" s="52"/>
      <c r="UUA10" s="75"/>
      <c r="UUH10" s="52"/>
      <c r="UUI10" s="75"/>
      <c r="UUP10" s="52"/>
      <c r="UUQ10" s="75"/>
      <c r="UUX10" s="52"/>
      <c r="UUY10" s="75"/>
      <c r="UVF10" s="52"/>
      <c r="UVG10" s="75"/>
      <c r="UVN10" s="52"/>
      <c r="UVO10" s="75"/>
      <c r="UVV10" s="52"/>
      <c r="UVW10" s="75"/>
      <c r="UWD10" s="52"/>
      <c r="UWE10" s="75"/>
      <c r="UWL10" s="52"/>
      <c r="UWM10" s="75"/>
      <c r="UWT10" s="52"/>
      <c r="UWU10" s="75"/>
      <c r="UXB10" s="52"/>
      <c r="UXC10" s="75"/>
      <c r="UXJ10" s="52"/>
      <c r="UXK10" s="75"/>
      <c r="UXR10" s="52"/>
      <c r="UXS10" s="75"/>
      <c r="UXZ10" s="52"/>
      <c r="UYA10" s="75"/>
      <c r="UYH10" s="52"/>
      <c r="UYI10" s="75"/>
      <c r="UYP10" s="52"/>
      <c r="UYQ10" s="75"/>
      <c r="UYX10" s="52"/>
      <c r="UYY10" s="75"/>
      <c r="UZF10" s="52"/>
      <c r="UZG10" s="75"/>
      <c r="UZN10" s="52"/>
      <c r="UZO10" s="75"/>
      <c r="UZV10" s="52"/>
      <c r="UZW10" s="75"/>
      <c r="VAD10" s="52"/>
      <c r="VAE10" s="75"/>
      <c r="VAL10" s="52"/>
      <c r="VAM10" s="75"/>
      <c r="VAT10" s="52"/>
      <c r="VAU10" s="75"/>
      <c r="VBB10" s="52"/>
      <c r="VBC10" s="75"/>
      <c r="VBJ10" s="52"/>
      <c r="VBK10" s="75"/>
      <c r="VBR10" s="52"/>
      <c r="VBS10" s="75"/>
      <c r="VBZ10" s="52"/>
      <c r="VCA10" s="75"/>
      <c r="VCH10" s="52"/>
      <c r="VCI10" s="75"/>
      <c r="VCP10" s="52"/>
      <c r="VCQ10" s="75"/>
      <c r="VCX10" s="52"/>
      <c r="VCY10" s="75"/>
      <c r="VDF10" s="52"/>
      <c r="VDG10" s="75"/>
      <c r="VDN10" s="52"/>
      <c r="VDO10" s="75"/>
      <c r="VDV10" s="52"/>
      <c r="VDW10" s="75"/>
      <c r="VED10" s="52"/>
      <c r="VEE10" s="75"/>
      <c r="VEL10" s="52"/>
      <c r="VEM10" s="75"/>
      <c r="VET10" s="52"/>
      <c r="VEU10" s="75"/>
      <c r="VFB10" s="52"/>
      <c r="VFC10" s="75"/>
      <c r="VFJ10" s="52"/>
      <c r="VFK10" s="75"/>
      <c r="VFR10" s="52"/>
      <c r="VFS10" s="75"/>
      <c r="VFZ10" s="52"/>
      <c r="VGA10" s="75"/>
      <c r="VGH10" s="52"/>
      <c r="VGI10" s="75"/>
      <c r="VGP10" s="52"/>
      <c r="VGQ10" s="75"/>
      <c r="VGX10" s="52"/>
      <c r="VGY10" s="75"/>
      <c r="VHF10" s="52"/>
      <c r="VHG10" s="75"/>
      <c r="VHN10" s="52"/>
      <c r="VHO10" s="75"/>
      <c r="VHV10" s="52"/>
      <c r="VHW10" s="75"/>
      <c r="VID10" s="52"/>
      <c r="VIE10" s="75"/>
      <c r="VIL10" s="52"/>
      <c r="VIM10" s="75"/>
      <c r="VIT10" s="52"/>
      <c r="VIU10" s="75"/>
      <c r="VJB10" s="52"/>
      <c r="VJC10" s="75"/>
      <c r="VJJ10" s="52"/>
      <c r="VJK10" s="75"/>
      <c r="VJR10" s="52"/>
      <c r="VJS10" s="75"/>
      <c r="VJZ10" s="52"/>
      <c r="VKA10" s="75"/>
      <c r="VKH10" s="52"/>
      <c r="VKI10" s="75"/>
      <c r="VKP10" s="52"/>
      <c r="VKQ10" s="75"/>
      <c r="VKX10" s="52"/>
      <c r="VKY10" s="75"/>
      <c r="VLF10" s="52"/>
      <c r="VLG10" s="75"/>
      <c r="VLN10" s="52"/>
      <c r="VLO10" s="75"/>
      <c r="VLV10" s="52"/>
      <c r="VLW10" s="75"/>
      <c r="VMD10" s="52"/>
      <c r="VME10" s="75"/>
      <c r="VML10" s="52"/>
      <c r="VMM10" s="75"/>
      <c r="VMT10" s="52"/>
      <c r="VMU10" s="75"/>
      <c r="VNB10" s="52"/>
      <c r="VNC10" s="75"/>
      <c r="VNJ10" s="52"/>
      <c r="VNK10" s="75"/>
      <c r="VNR10" s="52"/>
      <c r="VNS10" s="75"/>
      <c r="VNZ10" s="52"/>
      <c r="VOA10" s="75"/>
      <c r="VOH10" s="52"/>
      <c r="VOI10" s="75"/>
      <c r="VOP10" s="52"/>
      <c r="VOQ10" s="75"/>
      <c r="VOX10" s="52"/>
      <c r="VOY10" s="75"/>
      <c r="VPF10" s="52"/>
      <c r="VPG10" s="75"/>
      <c r="VPN10" s="52"/>
      <c r="VPO10" s="75"/>
      <c r="VPV10" s="52"/>
      <c r="VPW10" s="75"/>
      <c r="VQD10" s="52"/>
      <c r="VQE10" s="75"/>
      <c r="VQL10" s="52"/>
      <c r="VQM10" s="75"/>
      <c r="VQT10" s="52"/>
      <c r="VQU10" s="75"/>
      <c r="VRB10" s="52"/>
      <c r="VRC10" s="75"/>
      <c r="VRJ10" s="52"/>
      <c r="VRK10" s="75"/>
      <c r="VRR10" s="52"/>
      <c r="VRS10" s="75"/>
      <c r="VRZ10" s="52"/>
      <c r="VSA10" s="75"/>
      <c r="VSH10" s="52"/>
      <c r="VSI10" s="75"/>
      <c r="VSP10" s="52"/>
      <c r="VSQ10" s="75"/>
      <c r="VSX10" s="52"/>
      <c r="VSY10" s="75"/>
      <c r="VTF10" s="52"/>
      <c r="VTG10" s="75"/>
      <c r="VTN10" s="52"/>
      <c r="VTO10" s="75"/>
      <c r="VTV10" s="52"/>
      <c r="VTW10" s="75"/>
      <c r="VUD10" s="52"/>
      <c r="VUE10" s="75"/>
      <c r="VUL10" s="52"/>
      <c r="VUM10" s="75"/>
      <c r="VUT10" s="52"/>
      <c r="VUU10" s="75"/>
      <c r="VVB10" s="52"/>
      <c r="VVC10" s="75"/>
      <c r="VVJ10" s="52"/>
      <c r="VVK10" s="75"/>
      <c r="VVR10" s="52"/>
      <c r="VVS10" s="75"/>
      <c r="VVZ10" s="52"/>
      <c r="VWA10" s="75"/>
      <c r="VWH10" s="52"/>
      <c r="VWI10" s="75"/>
      <c r="VWP10" s="52"/>
      <c r="VWQ10" s="75"/>
      <c r="VWX10" s="52"/>
      <c r="VWY10" s="75"/>
      <c r="VXF10" s="52"/>
      <c r="VXG10" s="75"/>
      <c r="VXN10" s="52"/>
      <c r="VXO10" s="75"/>
      <c r="VXV10" s="52"/>
      <c r="VXW10" s="75"/>
      <c r="VYD10" s="52"/>
      <c r="VYE10" s="75"/>
      <c r="VYL10" s="52"/>
      <c r="VYM10" s="75"/>
      <c r="VYT10" s="52"/>
      <c r="VYU10" s="75"/>
      <c r="VZB10" s="52"/>
      <c r="VZC10" s="75"/>
      <c r="VZJ10" s="52"/>
      <c r="VZK10" s="75"/>
      <c r="VZR10" s="52"/>
      <c r="VZS10" s="75"/>
      <c r="VZZ10" s="52"/>
      <c r="WAA10" s="75"/>
      <c r="WAH10" s="52"/>
      <c r="WAI10" s="75"/>
      <c r="WAP10" s="52"/>
      <c r="WAQ10" s="75"/>
      <c r="WAX10" s="52"/>
      <c r="WAY10" s="75"/>
      <c r="WBF10" s="52"/>
      <c r="WBG10" s="75"/>
      <c r="WBN10" s="52"/>
      <c r="WBO10" s="75"/>
      <c r="WBV10" s="52"/>
      <c r="WBW10" s="75"/>
      <c r="WCD10" s="52"/>
      <c r="WCE10" s="75"/>
      <c r="WCL10" s="52"/>
      <c r="WCM10" s="75"/>
      <c r="WCT10" s="52"/>
      <c r="WCU10" s="75"/>
      <c r="WDB10" s="52"/>
      <c r="WDC10" s="75"/>
      <c r="WDJ10" s="52"/>
      <c r="WDK10" s="75"/>
      <c r="WDR10" s="52"/>
      <c r="WDS10" s="75"/>
      <c r="WDZ10" s="52"/>
      <c r="WEA10" s="75"/>
      <c r="WEH10" s="52"/>
      <c r="WEI10" s="75"/>
      <c r="WEP10" s="52"/>
      <c r="WEQ10" s="75"/>
      <c r="WEX10" s="52"/>
      <c r="WEY10" s="75"/>
      <c r="WFF10" s="52"/>
      <c r="WFG10" s="75"/>
      <c r="WFN10" s="52"/>
      <c r="WFO10" s="75"/>
      <c r="WFV10" s="52"/>
      <c r="WFW10" s="75"/>
      <c r="WGD10" s="52"/>
      <c r="WGE10" s="75"/>
      <c r="WGL10" s="52"/>
      <c r="WGM10" s="75"/>
      <c r="WGT10" s="52"/>
      <c r="WGU10" s="75"/>
      <c r="WHB10" s="52"/>
      <c r="WHC10" s="75"/>
      <c r="WHJ10" s="52"/>
      <c r="WHK10" s="75"/>
      <c r="WHR10" s="52"/>
      <c r="WHS10" s="75"/>
      <c r="WHZ10" s="52"/>
      <c r="WIA10" s="75"/>
      <c r="WIH10" s="52"/>
      <c r="WII10" s="75"/>
      <c r="WIP10" s="52"/>
      <c r="WIQ10" s="75"/>
      <c r="WIX10" s="52"/>
      <c r="WIY10" s="75"/>
      <c r="WJF10" s="52"/>
      <c r="WJG10" s="75"/>
      <c r="WJN10" s="52"/>
      <c r="WJO10" s="75"/>
      <c r="WJV10" s="52"/>
      <c r="WJW10" s="75"/>
      <c r="WKD10" s="52"/>
      <c r="WKE10" s="75"/>
      <c r="WKL10" s="52"/>
      <c r="WKM10" s="75"/>
      <c r="WKT10" s="52"/>
      <c r="WKU10" s="75"/>
      <c r="WLB10" s="52"/>
      <c r="WLC10" s="75"/>
      <c r="WLJ10" s="52"/>
      <c r="WLK10" s="75"/>
      <c r="WLR10" s="52"/>
      <c r="WLS10" s="75"/>
      <c r="WLZ10" s="52"/>
      <c r="WMA10" s="75"/>
      <c r="WMH10" s="52"/>
      <c r="WMI10" s="75"/>
      <c r="WMP10" s="52"/>
      <c r="WMQ10" s="75"/>
      <c r="WMX10" s="52"/>
      <c r="WMY10" s="75"/>
      <c r="WNF10" s="52"/>
      <c r="WNG10" s="75"/>
      <c r="WNN10" s="52"/>
      <c r="WNO10" s="75"/>
      <c r="WNV10" s="52"/>
      <c r="WNW10" s="75"/>
      <c r="WOD10" s="52"/>
      <c r="WOE10" s="75"/>
      <c r="WOL10" s="52"/>
      <c r="WOM10" s="75"/>
      <c r="WOT10" s="52"/>
      <c r="WOU10" s="75"/>
      <c r="WPB10" s="52"/>
      <c r="WPC10" s="75"/>
      <c r="WPJ10" s="52"/>
      <c r="WPK10" s="75"/>
      <c r="WPR10" s="52"/>
      <c r="WPS10" s="75"/>
      <c r="WPZ10" s="52"/>
      <c r="WQA10" s="75"/>
      <c r="WQH10" s="52"/>
      <c r="WQI10" s="75"/>
      <c r="WQP10" s="52"/>
      <c r="WQQ10" s="75"/>
      <c r="WQX10" s="52"/>
      <c r="WQY10" s="75"/>
      <c r="WRF10" s="52"/>
      <c r="WRG10" s="75"/>
      <c r="WRN10" s="52"/>
      <c r="WRO10" s="75"/>
      <c r="WRV10" s="52"/>
      <c r="WRW10" s="75"/>
      <c r="WSD10" s="52"/>
      <c r="WSE10" s="75"/>
      <c r="WSL10" s="52"/>
      <c r="WSM10" s="75"/>
      <c r="WST10" s="52"/>
      <c r="WSU10" s="75"/>
      <c r="WTB10" s="52"/>
      <c r="WTC10" s="75"/>
      <c r="WTJ10" s="52"/>
      <c r="WTK10" s="75"/>
      <c r="WTR10" s="52"/>
      <c r="WTS10" s="75"/>
      <c r="WTZ10" s="52"/>
      <c r="WUA10" s="75"/>
      <c r="WUH10" s="52"/>
      <c r="WUI10" s="75"/>
      <c r="WUP10" s="52"/>
      <c r="WUQ10" s="75"/>
      <c r="WUX10" s="52"/>
      <c r="WUY10" s="75"/>
      <c r="WVF10" s="52"/>
      <c r="WVG10" s="75"/>
      <c r="WVN10" s="52"/>
      <c r="WVO10" s="75"/>
      <c r="WVV10" s="52"/>
      <c r="WVW10" s="75"/>
      <c r="WWD10" s="52"/>
      <c r="WWE10" s="75"/>
      <c r="WWL10" s="52"/>
      <c r="WWM10" s="75"/>
      <c r="WWT10" s="52"/>
      <c r="WWU10" s="75"/>
      <c r="WXB10" s="52"/>
      <c r="WXC10" s="75"/>
      <c r="WXJ10" s="52"/>
      <c r="WXK10" s="75"/>
      <c r="WXR10" s="52"/>
      <c r="WXS10" s="75"/>
      <c r="WXZ10" s="52"/>
      <c r="WYA10" s="75"/>
      <c r="WYH10" s="52"/>
      <c r="WYI10" s="75"/>
      <c r="WYP10" s="52"/>
      <c r="WYQ10" s="75"/>
      <c r="WYX10" s="52"/>
      <c r="WYY10" s="75"/>
      <c r="WZF10" s="52"/>
      <c r="WZG10" s="75"/>
      <c r="WZN10" s="52"/>
      <c r="WZO10" s="75"/>
      <c r="WZV10" s="52"/>
      <c r="WZW10" s="75"/>
      <c r="XAD10" s="52"/>
      <c r="XAE10" s="75"/>
      <c r="XAL10" s="52"/>
      <c r="XAM10" s="75"/>
      <c r="XAT10" s="52"/>
      <c r="XAU10" s="75"/>
      <c r="XBB10" s="52"/>
      <c r="XBC10" s="75"/>
      <c r="XBJ10" s="52"/>
      <c r="XBK10" s="75"/>
      <c r="XBR10" s="52"/>
      <c r="XBS10" s="75"/>
      <c r="XBZ10" s="52"/>
      <c r="XCA10" s="75"/>
      <c r="XCH10" s="52"/>
      <c r="XCI10" s="75"/>
      <c r="XCP10" s="52"/>
      <c r="XCQ10" s="75"/>
      <c r="XCX10" s="52"/>
      <c r="XCY10" s="75"/>
      <c r="XDF10" s="52"/>
      <c r="XDG10" s="75"/>
    </row>
    <row r="11" spans="1:1023 1030:2047 2054:3071 3078:4095 4102:5119 5126:6143 6150:7167 7174:8191 8198:9215 9222:10239 10246:11263 11270:12287 12294:13311 13318:14335 14342:15359 15366:16335" s="83" customFormat="1" ht="15" customHeight="1" thickBot="1">
      <c r="A11" s="62"/>
      <c r="B11" s="63" t="s">
        <v>97</v>
      </c>
      <c r="C11" s="64">
        <f t="shared" ref="C11:H11" si="0">SUM(C12:C20)</f>
        <v>1329163</v>
      </c>
      <c r="D11" s="64">
        <f t="shared" si="0"/>
        <v>1206339</v>
      </c>
      <c r="E11" s="64">
        <f t="shared" si="0"/>
        <v>1267705</v>
      </c>
      <c r="F11" s="64">
        <f t="shared" si="0"/>
        <v>1318282</v>
      </c>
      <c r="G11" s="64">
        <f t="shared" si="0"/>
        <v>918450</v>
      </c>
      <c r="H11" s="64">
        <f t="shared" si="0"/>
        <v>815392</v>
      </c>
      <c r="I11" s="64">
        <f t="shared" ref="I11:V11" si="1">SUM(I12:I20)</f>
        <v>1065999</v>
      </c>
      <c r="J11" s="64">
        <f t="shared" si="1"/>
        <v>1092446</v>
      </c>
      <c r="K11" s="64">
        <f t="shared" si="1"/>
        <v>776668</v>
      </c>
      <c r="L11" s="64">
        <f t="shared" si="1"/>
        <v>715219</v>
      </c>
      <c r="M11" s="64">
        <f t="shared" si="1"/>
        <v>783050</v>
      </c>
      <c r="N11" s="64">
        <f t="shared" si="1"/>
        <v>786061</v>
      </c>
      <c r="O11" s="64">
        <f t="shared" si="1"/>
        <v>597943</v>
      </c>
      <c r="P11" s="64">
        <f t="shared" si="1"/>
        <v>378110</v>
      </c>
      <c r="Q11" s="64">
        <f t="shared" si="1"/>
        <v>492479</v>
      </c>
      <c r="R11" s="64">
        <f t="shared" si="1"/>
        <v>463475</v>
      </c>
      <c r="S11" s="64">
        <f t="shared" si="1"/>
        <v>319160</v>
      </c>
      <c r="T11" s="64">
        <f t="shared" si="1"/>
        <v>224281</v>
      </c>
      <c r="U11" s="64">
        <f t="shared" si="1"/>
        <v>410866</v>
      </c>
      <c r="V11" s="64">
        <f t="shared" si="1"/>
        <v>255010</v>
      </c>
      <c r="W11" s="61"/>
      <c r="X11" s="61"/>
      <c r="Y11" s="61"/>
      <c r="Z11" s="61"/>
      <c r="AA11" s="61"/>
      <c r="AB11" s="61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  <c r="BW11" s="61"/>
      <c r="BX11" s="61"/>
      <c r="BY11" s="61"/>
      <c r="BZ11" s="61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</row>
    <row r="12" spans="1:1023 1030:2047 2054:3071 3078:4095 4102:5119 5126:6143 6150:7167 7174:8191 8198:9215 9222:10239 10246:11263 11270:12287 12294:13311 13318:14335 14342:15359 15366:16335" s="83" customFormat="1" ht="15" customHeight="1" thickBot="1">
      <c r="A12" s="62"/>
      <c r="B12" s="78" t="s">
        <v>68</v>
      </c>
      <c r="C12" s="79">
        <v>412239</v>
      </c>
      <c r="D12" s="79">
        <v>440036</v>
      </c>
      <c r="E12" s="79">
        <v>137102</v>
      </c>
      <c r="F12" s="79">
        <v>166472</v>
      </c>
      <c r="G12" s="79">
        <v>83097</v>
      </c>
      <c r="H12" s="79">
        <v>108341</v>
      </c>
      <c r="I12" s="79">
        <f>119524</f>
        <v>119524</v>
      </c>
      <c r="J12" s="79">
        <f>137669</f>
        <v>137669</v>
      </c>
      <c r="K12" s="79">
        <v>42873</v>
      </c>
      <c r="L12" s="79">
        <v>83362</v>
      </c>
      <c r="M12" s="79">
        <v>30994</v>
      </c>
      <c r="N12" s="79">
        <v>46746</v>
      </c>
      <c r="O12" s="79">
        <v>34937</v>
      </c>
      <c r="P12" s="79">
        <v>56164</v>
      </c>
      <c r="Q12" s="79">
        <v>19535</v>
      </c>
      <c r="R12" s="79">
        <v>33070</v>
      </c>
      <c r="S12" s="79">
        <v>37325</v>
      </c>
      <c r="T12" s="79">
        <v>32792</v>
      </c>
      <c r="U12" s="79">
        <v>34728</v>
      </c>
      <c r="V12" s="79">
        <v>16591</v>
      </c>
      <c r="W12" s="61"/>
      <c r="X12" s="61"/>
      <c r="Y12" s="61"/>
      <c r="Z12" s="61"/>
      <c r="AA12" s="61"/>
      <c r="AB12" s="61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  <c r="BU12" s="61"/>
      <c r="BV12" s="61"/>
      <c r="BW12" s="61"/>
      <c r="BX12" s="61"/>
      <c r="BY12" s="61"/>
      <c r="BZ12" s="61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</row>
    <row r="13" spans="1:1023 1030:2047 2054:3071 3078:4095 4102:5119 5126:6143 6150:7167 7174:8191 8198:9215 9222:10239 10246:11263 11270:12287 12294:13311 13318:14335 14342:15359 15366:16335" s="83" customFormat="1" ht="15" customHeight="1" thickBot="1">
      <c r="A13" s="62"/>
      <c r="B13" s="78" t="s">
        <v>286</v>
      </c>
      <c r="C13" s="79">
        <v>47312</v>
      </c>
      <c r="D13" s="79">
        <v>52787</v>
      </c>
      <c r="E13" s="79">
        <v>52975</v>
      </c>
      <c r="F13" s="79">
        <v>52337</v>
      </c>
      <c r="G13" s="79">
        <v>53810</v>
      </c>
      <c r="H13" s="79">
        <v>56376</v>
      </c>
      <c r="I13" s="79">
        <f>50863</f>
        <v>50863</v>
      </c>
      <c r="J13" s="79">
        <f>39110</f>
        <v>39110</v>
      </c>
      <c r="K13" s="79">
        <v>36441</v>
      </c>
      <c r="L13" s="79">
        <v>46587</v>
      </c>
      <c r="M13" s="79">
        <v>6416</v>
      </c>
      <c r="N13" s="79">
        <v>28251</v>
      </c>
      <c r="O13" s="79">
        <v>0</v>
      </c>
      <c r="P13" s="79">
        <v>5199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</row>
    <row r="14" spans="1:1023 1030:2047 2054:3071 3078:4095 4102:5119 5126:6143 6150:7167 7174:8191 8198:9215 9222:10239 10246:11263 11270:12287 12294:13311 13318:14335 14342:15359 15366:16335" s="83" customFormat="1" ht="15" customHeight="1" thickBot="1">
      <c r="A14" s="62"/>
      <c r="B14" s="78" t="s">
        <v>213</v>
      </c>
      <c r="C14" s="79">
        <v>125953</v>
      </c>
      <c r="D14" s="79">
        <v>111401</v>
      </c>
      <c r="E14" s="79">
        <v>150995</v>
      </c>
      <c r="F14" s="79">
        <v>156314</v>
      </c>
      <c r="G14" s="79">
        <v>106881</v>
      </c>
      <c r="H14" s="79">
        <v>120803</v>
      </c>
      <c r="I14" s="79">
        <f>124863</f>
        <v>124863</v>
      </c>
      <c r="J14" s="79">
        <f>138336</f>
        <v>138336</v>
      </c>
      <c r="K14" s="79">
        <v>92008</v>
      </c>
      <c r="L14" s="79">
        <v>104046</v>
      </c>
      <c r="M14" s="79">
        <v>99529</v>
      </c>
      <c r="N14" s="79">
        <v>92534</v>
      </c>
      <c r="O14" s="79">
        <v>113623</v>
      </c>
      <c r="P14" s="79">
        <v>48929</v>
      </c>
      <c r="Q14" s="79">
        <v>46999</v>
      </c>
      <c r="R14" s="79">
        <v>61969</v>
      </c>
      <c r="S14" s="79">
        <v>49285</v>
      </c>
      <c r="T14" s="79">
        <v>24514</v>
      </c>
      <c r="U14" s="79">
        <v>57311</v>
      </c>
      <c r="V14" s="79">
        <v>36905</v>
      </c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</row>
    <row r="15" spans="1:1023 1030:2047 2054:3071 3078:4095 4102:5119 5126:6143 6150:7167 7174:8191 8198:9215 9222:10239 10246:11263 11270:12287 12294:13311 13318:14335 14342:15359 15366:16335" s="83" customFormat="1" ht="15" customHeight="1" thickBot="1">
      <c r="A15" s="62"/>
      <c r="B15" s="78" t="s">
        <v>95</v>
      </c>
      <c r="C15" s="79">
        <v>298468</v>
      </c>
      <c r="D15" s="79">
        <v>213710</v>
      </c>
      <c r="E15" s="79">
        <v>487614</v>
      </c>
      <c r="F15" s="79">
        <v>504273</v>
      </c>
      <c r="G15" s="79">
        <v>297932</v>
      </c>
      <c r="H15" s="79">
        <v>197514</v>
      </c>
      <c r="I15" s="79">
        <f>424634</f>
        <v>424634</v>
      </c>
      <c r="J15" s="79">
        <f>377647</f>
        <v>377647</v>
      </c>
      <c r="K15" s="79">
        <f>167048</f>
        <v>167048</v>
      </c>
      <c r="L15" s="79">
        <v>143247</v>
      </c>
      <c r="M15" s="79">
        <v>326798</v>
      </c>
      <c r="N15" s="79">
        <v>306780</v>
      </c>
      <c r="O15" s="79">
        <v>147630</v>
      </c>
      <c r="P15" s="79">
        <v>108726</v>
      </c>
      <c r="Q15" s="79">
        <v>245162</v>
      </c>
      <c r="R15" s="79">
        <v>195114</v>
      </c>
      <c r="S15" s="79">
        <v>93933</v>
      </c>
      <c r="T15" s="79">
        <v>54262</v>
      </c>
      <c r="U15" s="79">
        <v>182019</v>
      </c>
      <c r="V15" s="79">
        <v>85666</v>
      </c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</row>
    <row r="16" spans="1:1023 1030:2047 2054:3071 3078:4095 4102:5119 5126:6143 6150:7167 7174:8191 8198:9215 9222:10239 10246:11263 11270:12287 12294:13311 13318:14335 14342:15359 15366:16335" s="83" customFormat="1" ht="15" customHeight="1" thickBot="1">
      <c r="A16" s="62"/>
      <c r="B16" s="78" t="s">
        <v>155</v>
      </c>
      <c r="C16" s="79">
        <v>343786</v>
      </c>
      <c r="D16" s="79">
        <v>286437</v>
      </c>
      <c r="E16" s="79">
        <v>319407</v>
      </c>
      <c r="F16" s="79">
        <v>354980</v>
      </c>
      <c r="G16" s="79">
        <v>288944</v>
      </c>
      <c r="H16" s="79">
        <v>256295</v>
      </c>
      <c r="I16" s="79">
        <f>267447</f>
        <v>267447</v>
      </c>
      <c r="J16" s="79">
        <f>273436</f>
        <v>273436</v>
      </c>
      <c r="K16" s="79">
        <f>303445</f>
        <v>303445</v>
      </c>
      <c r="L16" s="79">
        <v>241079</v>
      </c>
      <c r="M16" s="79">
        <v>242160</v>
      </c>
      <c r="N16" s="79">
        <v>245721</v>
      </c>
      <c r="O16" s="79">
        <v>232991</v>
      </c>
      <c r="P16" s="79">
        <v>116191</v>
      </c>
      <c r="Q16" s="79">
        <v>107142</v>
      </c>
      <c r="R16" s="79">
        <v>97065</v>
      </c>
      <c r="S16" s="79">
        <v>82832</v>
      </c>
      <c r="T16" s="79">
        <v>72077</v>
      </c>
      <c r="U16" s="79">
        <v>72352</v>
      </c>
      <c r="V16" s="79">
        <v>62806</v>
      </c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</row>
    <row r="17" spans="1:93" s="83" customFormat="1" ht="15" customHeight="1" thickBot="1">
      <c r="A17" s="62"/>
      <c r="B17" s="78" t="s">
        <v>96</v>
      </c>
      <c r="C17" s="79">
        <v>8068</v>
      </c>
      <c r="D17" s="79">
        <f>8851+11831</f>
        <v>20682</v>
      </c>
      <c r="E17" s="79">
        <v>0</v>
      </c>
      <c r="F17" s="79">
        <v>0</v>
      </c>
      <c r="G17" s="79">
        <v>0</v>
      </c>
      <c r="H17" s="79" t="s">
        <v>37</v>
      </c>
      <c r="I17" s="79">
        <f>36559</f>
        <v>36559</v>
      </c>
      <c r="J17" s="79">
        <f>58718</f>
        <v>58718</v>
      </c>
      <c r="K17" s="79">
        <f>97299</f>
        <v>97299</v>
      </c>
      <c r="L17" s="79">
        <v>60382</v>
      </c>
      <c r="M17" s="79">
        <v>39486</v>
      </c>
      <c r="N17" s="79">
        <v>27422</v>
      </c>
      <c r="O17" s="79">
        <v>25666</v>
      </c>
      <c r="P17" s="79">
        <v>14168</v>
      </c>
      <c r="Q17" s="79">
        <v>39194</v>
      </c>
      <c r="R17" s="79">
        <v>38039</v>
      </c>
      <c r="S17" s="79">
        <v>15226</v>
      </c>
      <c r="T17" s="79">
        <v>7407</v>
      </c>
      <c r="U17" s="79">
        <v>28730</v>
      </c>
      <c r="V17" s="79">
        <v>25049</v>
      </c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R17" s="61"/>
      <c r="BS17" s="61"/>
      <c r="BT17" s="61"/>
      <c r="BU17" s="61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</row>
    <row r="18" spans="1:93" s="83" customFormat="1" ht="15" customHeight="1" thickBot="1">
      <c r="A18" s="62"/>
      <c r="B18" s="78" t="s">
        <v>215</v>
      </c>
      <c r="C18" s="79">
        <v>58262</v>
      </c>
      <c r="D18" s="79">
        <v>35853</v>
      </c>
      <c r="E18" s="79">
        <v>50152</v>
      </c>
      <c r="F18" s="79">
        <v>62616</v>
      </c>
      <c r="G18" s="79">
        <v>70974</v>
      </c>
      <c r="H18" s="79">
        <v>53321</v>
      </c>
      <c r="I18" s="79">
        <f>34266</f>
        <v>34266</v>
      </c>
      <c r="J18" s="79">
        <f>46456</f>
        <v>46456</v>
      </c>
      <c r="K18" s="79">
        <f>30127</f>
        <v>30127</v>
      </c>
      <c r="L18" s="79">
        <v>29561</v>
      </c>
      <c r="M18" s="79">
        <v>25732</v>
      </c>
      <c r="N18" s="79">
        <v>16750</v>
      </c>
      <c r="O18" s="79">
        <v>21308</v>
      </c>
      <c r="P18" s="79">
        <v>11398</v>
      </c>
      <c r="Q18" s="79">
        <v>33396</v>
      </c>
      <c r="R18" s="79">
        <v>36621</v>
      </c>
      <c r="S18" s="79">
        <v>39597</v>
      </c>
      <c r="T18" s="79">
        <v>32171</v>
      </c>
      <c r="U18" s="79">
        <v>34362</v>
      </c>
      <c r="V18" s="79">
        <v>26826</v>
      </c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</row>
    <row r="19" spans="1:93" s="83" customFormat="1" ht="15" customHeight="1" thickBot="1">
      <c r="A19" s="62"/>
      <c r="B19" s="78" t="s">
        <v>158</v>
      </c>
      <c r="C19" s="79">
        <v>1767</v>
      </c>
      <c r="D19" s="79">
        <v>1442</v>
      </c>
      <c r="E19" s="79">
        <v>1416</v>
      </c>
      <c r="F19" s="79">
        <v>1405</v>
      </c>
      <c r="G19" s="79">
        <v>2459</v>
      </c>
      <c r="H19" s="79">
        <v>1059</v>
      </c>
      <c r="I19" s="79">
        <f>623</f>
        <v>623</v>
      </c>
      <c r="J19" s="79">
        <f>13134</f>
        <v>13134</v>
      </c>
      <c r="K19" s="79">
        <f>2678</f>
        <v>2678</v>
      </c>
      <c r="L19" s="79">
        <v>1736</v>
      </c>
      <c r="M19" s="79">
        <v>1514</v>
      </c>
      <c r="N19" s="79">
        <v>17251</v>
      </c>
      <c r="O19" s="79">
        <v>21347</v>
      </c>
      <c r="P19" s="79">
        <v>16671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</row>
    <row r="20" spans="1:93" s="83" customFormat="1" ht="15" customHeight="1" thickBot="1">
      <c r="A20" s="62"/>
      <c r="B20" s="78" t="s">
        <v>102</v>
      </c>
      <c r="C20" s="79">
        <f>12313+12270+8725</f>
        <v>33308</v>
      </c>
      <c r="D20" s="79">
        <v>43991</v>
      </c>
      <c r="E20" s="79">
        <v>68044</v>
      </c>
      <c r="F20" s="79">
        <v>19885</v>
      </c>
      <c r="G20" s="79">
        <v>14353</v>
      </c>
      <c r="H20" s="79">
        <v>21683</v>
      </c>
      <c r="I20" s="79">
        <f>7220</f>
        <v>7220</v>
      </c>
      <c r="J20" s="79">
        <f>7940</f>
        <v>7940</v>
      </c>
      <c r="K20" s="79">
        <f>1640+3109</f>
        <v>4749</v>
      </c>
      <c r="L20" s="79">
        <f>1303+962+2954</f>
        <v>5219</v>
      </c>
      <c r="M20" s="79">
        <v>10421</v>
      </c>
      <c r="N20" s="79">
        <f>1948+2658</f>
        <v>4606</v>
      </c>
      <c r="O20" s="79">
        <v>441</v>
      </c>
      <c r="P20" s="79">
        <v>664</v>
      </c>
      <c r="Q20" s="79">
        <v>1051</v>
      </c>
      <c r="R20" s="79">
        <v>1597</v>
      </c>
      <c r="S20" s="79">
        <v>962</v>
      </c>
      <c r="T20" s="79">
        <v>1058</v>
      </c>
      <c r="U20" s="79">
        <v>1364</v>
      </c>
      <c r="V20" s="79">
        <v>1167</v>
      </c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  <c r="BN20" s="61"/>
      <c r="BO20" s="61"/>
      <c r="BP20" s="61"/>
      <c r="BQ20" s="61"/>
      <c r="BR20" s="61"/>
      <c r="BS20" s="61"/>
      <c r="BT20" s="61"/>
      <c r="BU20" s="61"/>
      <c r="BV20" s="61"/>
      <c r="BW20" s="61"/>
      <c r="BX20" s="61"/>
      <c r="BY20" s="61"/>
      <c r="BZ20" s="61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</row>
    <row r="21" spans="1:93" s="83" customFormat="1" ht="6" customHeight="1" thickBot="1">
      <c r="A21" s="62"/>
      <c r="B21" s="63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</row>
    <row r="22" spans="1:93" s="83" customFormat="1" ht="15" customHeight="1" thickBot="1">
      <c r="A22" s="62"/>
      <c r="B22" s="63" t="s">
        <v>98</v>
      </c>
      <c r="C22" s="64">
        <f t="shared" ref="C22:V22" si="2">SUM(C23:C32)</f>
        <v>5738131</v>
      </c>
      <c r="D22" s="64">
        <f t="shared" si="2"/>
        <v>2800932</v>
      </c>
      <c r="E22" s="64">
        <f t="shared" si="2"/>
        <v>5524155</v>
      </c>
      <c r="F22" s="64">
        <f t="shared" si="2"/>
        <v>5366596.9029999999</v>
      </c>
      <c r="G22" s="64">
        <f t="shared" si="2"/>
        <v>5375630</v>
      </c>
      <c r="H22" s="64">
        <f t="shared" si="2"/>
        <v>4781879</v>
      </c>
      <c r="I22" s="64">
        <f t="shared" si="2"/>
        <v>4127547</v>
      </c>
      <c r="J22" s="64">
        <f t="shared" si="2"/>
        <v>3951793</v>
      </c>
      <c r="K22" s="64">
        <f t="shared" si="2"/>
        <v>3864686</v>
      </c>
      <c r="L22" s="64">
        <f t="shared" si="2"/>
        <v>3758589.2978500002</v>
      </c>
      <c r="M22" s="64">
        <f t="shared" si="2"/>
        <v>1953673.7790000001</v>
      </c>
      <c r="N22" s="64">
        <f t="shared" si="2"/>
        <v>1946414.7790000001</v>
      </c>
      <c r="O22" s="64">
        <f t="shared" si="2"/>
        <v>1937892</v>
      </c>
      <c r="P22" s="64">
        <f t="shared" si="2"/>
        <v>1942353</v>
      </c>
      <c r="Q22" s="64">
        <f t="shared" si="2"/>
        <v>1583046</v>
      </c>
      <c r="R22" s="64">
        <f t="shared" si="2"/>
        <v>1602594</v>
      </c>
      <c r="S22" s="64">
        <f t="shared" si="2"/>
        <v>1648590</v>
      </c>
      <c r="T22" s="64">
        <f t="shared" si="2"/>
        <v>1654014</v>
      </c>
      <c r="U22" s="64">
        <f t="shared" si="2"/>
        <v>1481139</v>
      </c>
      <c r="V22" s="64">
        <f t="shared" si="2"/>
        <v>1441392</v>
      </c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</row>
    <row r="23" spans="1:93" s="83" customFormat="1" ht="15" customHeight="1" thickBot="1">
      <c r="A23" s="62"/>
      <c r="B23" s="78" t="s">
        <v>157</v>
      </c>
      <c r="C23" s="79"/>
      <c r="D23" s="79">
        <v>17426</v>
      </c>
      <c r="E23" s="79">
        <v>27078</v>
      </c>
      <c r="F23" s="79">
        <v>29084</v>
      </c>
      <c r="G23" s="79">
        <v>26164</v>
      </c>
      <c r="H23" s="79">
        <v>24851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1133</v>
      </c>
      <c r="Q23" s="79">
        <v>0</v>
      </c>
      <c r="R23" s="79">
        <v>0</v>
      </c>
      <c r="S23" s="79">
        <v>0</v>
      </c>
      <c r="T23" s="79">
        <v>7798</v>
      </c>
      <c r="U23" s="79">
        <v>17136</v>
      </c>
      <c r="V23" s="79">
        <v>40651</v>
      </c>
      <c r="W23" s="61"/>
      <c r="X23" s="61"/>
      <c r="Y23" s="61"/>
      <c r="Z23" s="61"/>
      <c r="AA23" s="61"/>
      <c r="AB23" s="61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</row>
    <row r="24" spans="1:93" s="83" customFormat="1" ht="15" customHeight="1" thickBot="1">
      <c r="A24" s="62"/>
      <c r="B24" s="78" t="s">
        <v>297</v>
      </c>
      <c r="C24" s="79">
        <v>5165</v>
      </c>
      <c r="D24" s="79">
        <v>5125</v>
      </c>
      <c r="E24" s="79">
        <v>0</v>
      </c>
      <c r="F24" s="79">
        <v>0</v>
      </c>
      <c r="G24" s="79">
        <v>0</v>
      </c>
      <c r="H24" s="79">
        <v>0</v>
      </c>
      <c r="I24" s="79">
        <f>4844</f>
        <v>4844</v>
      </c>
      <c r="J24" s="79">
        <f>4715</f>
        <v>4715</v>
      </c>
      <c r="K24" s="79">
        <f>4597</f>
        <v>4597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61"/>
      <c r="X24" s="61"/>
      <c r="Y24" s="61"/>
      <c r="Z24" s="61"/>
      <c r="AA24" s="61"/>
      <c r="AB24" s="61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</row>
    <row r="25" spans="1:93" s="83" customFormat="1" ht="15" customHeight="1" thickBot="1">
      <c r="A25" s="62"/>
      <c r="B25" s="78" t="s">
        <v>215</v>
      </c>
      <c r="C25" s="79">
        <v>12440</v>
      </c>
      <c r="D25" s="79">
        <v>25196</v>
      </c>
      <c r="E25" s="79">
        <v>25264</v>
      </c>
      <c r="F25" s="79">
        <v>23961</v>
      </c>
      <c r="G25" s="79">
        <v>17245</v>
      </c>
      <c r="H25" s="79">
        <v>15320</v>
      </c>
      <c r="I25" s="79">
        <f>13468</f>
        <v>13468</v>
      </c>
      <c r="J25" s="79">
        <f>13527</f>
        <v>13527</v>
      </c>
      <c r="K25" s="79">
        <f>14039</f>
        <v>14039</v>
      </c>
      <c r="L25" s="79">
        <v>17860</v>
      </c>
      <c r="M25" s="79">
        <v>18593</v>
      </c>
      <c r="N25" s="79">
        <v>22093</v>
      </c>
      <c r="O25" s="79">
        <v>16868</v>
      </c>
      <c r="P25" s="79">
        <v>14343</v>
      </c>
      <c r="Q25" s="79">
        <v>7467</v>
      </c>
      <c r="R25" s="79">
        <v>11640</v>
      </c>
      <c r="S25" s="79">
        <v>11638</v>
      </c>
      <c r="T25" s="79">
        <v>20885</v>
      </c>
      <c r="U25" s="79">
        <v>30373</v>
      </c>
      <c r="V25" s="79">
        <v>35155</v>
      </c>
      <c r="W25" s="61"/>
      <c r="X25" s="61"/>
      <c r="Y25" s="61"/>
      <c r="Z25" s="61"/>
      <c r="AA25" s="61"/>
      <c r="AB25" s="61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</row>
    <row r="26" spans="1:93" s="83" customFormat="1" ht="15" customHeight="1" thickBot="1">
      <c r="A26" s="62"/>
      <c r="B26" s="78" t="s">
        <v>158</v>
      </c>
      <c r="C26" s="79">
        <f>26317+437952</f>
        <v>464269</v>
      </c>
      <c r="D26" s="79">
        <f>17421+431240</f>
        <v>448661</v>
      </c>
      <c r="E26" s="79">
        <f>15454+505302</f>
        <v>520756</v>
      </c>
      <c r="F26" s="79">
        <f>19710+452817</f>
        <v>472527</v>
      </c>
      <c r="G26" s="79">
        <f>20065+454318</f>
        <v>474383</v>
      </c>
      <c r="H26" s="79">
        <v>21393</v>
      </c>
      <c r="I26" s="79">
        <f>19053</f>
        <v>19053</v>
      </c>
      <c r="J26" s="79">
        <f>6929</f>
        <v>6929</v>
      </c>
      <c r="K26" s="79">
        <f>7790</f>
        <v>7790</v>
      </c>
      <c r="L26" s="79">
        <v>8675</v>
      </c>
      <c r="M26" s="79">
        <v>9253</v>
      </c>
      <c r="N26" s="79">
        <v>8781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</row>
    <row r="27" spans="1:93" s="83" customFormat="1" ht="15" customHeight="1" thickBot="1">
      <c r="A27" s="62"/>
      <c r="B27" s="59" t="s">
        <v>309</v>
      </c>
      <c r="C27" s="79">
        <f>17941+8609</f>
        <v>26550</v>
      </c>
      <c r="D27" s="79">
        <v>8449</v>
      </c>
      <c r="E27" s="79">
        <v>8277</v>
      </c>
      <c r="F27" s="79">
        <v>0</v>
      </c>
      <c r="G27" s="79">
        <v>0</v>
      </c>
      <c r="H27" s="79">
        <v>0</v>
      </c>
      <c r="I27" s="79">
        <f>I12</f>
        <v>119524</v>
      </c>
      <c r="J27" s="79">
        <f>12844</f>
        <v>12844</v>
      </c>
      <c r="K27" s="79">
        <f>12370</f>
        <v>12370</v>
      </c>
      <c r="L27" s="79">
        <v>12424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61"/>
      <c r="X27" s="61"/>
      <c r="Y27" s="61"/>
      <c r="Z27" s="61"/>
      <c r="AA27" s="61"/>
      <c r="AB27" s="61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</row>
    <row r="28" spans="1:93" s="83" customFormat="1" ht="15" customHeight="1" thickBot="1">
      <c r="A28" s="62"/>
      <c r="B28" s="78" t="s">
        <v>216</v>
      </c>
      <c r="C28" s="79">
        <v>87058</v>
      </c>
      <c r="D28" s="79">
        <v>64574</v>
      </c>
      <c r="E28" s="79">
        <v>48503</v>
      </c>
      <c r="F28" s="79">
        <v>16640</v>
      </c>
      <c r="G28" s="79">
        <f>7592+9030</f>
        <v>16622</v>
      </c>
      <c r="H28" s="79">
        <v>12375</v>
      </c>
      <c r="I28" s="79">
        <f>8903</f>
        <v>8903</v>
      </c>
      <c r="J28" s="79">
        <f>9173</f>
        <v>9173</v>
      </c>
      <c r="K28" s="79">
        <f>8553+5305</f>
        <v>13858</v>
      </c>
      <c r="L28" s="79">
        <f>6532+5305</f>
        <v>11837</v>
      </c>
      <c r="M28" s="79">
        <f>11621+6620+5465</f>
        <v>23706</v>
      </c>
      <c r="N28" s="79">
        <f>17300+6449+5362</f>
        <v>29111</v>
      </c>
      <c r="O28" s="79">
        <f>14342+6417+10777</f>
        <v>31536</v>
      </c>
      <c r="P28" s="79">
        <f>11016+7267+10722</f>
        <v>29005</v>
      </c>
      <c r="Q28" s="79">
        <f>10684+7238</f>
        <v>17922</v>
      </c>
      <c r="R28" s="79">
        <f>12284+10648+7389</f>
        <v>30321</v>
      </c>
      <c r="S28" s="79">
        <f>10931+13705+9532</f>
        <v>34168</v>
      </c>
      <c r="T28" s="79">
        <f>9990+9311+13622</f>
        <v>32923</v>
      </c>
      <c r="U28" s="79">
        <v>22506</v>
      </c>
      <c r="V28" s="79">
        <f>13258+9052</f>
        <v>22310</v>
      </c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</row>
    <row r="29" spans="1:93" s="83" customFormat="1" ht="15" customHeight="1" thickBot="1">
      <c r="A29" s="62"/>
      <c r="B29" s="78" t="s">
        <v>36</v>
      </c>
      <c r="C29" s="79">
        <v>23588</v>
      </c>
      <c r="D29" s="79">
        <v>23614</v>
      </c>
      <c r="E29" s="79">
        <v>23385</v>
      </c>
      <c r="F29" s="79">
        <v>23298</v>
      </c>
      <c r="G29" s="79">
        <v>23223</v>
      </c>
      <c r="H29" s="79">
        <v>24580</v>
      </c>
      <c r="I29" s="79">
        <f>28179</f>
        <v>28179</v>
      </c>
      <c r="J29" s="79">
        <f>28298</f>
        <v>28298</v>
      </c>
      <c r="K29" s="79">
        <f>22819</f>
        <v>22819</v>
      </c>
      <c r="L29" s="79">
        <v>2723</v>
      </c>
      <c r="M29" s="79">
        <v>2622</v>
      </c>
      <c r="N29" s="79">
        <v>9369</v>
      </c>
      <c r="O29" s="79">
        <v>9293</v>
      </c>
      <c r="P29" s="79">
        <v>24893</v>
      </c>
      <c r="Q29" s="79">
        <v>2369</v>
      </c>
      <c r="R29" s="79">
        <v>2369</v>
      </c>
      <c r="S29" s="79">
        <v>2187</v>
      </c>
      <c r="T29" s="79">
        <v>2202</v>
      </c>
      <c r="U29" s="79">
        <v>2193</v>
      </c>
      <c r="V29" s="79">
        <v>2164</v>
      </c>
      <c r="W29" s="61"/>
      <c r="X29" s="61"/>
      <c r="Y29" s="61"/>
      <c r="Z29" s="61"/>
      <c r="AA29" s="61"/>
      <c r="AB29" s="61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</row>
    <row r="30" spans="1:93" s="83" customFormat="1" ht="15" customHeight="1" thickBot="1">
      <c r="A30" s="62"/>
      <c r="B30" s="78" t="s">
        <v>266</v>
      </c>
      <c r="C30" s="79">
        <v>4580568</v>
      </c>
      <c r="D30" s="79">
        <v>1664580</v>
      </c>
      <c r="E30" s="79">
        <v>4333682</v>
      </c>
      <c r="F30" s="79">
        <v>4264810.9029999999</v>
      </c>
      <c r="G30" s="79">
        <v>4290106</v>
      </c>
      <c r="H30" s="79">
        <v>4277144</v>
      </c>
      <c r="I30" s="79">
        <f>3615610</f>
        <v>3615610</v>
      </c>
      <c r="J30" s="79">
        <f>3575329</f>
        <v>3575329</v>
      </c>
      <c r="K30" s="79">
        <f>3555100</f>
        <v>3555100</v>
      </c>
      <c r="L30" s="79">
        <v>3481159</v>
      </c>
      <c r="M30" s="79">
        <v>1742272.7790000001</v>
      </c>
      <c r="N30" s="79">
        <v>1723820.7790000001</v>
      </c>
      <c r="O30" s="79">
        <v>1734489</v>
      </c>
      <c r="P30" s="79">
        <v>1731542</v>
      </c>
      <c r="Q30" s="79">
        <v>1430404</v>
      </c>
      <c r="R30" s="79">
        <v>1424771</v>
      </c>
      <c r="S30" s="79">
        <v>1460484</v>
      </c>
      <c r="T30" s="79">
        <v>1460832</v>
      </c>
      <c r="U30" s="79">
        <v>1306890</v>
      </c>
      <c r="V30" s="79">
        <v>1340422</v>
      </c>
      <c r="W30" s="61"/>
      <c r="X30" s="61"/>
      <c r="Y30" s="61"/>
      <c r="Z30" s="61"/>
      <c r="AA30" s="61"/>
      <c r="AB30" s="61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1"/>
      <c r="AY30" s="61"/>
      <c r="AZ30" s="61"/>
      <c r="BA30" s="61"/>
      <c r="BB30" s="61"/>
      <c r="BC30" s="61"/>
      <c r="BD30" s="61"/>
      <c r="BE30" s="61"/>
      <c r="BF30" s="61"/>
      <c r="BG30" s="61"/>
      <c r="BH30" s="61"/>
      <c r="BI30" s="61"/>
      <c r="BJ30" s="61"/>
      <c r="BK30" s="61"/>
      <c r="BL30" s="61"/>
      <c r="BM30" s="61"/>
      <c r="BN30" s="61"/>
      <c r="BO30" s="61"/>
      <c r="BP30" s="61"/>
      <c r="BQ30" s="61"/>
      <c r="BR30" s="61"/>
      <c r="BS30" s="61"/>
      <c r="BT30" s="61"/>
      <c r="BU30" s="61"/>
      <c r="BV30" s="61"/>
      <c r="BW30" s="61"/>
      <c r="BX30" s="61"/>
      <c r="BY30" s="61"/>
      <c r="BZ30" s="61"/>
      <c r="CA30" s="61"/>
      <c r="CB30" s="61"/>
      <c r="CC30" s="61"/>
      <c r="CD30" s="61"/>
      <c r="CE30" s="61"/>
      <c r="CF30" s="61"/>
      <c r="CG30" s="61"/>
      <c r="CH30" s="61"/>
      <c r="CI30" s="61"/>
      <c r="CJ30" s="61"/>
      <c r="CK30" s="61"/>
      <c r="CL30" s="61"/>
      <c r="CM30" s="61"/>
      <c r="CN30" s="61"/>
      <c r="CO30" s="61"/>
    </row>
    <row r="31" spans="1:93" s="83" customFormat="1" ht="15" customHeight="1" thickBot="1">
      <c r="A31" s="62"/>
      <c r="B31" s="78" t="s">
        <v>94</v>
      </c>
      <c r="C31" s="79">
        <v>527695</v>
      </c>
      <c r="D31" s="79">
        <v>532081</v>
      </c>
      <c r="E31" s="79">
        <v>526454</v>
      </c>
      <c r="F31" s="79">
        <v>525733</v>
      </c>
      <c r="G31" s="79">
        <v>11237</v>
      </c>
      <c r="H31" s="79">
        <v>394433</v>
      </c>
      <c r="I31" s="79">
        <f>308147</f>
        <v>308147</v>
      </c>
      <c r="J31" s="79">
        <f>291756</f>
        <v>291756</v>
      </c>
      <c r="K31" s="79">
        <f>224285</f>
        <v>224285</v>
      </c>
      <c r="L31" s="79">
        <v>213478.29785000003</v>
      </c>
      <c r="M31" s="79">
        <v>146188</v>
      </c>
      <c r="N31" s="79">
        <v>152538</v>
      </c>
      <c r="O31" s="79">
        <v>144907</v>
      </c>
      <c r="P31" s="79">
        <v>140539</v>
      </c>
      <c r="Q31" s="79">
        <v>124221</v>
      </c>
      <c r="R31" s="79">
        <v>132780</v>
      </c>
      <c r="S31" s="79">
        <v>139315</v>
      </c>
      <c r="T31" s="79">
        <v>128954</v>
      </c>
      <c r="U31" s="79">
        <v>101438</v>
      </c>
      <c r="V31" s="79">
        <v>0</v>
      </c>
      <c r="W31" s="61"/>
      <c r="X31" s="61"/>
      <c r="Y31" s="61"/>
      <c r="Z31" s="61"/>
      <c r="AA31" s="61"/>
      <c r="AB31" s="61"/>
      <c r="AC31" s="61"/>
      <c r="AD31" s="61"/>
      <c r="AE31" s="61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  <c r="AX31" s="61"/>
      <c r="AY31" s="61"/>
      <c r="AZ31" s="61"/>
      <c r="BA31" s="61"/>
      <c r="BB31" s="61"/>
      <c r="BC31" s="61"/>
      <c r="BD31" s="61"/>
      <c r="BE31" s="61"/>
      <c r="BF31" s="61"/>
      <c r="BG31" s="61"/>
      <c r="BH31" s="61"/>
      <c r="BI31" s="61"/>
      <c r="BJ31" s="61"/>
      <c r="BK31" s="61"/>
      <c r="BL31" s="61"/>
      <c r="BM31" s="61"/>
      <c r="BN31" s="61"/>
      <c r="BO31" s="61"/>
      <c r="BP31" s="61"/>
      <c r="BQ31" s="61"/>
      <c r="BR31" s="61"/>
      <c r="BS31" s="61"/>
      <c r="BT31" s="61"/>
      <c r="BU31" s="61"/>
      <c r="BV31" s="61"/>
      <c r="BW31" s="61"/>
      <c r="BX31" s="61"/>
      <c r="BY31" s="61"/>
      <c r="BZ31" s="61"/>
      <c r="CA31" s="61"/>
      <c r="CB31" s="61"/>
      <c r="CC31" s="61"/>
      <c r="CD31" s="61"/>
      <c r="CE31" s="61"/>
      <c r="CF31" s="61"/>
      <c r="CG31" s="61"/>
      <c r="CH31" s="61"/>
      <c r="CI31" s="61"/>
      <c r="CJ31" s="61"/>
      <c r="CK31" s="61"/>
      <c r="CL31" s="61"/>
      <c r="CM31" s="61"/>
      <c r="CN31" s="61"/>
      <c r="CO31" s="61"/>
    </row>
    <row r="32" spans="1:93" s="83" customFormat="1" ht="15" customHeight="1" thickBot="1">
      <c r="A32" s="62"/>
      <c r="B32" s="78" t="s">
        <v>93</v>
      </c>
      <c r="C32" s="79">
        <v>10798</v>
      </c>
      <c r="D32" s="79">
        <v>11226</v>
      </c>
      <c r="E32" s="79">
        <v>10756</v>
      </c>
      <c r="F32" s="79">
        <v>10543</v>
      </c>
      <c r="G32" s="79">
        <v>516650</v>
      </c>
      <c r="H32" s="79">
        <v>11783</v>
      </c>
      <c r="I32" s="79">
        <f>9819</f>
        <v>9819</v>
      </c>
      <c r="J32" s="79">
        <f>9222</f>
        <v>9222</v>
      </c>
      <c r="K32" s="79">
        <f>9828</f>
        <v>9828</v>
      </c>
      <c r="L32" s="79">
        <v>10433</v>
      </c>
      <c r="M32" s="79">
        <v>11039</v>
      </c>
      <c r="N32" s="79">
        <v>702</v>
      </c>
      <c r="O32" s="79">
        <v>799</v>
      </c>
      <c r="P32" s="79">
        <v>898</v>
      </c>
      <c r="Q32" s="79">
        <v>663</v>
      </c>
      <c r="R32" s="79">
        <v>713</v>
      </c>
      <c r="S32" s="79">
        <v>798</v>
      </c>
      <c r="T32" s="79">
        <v>420</v>
      </c>
      <c r="U32" s="79">
        <v>603</v>
      </c>
      <c r="V32" s="79">
        <v>690</v>
      </c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</row>
    <row r="33" spans="1:1023 1030:2047 2054:3071 3078:4095 4102:5119 5126:6143 6150:7167 7174:8191 8198:9215 9222:10239 10246:11263 11270:12287 12294:13311 13318:14335 14342:15359 15366:16335" s="83" customFormat="1" ht="15" customHeight="1" thickBot="1">
      <c r="A33" s="62"/>
      <c r="B33" s="63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</row>
    <row r="34" spans="1:1023 1030:2047 2054:3071 3078:4095 4102:5119 5126:6143 6150:7167 7174:8191 8198:9215 9222:10239 10246:11263 11270:12287 12294:13311 13318:14335 14342:15359 15366:16335" s="83" customFormat="1" ht="15" customHeight="1" thickBot="1">
      <c r="A34" s="62"/>
      <c r="B34" s="63" t="s">
        <v>99</v>
      </c>
      <c r="C34" s="64">
        <f t="shared" ref="C34:V34" si="3">C22+C11</f>
        <v>7067294</v>
      </c>
      <c r="D34" s="64">
        <f t="shared" si="3"/>
        <v>4007271</v>
      </c>
      <c r="E34" s="64">
        <f t="shared" si="3"/>
        <v>6791860</v>
      </c>
      <c r="F34" s="64">
        <f t="shared" si="3"/>
        <v>6684878.9029999999</v>
      </c>
      <c r="G34" s="64">
        <f t="shared" si="3"/>
        <v>6294080</v>
      </c>
      <c r="H34" s="64">
        <f t="shared" si="3"/>
        <v>5597271</v>
      </c>
      <c r="I34" s="64">
        <f t="shared" si="3"/>
        <v>5193546</v>
      </c>
      <c r="J34" s="64">
        <f t="shared" si="3"/>
        <v>5044239</v>
      </c>
      <c r="K34" s="64">
        <f t="shared" si="3"/>
        <v>4641354</v>
      </c>
      <c r="L34" s="64">
        <f t="shared" si="3"/>
        <v>4473808.2978499997</v>
      </c>
      <c r="M34" s="64">
        <f t="shared" si="3"/>
        <v>2736723.7790000001</v>
      </c>
      <c r="N34" s="64">
        <f t="shared" si="3"/>
        <v>2732475.7790000001</v>
      </c>
      <c r="O34" s="64">
        <f t="shared" si="3"/>
        <v>2535835</v>
      </c>
      <c r="P34" s="64">
        <f t="shared" si="3"/>
        <v>2320463</v>
      </c>
      <c r="Q34" s="64">
        <f t="shared" si="3"/>
        <v>2075525</v>
      </c>
      <c r="R34" s="64">
        <f t="shared" si="3"/>
        <v>2066069</v>
      </c>
      <c r="S34" s="64">
        <f t="shared" si="3"/>
        <v>1967750</v>
      </c>
      <c r="T34" s="64">
        <f t="shared" si="3"/>
        <v>1878295</v>
      </c>
      <c r="U34" s="64">
        <f t="shared" si="3"/>
        <v>1892005</v>
      </c>
      <c r="V34" s="64">
        <f t="shared" si="3"/>
        <v>1696402</v>
      </c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</row>
    <row r="35" spans="1:1023 1030:2047 2054:3071 3078:4095 4102:5119 5126:6143 6150:7167 7174:8191 8198:9215 9222:10239 10246:11263 11270:12287 12294:13311 13318:14335 14342:15359 15366:16335" s="83" customFormat="1" ht="15" customHeight="1" thickBot="1">
      <c r="A35" s="62"/>
      <c r="B35" s="63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1"/>
      <c r="X35" s="61"/>
      <c r="Y35" s="61"/>
      <c r="Z35" s="61"/>
      <c r="AA35" s="61"/>
      <c r="AB35" s="61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  <c r="AX35" s="61"/>
      <c r="AY35" s="61"/>
      <c r="AZ35" s="61"/>
      <c r="BA35" s="61"/>
      <c r="BB35" s="61"/>
      <c r="BC35" s="61"/>
      <c r="BD35" s="61"/>
      <c r="BE35" s="61"/>
      <c r="BF35" s="61"/>
      <c r="BG35" s="61"/>
      <c r="BH35" s="61"/>
      <c r="BI35" s="61"/>
      <c r="BJ35" s="61"/>
      <c r="BK35" s="61"/>
      <c r="BL35" s="61"/>
      <c r="BM35" s="61"/>
      <c r="BN35" s="61"/>
      <c r="BO35" s="61"/>
      <c r="BP35" s="61"/>
      <c r="BQ35" s="61"/>
      <c r="BR35" s="61"/>
      <c r="BS35" s="61"/>
      <c r="BT35" s="61"/>
      <c r="BU35" s="61"/>
      <c r="BV35" s="61"/>
      <c r="BW35" s="61"/>
      <c r="BX35" s="61"/>
      <c r="BY35" s="61"/>
      <c r="BZ35" s="61"/>
      <c r="CA35" s="61"/>
      <c r="CB35" s="61"/>
      <c r="CC35" s="61"/>
      <c r="CD35" s="61"/>
      <c r="CE35" s="61"/>
      <c r="CF35" s="61"/>
      <c r="CG35" s="61"/>
      <c r="CH35" s="61"/>
      <c r="CI35" s="61"/>
      <c r="CJ35" s="61"/>
      <c r="CK35" s="61"/>
      <c r="CL35" s="61"/>
      <c r="CM35" s="61"/>
      <c r="CN35" s="61"/>
      <c r="CO35" s="61"/>
    </row>
    <row r="36" spans="1:1023 1030:2047 2054:3071 3078:4095 4102:5119 5126:6143 6150:7167 7174:8191 8198:9215 9222:10239 10246:11263 11270:12287 12294:13311 13318:14335 14342:15359 15366:16335" s="54" customFormat="1" ht="15" customHeight="1" thickBot="1">
      <c r="A36" s="4"/>
      <c r="B36" s="52" t="s">
        <v>186</v>
      </c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72"/>
      <c r="X36" s="73"/>
      <c r="Y36" s="73"/>
      <c r="Z36" s="73"/>
      <c r="AA36" s="73"/>
      <c r="AB36" s="73"/>
      <c r="AC36" s="73"/>
      <c r="AD36" s="74"/>
      <c r="AE36" s="72"/>
      <c r="AF36" s="73"/>
      <c r="AG36" s="73"/>
      <c r="AH36" s="73"/>
      <c r="AI36" s="73"/>
      <c r="AJ36" s="73"/>
      <c r="AK36" s="73"/>
      <c r="AL36" s="74"/>
      <c r="AM36" s="72"/>
      <c r="AN36" s="73"/>
      <c r="AO36" s="73"/>
      <c r="AP36" s="73"/>
      <c r="AQ36" s="73"/>
      <c r="AR36" s="73"/>
      <c r="AS36" s="73"/>
      <c r="AT36" s="74"/>
      <c r="AU36" s="72"/>
      <c r="AV36" s="73"/>
      <c r="AW36" s="73"/>
      <c r="AX36" s="73"/>
      <c r="AY36" s="73"/>
      <c r="AZ36" s="73"/>
      <c r="BA36" s="73"/>
      <c r="BB36" s="74"/>
      <c r="BC36" s="72"/>
      <c r="BD36" s="73"/>
      <c r="BE36" s="73"/>
      <c r="BF36" s="73"/>
      <c r="BG36" s="73"/>
      <c r="BH36" s="73"/>
      <c r="BI36" s="73"/>
      <c r="BJ36" s="74"/>
      <c r="BK36" s="72"/>
      <c r="BL36" s="73"/>
      <c r="BM36" s="73"/>
      <c r="BN36" s="73"/>
      <c r="BO36" s="73"/>
      <c r="BP36" s="73"/>
      <c r="BQ36" s="73"/>
      <c r="BR36" s="74"/>
      <c r="BS36" s="72"/>
      <c r="BT36" s="73"/>
      <c r="BU36" s="73"/>
      <c r="BV36" s="73"/>
      <c r="BW36" s="73"/>
      <c r="BX36" s="73"/>
      <c r="BY36" s="73"/>
      <c r="BZ36" s="74"/>
      <c r="CA36" s="72"/>
      <c r="CB36" s="73"/>
      <c r="CC36" s="73"/>
      <c r="CD36" s="73"/>
      <c r="CE36" s="73"/>
      <c r="CF36" s="73"/>
      <c r="CG36" s="73"/>
      <c r="CH36" s="74"/>
      <c r="CI36" s="72"/>
      <c r="CJ36" s="73"/>
      <c r="CK36" s="73"/>
      <c r="CL36" s="73"/>
      <c r="CM36" s="73"/>
      <c r="CN36" s="73"/>
      <c r="CO36" s="73"/>
      <c r="CP36" s="52"/>
      <c r="CQ36" s="75"/>
      <c r="CX36" s="52"/>
      <c r="CY36" s="75"/>
      <c r="DF36" s="52"/>
      <c r="DG36" s="75"/>
      <c r="DN36" s="52"/>
      <c r="DO36" s="75"/>
      <c r="DV36" s="52"/>
      <c r="DW36" s="75"/>
      <c r="ED36" s="52"/>
      <c r="EE36" s="75"/>
      <c r="EL36" s="52"/>
      <c r="EM36" s="75"/>
      <c r="ET36" s="52"/>
      <c r="EU36" s="75"/>
      <c r="FB36" s="52"/>
      <c r="FC36" s="75"/>
      <c r="FJ36" s="52"/>
      <c r="FK36" s="75"/>
      <c r="FR36" s="52"/>
      <c r="FS36" s="75"/>
      <c r="FZ36" s="52"/>
      <c r="GA36" s="75"/>
      <c r="GH36" s="52"/>
      <c r="GI36" s="75"/>
      <c r="GP36" s="52"/>
      <c r="GQ36" s="75"/>
      <c r="GX36" s="52"/>
      <c r="GY36" s="75"/>
      <c r="HF36" s="52"/>
      <c r="HG36" s="75"/>
      <c r="HN36" s="52"/>
      <c r="HO36" s="75"/>
      <c r="HV36" s="52"/>
      <c r="HW36" s="75"/>
      <c r="ID36" s="52"/>
      <c r="IE36" s="75"/>
      <c r="IL36" s="52"/>
      <c r="IM36" s="75"/>
      <c r="IT36" s="52"/>
      <c r="IU36" s="75"/>
      <c r="JB36" s="52"/>
      <c r="JC36" s="75"/>
      <c r="JJ36" s="52"/>
      <c r="JK36" s="75"/>
      <c r="JR36" s="52"/>
      <c r="JS36" s="75"/>
      <c r="JZ36" s="52"/>
      <c r="KA36" s="75"/>
      <c r="KH36" s="52"/>
      <c r="KI36" s="75"/>
      <c r="KP36" s="52"/>
      <c r="KQ36" s="75"/>
      <c r="KX36" s="52"/>
      <c r="KY36" s="75"/>
      <c r="LF36" s="52"/>
      <c r="LG36" s="75"/>
      <c r="LN36" s="52"/>
      <c r="LO36" s="75"/>
      <c r="LV36" s="52"/>
      <c r="LW36" s="75"/>
      <c r="MD36" s="52"/>
      <c r="ME36" s="75"/>
      <c r="ML36" s="52"/>
      <c r="MM36" s="75"/>
      <c r="MT36" s="52"/>
      <c r="MU36" s="75"/>
      <c r="NB36" s="52"/>
      <c r="NC36" s="75"/>
      <c r="NJ36" s="52"/>
      <c r="NK36" s="75"/>
      <c r="NR36" s="52"/>
      <c r="NS36" s="75"/>
      <c r="NZ36" s="52"/>
      <c r="OA36" s="75"/>
      <c r="OH36" s="52"/>
      <c r="OI36" s="75"/>
      <c r="OP36" s="52"/>
      <c r="OQ36" s="75"/>
      <c r="OX36" s="52"/>
      <c r="OY36" s="75"/>
      <c r="PF36" s="52"/>
      <c r="PG36" s="75"/>
      <c r="PN36" s="52"/>
      <c r="PO36" s="75"/>
      <c r="PV36" s="52"/>
      <c r="PW36" s="75"/>
      <c r="QD36" s="52"/>
      <c r="QE36" s="75"/>
      <c r="QL36" s="52"/>
      <c r="QM36" s="75"/>
      <c r="QT36" s="52"/>
      <c r="QU36" s="75"/>
      <c r="RB36" s="52"/>
      <c r="RC36" s="75"/>
      <c r="RJ36" s="52"/>
      <c r="RK36" s="75"/>
      <c r="RR36" s="52"/>
      <c r="RS36" s="75"/>
      <c r="RZ36" s="52"/>
      <c r="SA36" s="75"/>
      <c r="SH36" s="52"/>
      <c r="SI36" s="75"/>
      <c r="SP36" s="52"/>
      <c r="SQ36" s="75"/>
      <c r="SX36" s="52"/>
      <c r="SY36" s="75"/>
      <c r="TF36" s="52"/>
      <c r="TG36" s="75"/>
      <c r="TN36" s="52"/>
      <c r="TO36" s="75"/>
      <c r="TV36" s="52"/>
      <c r="TW36" s="75"/>
      <c r="UD36" s="52"/>
      <c r="UE36" s="75"/>
      <c r="UL36" s="52"/>
      <c r="UM36" s="75"/>
      <c r="UT36" s="52"/>
      <c r="UU36" s="75"/>
      <c r="VB36" s="52"/>
      <c r="VC36" s="75"/>
      <c r="VJ36" s="52"/>
      <c r="VK36" s="75"/>
      <c r="VR36" s="52"/>
      <c r="VS36" s="75"/>
      <c r="VZ36" s="52"/>
      <c r="WA36" s="75"/>
      <c r="WH36" s="52"/>
      <c r="WI36" s="75"/>
      <c r="WP36" s="52"/>
      <c r="WQ36" s="75"/>
      <c r="WX36" s="52"/>
      <c r="WY36" s="75"/>
      <c r="XF36" s="52"/>
      <c r="XG36" s="75"/>
      <c r="XN36" s="52"/>
      <c r="XO36" s="75"/>
      <c r="XV36" s="52"/>
      <c r="XW36" s="75"/>
      <c r="YD36" s="52"/>
      <c r="YE36" s="75"/>
      <c r="YL36" s="52"/>
      <c r="YM36" s="75"/>
      <c r="YT36" s="52"/>
      <c r="YU36" s="75"/>
      <c r="ZB36" s="52"/>
      <c r="ZC36" s="75"/>
      <c r="ZJ36" s="52"/>
      <c r="ZK36" s="75"/>
      <c r="ZR36" s="52"/>
      <c r="ZS36" s="75"/>
      <c r="ZZ36" s="52"/>
      <c r="AAA36" s="75"/>
      <c r="AAH36" s="52"/>
      <c r="AAI36" s="75"/>
      <c r="AAP36" s="52"/>
      <c r="AAQ36" s="75"/>
      <c r="AAX36" s="52"/>
      <c r="AAY36" s="75"/>
      <c r="ABF36" s="52"/>
      <c r="ABG36" s="75"/>
      <c r="ABN36" s="52"/>
      <c r="ABO36" s="75"/>
      <c r="ABV36" s="52"/>
      <c r="ABW36" s="75"/>
      <c r="ACD36" s="52"/>
      <c r="ACE36" s="75"/>
      <c r="ACL36" s="52"/>
      <c r="ACM36" s="75"/>
      <c r="ACT36" s="52"/>
      <c r="ACU36" s="75"/>
      <c r="ADB36" s="52"/>
      <c r="ADC36" s="75"/>
      <c r="ADJ36" s="52"/>
      <c r="ADK36" s="75"/>
      <c r="ADR36" s="52"/>
      <c r="ADS36" s="75"/>
      <c r="ADZ36" s="52"/>
      <c r="AEA36" s="75"/>
      <c r="AEH36" s="52"/>
      <c r="AEI36" s="75"/>
      <c r="AEP36" s="52"/>
      <c r="AEQ36" s="75"/>
      <c r="AEX36" s="52"/>
      <c r="AEY36" s="75"/>
      <c r="AFF36" s="52"/>
      <c r="AFG36" s="75"/>
      <c r="AFN36" s="52"/>
      <c r="AFO36" s="75"/>
      <c r="AFV36" s="52"/>
      <c r="AFW36" s="75"/>
      <c r="AGD36" s="52"/>
      <c r="AGE36" s="75"/>
      <c r="AGL36" s="52"/>
      <c r="AGM36" s="75"/>
      <c r="AGT36" s="52"/>
      <c r="AGU36" s="75"/>
      <c r="AHB36" s="52"/>
      <c r="AHC36" s="75"/>
      <c r="AHJ36" s="52"/>
      <c r="AHK36" s="75"/>
      <c r="AHR36" s="52"/>
      <c r="AHS36" s="75"/>
      <c r="AHZ36" s="52"/>
      <c r="AIA36" s="75"/>
      <c r="AIH36" s="52"/>
      <c r="AII36" s="75"/>
      <c r="AIP36" s="52"/>
      <c r="AIQ36" s="75"/>
      <c r="AIX36" s="52"/>
      <c r="AIY36" s="75"/>
      <c r="AJF36" s="52"/>
      <c r="AJG36" s="75"/>
      <c r="AJN36" s="52"/>
      <c r="AJO36" s="75"/>
      <c r="AJV36" s="52"/>
      <c r="AJW36" s="75"/>
      <c r="AKD36" s="52"/>
      <c r="AKE36" s="75"/>
      <c r="AKL36" s="52"/>
      <c r="AKM36" s="75"/>
      <c r="AKT36" s="52"/>
      <c r="AKU36" s="75"/>
      <c r="ALB36" s="52"/>
      <c r="ALC36" s="75"/>
      <c r="ALJ36" s="52"/>
      <c r="ALK36" s="75"/>
      <c r="ALR36" s="52"/>
      <c r="ALS36" s="75"/>
      <c r="ALZ36" s="52"/>
      <c r="AMA36" s="75"/>
      <c r="AMH36" s="52"/>
      <c r="AMI36" s="75"/>
      <c r="AMP36" s="52"/>
      <c r="AMQ36" s="75"/>
      <c r="AMX36" s="52"/>
      <c r="AMY36" s="75"/>
      <c r="ANF36" s="52"/>
      <c r="ANG36" s="75"/>
      <c r="ANN36" s="52"/>
      <c r="ANO36" s="75"/>
      <c r="ANV36" s="52"/>
      <c r="ANW36" s="75"/>
      <c r="AOD36" s="52"/>
      <c r="AOE36" s="75"/>
      <c r="AOL36" s="52"/>
      <c r="AOM36" s="75"/>
      <c r="AOT36" s="52"/>
      <c r="AOU36" s="75"/>
      <c r="APB36" s="52"/>
      <c r="APC36" s="75"/>
      <c r="APJ36" s="52"/>
      <c r="APK36" s="75"/>
      <c r="APR36" s="52"/>
      <c r="APS36" s="75"/>
      <c r="APZ36" s="52"/>
      <c r="AQA36" s="75"/>
      <c r="AQH36" s="52"/>
      <c r="AQI36" s="75"/>
      <c r="AQP36" s="52"/>
      <c r="AQQ36" s="75"/>
      <c r="AQX36" s="52"/>
      <c r="AQY36" s="75"/>
      <c r="ARF36" s="52"/>
      <c r="ARG36" s="75"/>
      <c r="ARN36" s="52"/>
      <c r="ARO36" s="75"/>
      <c r="ARV36" s="52"/>
      <c r="ARW36" s="75"/>
      <c r="ASD36" s="52"/>
      <c r="ASE36" s="75"/>
      <c r="ASL36" s="52"/>
      <c r="ASM36" s="75"/>
      <c r="AST36" s="52"/>
      <c r="ASU36" s="75"/>
      <c r="ATB36" s="52"/>
      <c r="ATC36" s="75"/>
      <c r="ATJ36" s="52"/>
      <c r="ATK36" s="75"/>
      <c r="ATR36" s="52"/>
      <c r="ATS36" s="75"/>
      <c r="ATZ36" s="52"/>
      <c r="AUA36" s="75"/>
      <c r="AUH36" s="52"/>
      <c r="AUI36" s="75"/>
      <c r="AUP36" s="52"/>
      <c r="AUQ36" s="75"/>
      <c r="AUX36" s="52"/>
      <c r="AUY36" s="75"/>
      <c r="AVF36" s="52"/>
      <c r="AVG36" s="75"/>
      <c r="AVN36" s="52"/>
      <c r="AVO36" s="75"/>
      <c r="AVV36" s="52"/>
      <c r="AVW36" s="75"/>
      <c r="AWD36" s="52"/>
      <c r="AWE36" s="75"/>
      <c r="AWL36" s="52"/>
      <c r="AWM36" s="75"/>
      <c r="AWT36" s="52"/>
      <c r="AWU36" s="75"/>
      <c r="AXB36" s="52"/>
      <c r="AXC36" s="75"/>
      <c r="AXJ36" s="52"/>
      <c r="AXK36" s="75"/>
      <c r="AXR36" s="52"/>
      <c r="AXS36" s="75"/>
      <c r="AXZ36" s="52"/>
      <c r="AYA36" s="75"/>
      <c r="AYH36" s="52"/>
      <c r="AYI36" s="75"/>
      <c r="AYP36" s="52"/>
      <c r="AYQ36" s="75"/>
      <c r="AYX36" s="52"/>
      <c r="AYY36" s="75"/>
      <c r="AZF36" s="52"/>
      <c r="AZG36" s="75"/>
      <c r="AZN36" s="52"/>
      <c r="AZO36" s="75"/>
      <c r="AZV36" s="52"/>
      <c r="AZW36" s="75"/>
      <c r="BAD36" s="52"/>
      <c r="BAE36" s="75"/>
      <c r="BAL36" s="52"/>
      <c r="BAM36" s="75"/>
      <c r="BAT36" s="52"/>
      <c r="BAU36" s="75"/>
      <c r="BBB36" s="52"/>
      <c r="BBC36" s="75"/>
      <c r="BBJ36" s="52"/>
      <c r="BBK36" s="75"/>
      <c r="BBR36" s="52"/>
      <c r="BBS36" s="75"/>
      <c r="BBZ36" s="52"/>
      <c r="BCA36" s="75"/>
      <c r="BCH36" s="52"/>
      <c r="BCI36" s="75"/>
      <c r="BCP36" s="52"/>
      <c r="BCQ36" s="75"/>
      <c r="BCX36" s="52"/>
      <c r="BCY36" s="75"/>
      <c r="BDF36" s="52"/>
      <c r="BDG36" s="75"/>
      <c r="BDN36" s="52"/>
      <c r="BDO36" s="75"/>
      <c r="BDV36" s="52"/>
      <c r="BDW36" s="75"/>
      <c r="BED36" s="52"/>
      <c r="BEE36" s="75"/>
      <c r="BEL36" s="52"/>
      <c r="BEM36" s="75"/>
      <c r="BET36" s="52"/>
      <c r="BEU36" s="75"/>
      <c r="BFB36" s="52"/>
      <c r="BFC36" s="75"/>
      <c r="BFJ36" s="52"/>
      <c r="BFK36" s="75"/>
      <c r="BFR36" s="52"/>
      <c r="BFS36" s="75"/>
      <c r="BFZ36" s="52"/>
      <c r="BGA36" s="75"/>
      <c r="BGH36" s="52"/>
      <c r="BGI36" s="75"/>
      <c r="BGP36" s="52"/>
      <c r="BGQ36" s="75"/>
      <c r="BGX36" s="52"/>
      <c r="BGY36" s="75"/>
      <c r="BHF36" s="52"/>
      <c r="BHG36" s="75"/>
      <c r="BHN36" s="52"/>
      <c r="BHO36" s="75"/>
      <c r="BHV36" s="52"/>
      <c r="BHW36" s="75"/>
      <c r="BID36" s="52"/>
      <c r="BIE36" s="75"/>
      <c r="BIL36" s="52"/>
      <c r="BIM36" s="75"/>
      <c r="BIT36" s="52"/>
      <c r="BIU36" s="75"/>
      <c r="BJB36" s="52"/>
      <c r="BJC36" s="75"/>
      <c r="BJJ36" s="52"/>
      <c r="BJK36" s="75"/>
      <c r="BJR36" s="52"/>
      <c r="BJS36" s="75"/>
      <c r="BJZ36" s="52"/>
      <c r="BKA36" s="75"/>
      <c r="BKH36" s="52"/>
      <c r="BKI36" s="75"/>
      <c r="BKP36" s="52"/>
      <c r="BKQ36" s="75"/>
      <c r="BKX36" s="52"/>
      <c r="BKY36" s="75"/>
      <c r="BLF36" s="52"/>
      <c r="BLG36" s="75"/>
      <c r="BLN36" s="52"/>
      <c r="BLO36" s="75"/>
      <c r="BLV36" s="52"/>
      <c r="BLW36" s="75"/>
      <c r="BMD36" s="52"/>
      <c r="BME36" s="75"/>
      <c r="BML36" s="52"/>
      <c r="BMM36" s="75"/>
      <c r="BMT36" s="52"/>
      <c r="BMU36" s="75"/>
      <c r="BNB36" s="52"/>
      <c r="BNC36" s="75"/>
      <c r="BNJ36" s="52"/>
      <c r="BNK36" s="75"/>
      <c r="BNR36" s="52"/>
      <c r="BNS36" s="75"/>
      <c r="BNZ36" s="52"/>
      <c r="BOA36" s="75"/>
      <c r="BOH36" s="52"/>
      <c r="BOI36" s="75"/>
      <c r="BOP36" s="52"/>
      <c r="BOQ36" s="75"/>
      <c r="BOX36" s="52"/>
      <c r="BOY36" s="75"/>
      <c r="BPF36" s="52"/>
      <c r="BPG36" s="75"/>
      <c r="BPN36" s="52"/>
      <c r="BPO36" s="75"/>
      <c r="BPV36" s="52"/>
      <c r="BPW36" s="75"/>
      <c r="BQD36" s="52"/>
      <c r="BQE36" s="75"/>
      <c r="BQL36" s="52"/>
      <c r="BQM36" s="75"/>
      <c r="BQT36" s="52"/>
      <c r="BQU36" s="75"/>
      <c r="BRB36" s="52"/>
      <c r="BRC36" s="75"/>
      <c r="BRJ36" s="52"/>
      <c r="BRK36" s="75"/>
      <c r="BRR36" s="52"/>
      <c r="BRS36" s="75"/>
      <c r="BRZ36" s="52"/>
      <c r="BSA36" s="75"/>
      <c r="BSH36" s="52"/>
      <c r="BSI36" s="75"/>
      <c r="BSP36" s="52"/>
      <c r="BSQ36" s="75"/>
      <c r="BSX36" s="52"/>
      <c r="BSY36" s="75"/>
      <c r="BTF36" s="52"/>
      <c r="BTG36" s="75"/>
      <c r="BTN36" s="52"/>
      <c r="BTO36" s="75"/>
      <c r="BTV36" s="52"/>
      <c r="BTW36" s="75"/>
      <c r="BUD36" s="52"/>
      <c r="BUE36" s="75"/>
      <c r="BUL36" s="52"/>
      <c r="BUM36" s="75"/>
      <c r="BUT36" s="52"/>
      <c r="BUU36" s="75"/>
      <c r="BVB36" s="52"/>
      <c r="BVC36" s="75"/>
      <c r="BVJ36" s="52"/>
      <c r="BVK36" s="75"/>
      <c r="BVR36" s="52"/>
      <c r="BVS36" s="75"/>
      <c r="BVZ36" s="52"/>
      <c r="BWA36" s="75"/>
      <c r="BWH36" s="52"/>
      <c r="BWI36" s="75"/>
      <c r="BWP36" s="52"/>
      <c r="BWQ36" s="75"/>
      <c r="BWX36" s="52"/>
      <c r="BWY36" s="75"/>
      <c r="BXF36" s="52"/>
      <c r="BXG36" s="75"/>
      <c r="BXN36" s="52"/>
      <c r="BXO36" s="75"/>
      <c r="BXV36" s="52"/>
      <c r="BXW36" s="75"/>
      <c r="BYD36" s="52"/>
      <c r="BYE36" s="75"/>
      <c r="BYL36" s="52"/>
      <c r="BYM36" s="75"/>
      <c r="BYT36" s="52"/>
      <c r="BYU36" s="75"/>
      <c r="BZB36" s="52"/>
      <c r="BZC36" s="75"/>
      <c r="BZJ36" s="52"/>
      <c r="BZK36" s="75"/>
      <c r="BZR36" s="52"/>
      <c r="BZS36" s="75"/>
      <c r="BZZ36" s="52"/>
      <c r="CAA36" s="75"/>
      <c r="CAH36" s="52"/>
      <c r="CAI36" s="75"/>
      <c r="CAP36" s="52"/>
      <c r="CAQ36" s="75"/>
      <c r="CAX36" s="52"/>
      <c r="CAY36" s="75"/>
      <c r="CBF36" s="52"/>
      <c r="CBG36" s="75"/>
      <c r="CBN36" s="52"/>
      <c r="CBO36" s="75"/>
      <c r="CBV36" s="52"/>
      <c r="CBW36" s="75"/>
      <c r="CCD36" s="52"/>
      <c r="CCE36" s="75"/>
      <c r="CCL36" s="52"/>
      <c r="CCM36" s="75"/>
      <c r="CCT36" s="52"/>
      <c r="CCU36" s="75"/>
      <c r="CDB36" s="52"/>
      <c r="CDC36" s="75"/>
      <c r="CDJ36" s="52"/>
      <c r="CDK36" s="75"/>
      <c r="CDR36" s="52"/>
      <c r="CDS36" s="75"/>
      <c r="CDZ36" s="52"/>
      <c r="CEA36" s="75"/>
      <c r="CEH36" s="52"/>
      <c r="CEI36" s="75"/>
      <c r="CEP36" s="52"/>
      <c r="CEQ36" s="75"/>
      <c r="CEX36" s="52"/>
      <c r="CEY36" s="75"/>
      <c r="CFF36" s="52"/>
      <c r="CFG36" s="75"/>
      <c r="CFN36" s="52"/>
      <c r="CFO36" s="75"/>
      <c r="CFV36" s="52"/>
      <c r="CFW36" s="75"/>
      <c r="CGD36" s="52"/>
      <c r="CGE36" s="75"/>
      <c r="CGL36" s="52"/>
      <c r="CGM36" s="75"/>
      <c r="CGT36" s="52"/>
      <c r="CGU36" s="75"/>
      <c r="CHB36" s="52"/>
      <c r="CHC36" s="75"/>
      <c r="CHJ36" s="52"/>
      <c r="CHK36" s="75"/>
      <c r="CHR36" s="52"/>
      <c r="CHS36" s="75"/>
      <c r="CHZ36" s="52"/>
      <c r="CIA36" s="75"/>
      <c r="CIH36" s="52"/>
      <c r="CII36" s="75"/>
      <c r="CIP36" s="52"/>
      <c r="CIQ36" s="75"/>
      <c r="CIX36" s="52"/>
      <c r="CIY36" s="75"/>
      <c r="CJF36" s="52"/>
      <c r="CJG36" s="75"/>
      <c r="CJN36" s="52"/>
      <c r="CJO36" s="75"/>
      <c r="CJV36" s="52"/>
      <c r="CJW36" s="75"/>
      <c r="CKD36" s="52"/>
      <c r="CKE36" s="75"/>
      <c r="CKL36" s="52"/>
      <c r="CKM36" s="75"/>
      <c r="CKT36" s="52"/>
      <c r="CKU36" s="75"/>
      <c r="CLB36" s="52"/>
      <c r="CLC36" s="75"/>
      <c r="CLJ36" s="52"/>
      <c r="CLK36" s="75"/>
      <c r="CLR36" s="52"/>
      <c r="CLS36" s="75"/>
      <c r="CLZ36" s="52"/>
      <c r="CMA36" s="75"/>
      <c r="CMH36" s="52"/>
      <c r="CMI36" s="75"/>
      <c r="CMP36" s="52"/>
      <c r="CMQ36" s="75"/>
      <c r="CMX36" s="52"/>
      <c r="CMY36" s="75"/>
      <c r="CNF36" s="52"/>
      <c r="CNG36" s="75"/>
      <c r="CNN36" s="52"/>
      <c r="CNO36" s="75"/>
      <c r="CNV36" s="52"/>
      <c r="CNW36" s="75"/>
      <c r="COD36" s="52"/>
      <c r="COE36" s="75"/>
      <c r="COL36" s="52"/>
      <c r="COM36" s="75"/>
      <c r="COT36" s="52"/>
      <c r="COU36" s="75"/>
      <c r="CPB36" s="52"/>
      <c r="CPC36" s="75"/>
      <c r="CPJ36" s="52"/>
      <c r="CPK36" s="75"/>
      <c r="CPR36" s="52"/>
      <c r="CPS36" s="75"/>
      <c r="CPZ36" s="52"/>
      <c r="CQA36" s="75"/>
      <c r="CQH36" s="52"/>
      <c r="CQI36" s="75"/>
      <c r="CQP36" s="52"/>
      <c r="CQQ36" s="75"/>
      <c r="CQX36" s="52"/>
      <c r="CQY36" s="75"/>
      <c r="CRF36" s="52"/>
      <c r="CRG36" s="75"/>
      <c r="CRN36" s="52"/>
      <c r="CRO36" s="75"/>
      <c r="CRV36" s="52"/>
      <c r="CRW36" s="75"/>
      <c r="CSD36" s="52"/>
      <c r="CSE36" s="75"/>
      <c r="CSL36" s="52"/>
      <c r="CSM36" s="75"/>
      <c r="CST36" s="52"/>
      <c r="CSU36" s="75"/>
      <c r="CTB36" s="52"/>
      <c r="CTC36" s="75"/>
      <c r="CTJ36" s="52"/>
      <c r="CTK36" s="75"/>
      <c r="CTR36" s="52"/>
      <c r="CTS36" s="75"/>
      <c r="CTZ36" s="52"/>
      <c r="CUA36" s="75"/>
      <c r="CUH36" s="52"/>
      <c r="CUI36" s="75"/>
      <c r="CUP36" s="52"/>
      <c r="CUQ36" s="75"/>
      <c r="CUX36" s="52"/>
      <c r="CUY36" s="75"/>
      <c r="CVF36" s="52"/>
      <c r="CVG36" s="75"/>
      <c r="CVN36" s="52"/>
      <c r="CVO36" s="75"/>
      <c r="CVV36" s="52"/>
      <c r="CVW36" s="75"/>
      <c r="CWD36" s="52"/>
      <c r="CWE36" s="75"/>
      <c r="CWL36" s="52"/>
      <c r="CWM36" s="75"/>
      <c r="CWT36" s="52"/>
      <c r="CWU36" s="75"/>
      <c r="CXB36" s="52"/>
      <c r="CXC36" s="75"/>
      <c r="CXJ36" s="52"/>
      <c r="CXK36" s="75"/>
      <c r="CXR36" s="52"/>
      <c r="CXS36" s="75"/>
      <c r="CXZ36" s="52"/>
      <c r="CYA36" s="75"/>
      <c r="CYH36" s="52"/>
      <c r="CYI36" s="75"/>
      <c r="CYP36" s="52"/>
      <c r="CYQ36" s="75"/>
      <c r="CYX36" s="52"/>
      <c r="CYY36" s="75"/>
      <c r="CZF36" s="52"/>
      <c r="CZG36" s="75"/>
      <c r="CZN36" s="52"/>
      <c r="CZO36" s="75"/>
      <c r="CZV36" s="52"/>
      <c r="CZW36" s="75"/>
      <c r="DAD36" s="52"/>
      <c r="DAE36" s="75"/>
      <c r="DAL36" s="52"/>
      <c r="DAM36" s="75"/>
      <c r="DAT36" s="52"/>
      <c r="DAU36" s="75"/>
      <c r="DBB36" s="52"/>
      <c r="DBC36" s="75"/>
      <c r="DBJ36" s="52"/>
      <c r="DBK36" s="75"/>
      <c r="DBR36" s="52"/>
      <c r="DBS36" s="75"/>
      <c r="DBZ36" s="52"/>
      <c r="DCA36" s="75"/>
      <c r="DCH36" s="52"/>
      <c r="DCI36" s="75"/>
      <c r="DCP36" s="52"/>
      <c r="DCQ36" s="75"/>
      <c r="DCX36" s="52"/>
      <c r="DCY36" s="75"/>
      <c r="DDF36" s="52"/>
      <c r="DDG36" s="75"/>
      <c r="DDN36" s="52"/>
      <c r="DDO36" s="75"/>
      <c r="DDV36" s="52"/>
      <c r="DDW36" s="75"/>
      <c r="DED36" s="52"/>
      <c r="DEE36" s="75"/>
      <c r="DEL36" s="52"/>
      <c r="DEM36" s="75"/>
      <c r="DET36" s="52"/>
      <c r="DEU36" s="75"/>
      <c r="DFB36" s="52"/>
      <c r="DFC36" s="75"/>
      <c r="DFJ36" s="52"/>
      <c r="DFK36" s="75"/>
      <c r="DFR36" s="52"/>
      <c r="DFS36" s="75"/>
      <c r="DFZ36" s="52"/>
      <c r="DGA36" s="75"/>
      <c r="DGH36" s="52"/>
      <c r="DGI36" s="75"/>
      <c r="DGP36" s="52"/>
      <c r="DGQ36" s="75"/>
      <c r="DGX36" s="52"/>
      <c r="DGY36" s="75"/>
      <c r="DHF36" s="52"/>
      <c r="DHG36" s="75"/>
      <c r="DHN36" s="52"/>
      <c r="DHO36" s="75"/>
      <c r="DHV36" s="52"/>
      <c r="DHW36" s="75"/>
      <c r="DID36" s="52"/>
      <c r="DIE36" s="75"/>
      <c r="DIL36" s="52"/>
      <c r="DIM36" s="75"/>
      <c r="DIT36" s="52"/>
      <c r="DIU36" s="75"/>
      <c r="DJB36" s="52"/>
      <c r="DJC36" s="75"/>
      <c r="DJJ36" s="52"/>
      <c r="DJK36" s="75"/>
      <c r="DJR36" s="52"/>
      <c r="DJS36" s="75"/>
      <c r="DJZ36" s="52"/>
      <c r="DKA36" s="75"/>
      <c r="DKH36" s="52"/>
      <c r="DKI36" s="75"/>
      <c r="DKP36" s="52"/>
      <c r="DKQ36" s="75"/>
      <c r="DKX36" s="52"/>
      <c r="DKY36" s="75"/>
      <c r="DLF36" s="52"/>
      <c r="DLG36" s="75"/>
      <c r="DLN36" s="52"/>
      <c r="DLO36" s="75"/>
      <c r="DLV36" s="52"/>
      <c r="DLW36" s="75"/>
      <c r="DMD36" s="52"/>
      <c r="DME36" s="75"/>
      <c r="DML36" s="52"/>
      <c r="DMM36" s="75"/>
      <c r="DMT36" s="52"/>
      <c r="DMU36" s="75"/>
      <c r="DNB36" s="52"/>
      <c r="DNC36" s="75"/>
      <c r="DNJ36" s="52"/>
      <c r="DNK36" s="75"/>
      <c r="DNR36" s="52"/>
      <c r="DNS36" s="75"/>
      <c r="DNZ36" s="52"/>
      <c r="DOA36" s="75"/>
      <c r="DOH36" s="52"/>
      <c r="DOI36" s="75"/>
      <c r="DOP36" s="52"/>
      <c r="DOQ36" s="75"/>
      <c r="DOX36" s="52"/>
      <c r="DOY36" s="75"/>
      <c r="DPF36" s="52"/>
      <c r="DPG36" s="75"/>
      <c r="DPN36" s="52"/>
      <c r="DPO36" s="75"/>
      <c r="DPV36" s="52"/>
      <c r="DPW36" s="75"/>
      <c r="DQD36" s="52"/>
      <c r="DQE36" s="75"/>
      <c r="DQL36" s="52"/>
      <c r="DQM36" s="75"/>
      <c r="DQT36" s="52"/>
      <c r="DQU36" s="75"/>
      <c r="DRB36" s="52"/>
      <c r="DRC36" s="75"/>
      <c r="DRJ36" s="52"/>
      <c r="DRK36" s="75"/>
      <c r="DRR36" s="52"/>
      <c r="DRS36" s="75"/>
      <c r="DRZ36" s="52"/>
      <c r="DSA36" s="75"/>
      <c r="DSH36" s="52"/>
      <c r="DSI36" s="75"/>
      <c r="DSP36" s="52"/>
      <c r="DSQ36" s="75"/>
      <c r="DSX36" s="52"/>
      <c r="DSY36" s="75"/>
      <c r="DTF36" s="52"/>
      <c r="DTG36" s="75"/>
      <c r="DTN36" s="52"/>
      <c r="DTO36" s="75"/>
      <c r="DTV36" s="52"/>
      <c r="DTW36" s="75"/>
      <c r="DUD36" s="52"/>
      <c r="DUE36" s="75"/>
      <c r="DUL36" s="52"/>
      <c r="DUM36" s="75"/>
      <c r="DUT36" s="52"/>
      <c r="DUU36" s="75"/>
      <c r="DVB36" s="52"/>
      <c r="DVC36" s="75"/>
      <c r="DVJ36" s="52"/>
      <c r="DVK36" s="75"/>
      <c r="DVR36" s="52"/>
      <c r="DVS36" s="75"/>
      <c r="DVZ36" s="52"/>
      <c r="DWA36" s="75"/>
      <c r="DWH36" s="52"/>
      <c r="DWI36" s="75"/>
      <c r="DWP36" s="52"/>
      <c r="DWQ36" s="75"/>
      <c r="DWX36" s="52"/>
      <c r="DWY36" s="75"/>
      <c r="DXF36" s="52"/>
      <c r="DXG36" s="75"/>
      <c r="DXN36" s="52"/>
      <c r="DXO36" s="75"/>
      <c r="DXV36" s="52"/>
      <c r="DXW36" s="75"/>
      <c r="DYD36" s="52"/>
      <c r="DYE36" s="75"/>
      <c r="DYL36" s="52"/>
      <c r="DYM36" s="75"/>
      <c r="DYT36" s="52"/>
      <c r="DYU36" s="75"/>
      <c r="DZB36" s="52"/>
      <c r="DZC36" s="75"/>
      <c r="DZJ36" s="52"/>
      <c r="DZK36" s="75"/>
      <c r="DZR36" s="52"/>
      <c r="DZS36" s="75"/>
      <c r="DZZ36" s="52"/>
      <c r="EAA36" s="75"/>
      <c r="EAH36" s="52"/>
      <c r="EAI36" s="75"/>
      <c r="EAP36" s="52"/>
      <c r="EAQ36" s="75"/>
      <c r="EAX36" s="52"/>
      <c r="EAY36" s="75"/>
      <c r="EBF36" s="52"/>
      <c r="EBG36" s="75"/>
      <c r="EBN36" s="52"/>
      <c r="EBO36" s="75"/>
      <c r="EBV36" s="52"/>
      <c r="EBW36" s="75"/>
      <c r="ECD36" s="52"/>
      <c r="ECE36" s="75"/>
      <c r="ECL36" s="52"/>
      <c r="ECM36" s="75"/>
      <c r="ECT36" s="52"/>
      <c r="ECU36" s="75"/>
      <c r="EDB36" s="52"/>
      <c r="EDC36" s="75"/>
      <c r="EDJ36" s="52"/>
      <c r="EDK36" s="75"/>
      <c r="EDR36" s="52"/>
      <c r="EDS36" s="75"/>
      <c r="EDZ36" s="52"/>
      <c r="EEA36" s="75"/>
      <c r="EEH36" s="52"/>
      <c r="EEI36" s="75"/>
      <c r="EEP36" s="52"/>
      <c r="EEQ36" s="75"/>
      <c r="EEX36" s="52"/>
      <c r="EEY36" s="75"/>
      <c r="EFF36" s="52"/>
      <c r="EFG36" s="75"/>
      <c r="EFN36" s="52"/>
      <c r="EFO36" s="75"/>
      <c r="EFV36" s="52"/>
      <c r="EFW36" s="75"/>
      <c r="EGD36" s="52"/>
      <c r="EGE36" s="75"/>
      <c r="EGL36" s="52"/>
      <c r="EGM36" s="75"/>
      <c r="EGT36" s="52"/>
      <c r="EGU36" s="75"/>
      <c r="EHB36" s="52"/>
      <c r="EHC36" s="75"/>
      <c r="EHJ36" s="52"/>
      <c r="EHK36" s="75"/>
      <c r="EHR36" s="52"/>
      <c r="EHS36" s="75"/>
      <c r="EHZ36" s="52"/>
      <c r="EIA36" s="75"/>
      <c r="EIH36" s="52"/>
      <c r="EII36" s="75"/>
      <c r="EIP36" s="52"/>
      <c r="EIQ36" s="75"/>
      <c r="EIX36" s="52"/>
      <c r="EIY36" s="75"/>
      <c r="EJF36" s="52"/>
      <c r="EJG36" s="75"/>
      <c r="EJN36" s="52"/>
      <c r="EJO36" s="75"/>
      <c r="EJV36" s="52"/>
      <c r="EJW36" s="75"/>
      <c r="EKD36" s="52"/>
      <c r="EKE36" s="75"/>
      <c r="EKL36" s="52"/>
      <c r="EKM36" s="75"/>
      <c r="EKT36" s="52"/>
      <c r="EKU36" s="75"/>
      <c r="ELB36" s="52"/>
      <c r="ELC36" s="75"/>
      <c r="ELJ36" s="52"/>
      <c r="ELK36" s="75"/>
      <c r="ELR36" s="52"/>
      <c r="ELS36" s="75"/>
      <c r="ELZ36" s="52"/>
      <c r="EMA36" s="75"/>
      <c r="EMH36" s="52"/>
      <c r="EMI36" s="75"/>
      <c r="EMP36" s="52"/>
      <c r="EMQ36" s="75"/>
      <c r="EMX36" s="52"/>
      <c r="EMY36" s="75"/>
      <c r="ENF36" s="52"/>
      <c r="ENG36" s="75"/>
      <c r="ENN36" s="52"/>
      <c r="ENO36" s="75"/>
      <c r="ENV36" s="52"/>
      <c r="ENW36" s="75"/>
      <c r="EOD36" s="52"/>
      <c r="EOE36" s="75"/>
      <c r="EOL36" s="52"/>
      <c r="EOM36" s="75"/>
      <c r="EOT36" s="52"/>
      <c r="EOU36" s="75"/>
      <c r="EPB36" s="52"/>
      <c r="EPC36" s="75"/>
      <c r="EPJ36" s="52"/>
      <c r="EPK36" s="75"/>
      <c r="EPR36" s="52"/>
      <c r="EPS36" s="75"/>
      <c r="EPZ36" s="52"/>
      <c r="EQA36" s="75"/>
      <c r="EQH36" s="52"/>
      <c r="EQI36" s="75"/>
      <c r="EQP36" s="52"/>
      <c r="EQQ36" s="75"/>
      <c r="EQX36" s="52"/>
      <c r="EQY36" s="75"/>
      <c r="ERF36" s="52"/>
      <c r="ERG36" s="75"/>
      <c r="ERN36" s="52"/>
      <c r="ERO36" s="75"/>
      <c r="ERV36" s="52"/>
      <c r="ERW36" s="75"/>
      <c r="ESD36" s="52"/>
      <c r="ESE36" s="75"/>
      <c r="ESL36" s="52"/>
      <c r="ESM36" s="75"/>
      <c r="EST36" s="52"/>
      <c r="ESU36" s="75"/>
      <c r="ETB36" s="52"/>
      <c r="ETC36" s="75"/>
      <c r="ETJ36" s="52"/>
      <c r="ETK36" s="75"/>
      <c r="ETR36" s="52"/>
      <c r="ETS36" s="75"/>
      <c r="ETZ36" s="52"/>
      <c r="EUA36" s="75"/>
      <c r="EUH36" s="52"/>
      <c r="EUI36" s="75"/>
      <c r="EUP36" s="52"/>
      <c r="EUQ36" s="75"/>
      <c r="EUX36" s="52"/>
      <c r="EUY36" s="75"/>
      <c r="EVF36" s="52"/>
      <c r="EVG36" s="75"/>
      <c r="EVN36" s="52"/>
      <c r="EVO36" s="75"/>
      <c r="EVV36" s="52"/>
      <c r="EVW36" s="75"/>
      <c r="EWD36" s="52"/>
      <c r="EWE36" s="75"/>
      <c r="EWL36" s="52"/>
      <c r="EWM36" s="75"/>
      <c r="EWT36" s="52"/>
      <c r="EWU36" s="75"/>
      <c r="EXB36" s="52"/>
      <c r="EXC36" s="75"/>
      <c r="EXJ36" s="52"/>
      <c r="EXK36" s="75"/>
      <c r="EXR36" s="52"/>
      <c r="EXS36" s="75"/>
      <c r="EXZ36" s="52"/>
      <c r="EYA36" s="75"/>
      <c r="EYH36" s="52"/>
      <c r="EYI36" s="75"/>
      <c r="EYP36" s="52"/>
      <c r="EYQ36" s="75"/>
      <c r="EYX36" s="52"/>
      <c r="EYY36" s="75"/>
      <c r="EZF36" s="52"/>
      <c r="EZG36" s="75"/>
      <c r="EZN36" s="52"/>
      <c r="EZO36" s="75"/>
      <c r="EZV36" s="52"/>
      <c r="EZW36" s="75"/>
      <c r="FAD36" s="52"/>
      <c r="FAE36" s="75"/>
      <c r="FAL36" s="52"/>
      <c r="FAM36" s="75"/>
      <c r="FAT36" s="52"/>
      <c r="FAU36" s="75"/>
      <c r="FBB36" s="52"/>
      <c r="FBC36" s="75"/>
      <c r="FBJ36" s="52"/>
      <c r="FBK36" s="75"/>
      <c r="FBR36" s="52"/>
      <c r="FBS36" s="75"/>
      <c r="FBZ36" s="52"/>
      <c r="FCA36" s="75"/>
      <c r="FCH36" s="52"/>
      <c r="FCI36" s="75"/>
      <c r="FCP36" s="52"/>
      <c r="FCQ36" s="75"/>
      <c r="FCX36" s="52"/>
      <c r="FCY36" s="75"/>
      <c r="FDF36" s="52"/>
      <c r="FDG36" s="75"/>
      <c r="FDN36" s="52"/>
      <c r="FDO36" s="75"/>
      <c r="FDV36" s="52"/>
      <c r="FDW36" s="75"/>
      <c r="FED36" s="52"/>
      <c r="FEE36" s="75"/>
      <c r="FEL36" s="52"/>
      <c r="FEM36" s="75"/>
      <c r="FET36" s="52"/>
      <c r="FEU36" s="75"/>
      <c r="FFB36" s="52"/>
      <c r="FFC36" s="75"/>
      <c r="FFJ36" s="52"/>
      <c r="FFK36" s="75"/>
      <c r="FFR36" s="52"/>
      <c r="FFS36" s="75"/>
      <c r="FFZ36" s="52"/>
      <c r="FGA36" s="75"/>
      <c r="FGH36" s="52"/>
      <c r="FGI36" s="75"/>
      <c r="FGP36" s="52"/>
      <c r="FGQ36" s="75"/>
      <c r="FGX36" s="52"/>
      <c r="FGY36" s="75"/>
      <c r="FHF36" s="52"/>
      <c r="FHG36" s="75"/>
      <c r="FHN36" s="52"/>
      <c r="FHO36" s="75"/>
      <c r="FHV36" s="52"/>
      <c r="FHW36" s="75"/>
      <c r="FID36" s="52"/>
      <c r="FIE36" s="75"/>
      <c r="FIL36" s="52"/>
      <c r="FIM36" s="75"/>
      <c r="FIT36" s="52"/>
      <c r="FIU36" s="75"/>
      <c r="FJB36" s="52"/>
      <c r="FJC36" s="75"/>
      <c r="FJJ36" s="52"/>
      <c r="FJK36" s="75"/>
      <c r="FJR36" s="52"/>
      <c r="FJS36" s="75"/>
      <c r="FJZ36" s="52"/>
      <c r="FKA36" s="75"/>
      <c r="FKH36" s="52"/>
      <c r="FKI36" s="75"/>
      <c r="FKP36" s="52"/>
      <c r="FKQ36" s="75"/>
      <c r="FKX36" s="52"/>
      <c r="FKY36" s="75"/>
      <c r="FLF36" s="52"/>
      <c r="FLG36" s="75"/>
      <c r="FLN36" s="52"/>
      <c r="FLO36" s="75"/>
      <c r="FLV36" s="52"/>
      <c r="FLW36" s="75"/>
      <c r="FMD36" s="52"/>
      <c r="FME36" s="75"/>
      <c r="FML36" s="52"/>
      <c r="FMM36" s="75"/>
      <c r="FMT36" s="52"/>
      <c r="FMU36" s="75"/>
      <c r="FNB36" s="52"/>
      <c r="FNC36" s="75"/>
      <c r="FNJ36" s="52"/>
      <c r="FNK36" s="75"/>
      <c r="FNR36" s="52"/>
      <c r="FNS36" s="75"/>
      <c r="FNZ36" s="52"/>
      <c r="FOA36" s="75"/>
      <c r="FOH36" s="52"/>
      <c r="FOI36" s="75"/>
      <c r="FOP36" s="52"/>
      <c r="FOQ36" s="75"/>
      <c r="FOX36" s="52"/>
      <c r="FOY36" s="75"/>
      <c r="FPF36" s="52"/>
      <c r="FPG36" s="75"/>
      <c r="FPN36" s="52"/>
      <c r="FPO36" s="75"/>
      <c r="FPV36" s="52"/>
      <c r="FPW36" s="75"/>
      <c r="FQD36" s="52"/>
      <c r="FQE36" s="75"/>
      <c r="FQL36" s="52"/>
      <c r="FQM36" s="75"/>
      <c r="FQT36" s="52"/>
      <c r="FQU36" s="75"/>
      <c r="FRB36" s="52"/>
      <c r="FRC36" s="75"/>
      <c r="FRJ36" s="52"/>
      <c r="FRK36" s="75"/>
      <c r="FRR36" s="52"/>
      <c r="FRS36" s="75"/>
      <c r="FRZ36" s="52"/>
      <c r="FSA36" s="75"/>
      <c r="FSH36" s="52"/>
      <c r="FSI36" s="75"/>
      <c r="FSP36" s="52"/>
      <c r="FSQ36" s="75"/>
      <c r="FSX36" s="52"/>
      <c r="FSY36" s="75"/>
      <c r="FTF36" s="52"/>
      <c r="FTG36" s="75"/>
      <c r="FTN36" s="52"/>
      <c r="FTO36" s="75"/>
      <c r="FTV36" s="52"/>
      <c r="FTW36" s="75"/>
      <c r="FUD36" s="52"/>
      <c r="FUE36" s="75"/>
      <c r="FUL36" s="52"/>
      <c r="FUM36" s="75"/>
      <c r="FUT36" s="52"/>
      <c r="FUU36" s="75"/>
      <c r="FVB36" s="52"/>
      <c r="FVC36" s="75"/>
      <c r="FVJ36" s="52"/>
      <c r="FVK36" s="75"/>
      <c r="FVR36" s="52"/>
      <c r="FVS36" s="75"/>
      <c r="FVZ36" s="52"/>
      <c r="FWA36" s="75"/>
      <c r="FWH36" s="52"/>
      <c r="FWI36" s="75"/>
      <c r="FWP36" s="52"/>
      <c r="FWQ36" s="75"/>
      <c r="FWX36" s="52"/>
      <c r="FWY36" s="75"/>
      <c r="FXF36" s="52"/>
      <c r="FXG36" s="75"/>
      <c r="FXN36" s="52"/>
      <c r="FXO36" s="75"/>
      <c r="FXV36" s="52"/>
      <c r="FXW36" s="75"/>
      <c r="FYD36" s="52"/>
      <c r="FYE36" s="75"/>
      <c r="FYL36" s="52"/>
      <c r="FYM36" s="75"/>
      <c r="FYT36" s="52"/>
      <c r="FYU36" s="75"/>
      <c r="FZB36" s="52"/>
      <c r="FZC36" s="75"/>
      <c r="FZJ36" s="52"/>
      <c r="FZK36" s="75"/>
      <c r="FZR36" s="52"/>
      <c r="FZS36" s="75"/>
      <c r="FZZ36" s="52"/>
      <c r="GAA36" s="75"/>
      <c r="GAH36" s="52"/>
      <c r="GAI36" s="75"/>
      <c r="GAP36" s="52"/>
      <c r="GAQ36" s="75"/>
      <c r="GAX36" s="52"/>
      <c r="GAY36" s="75"/>
      <c r="GBF36" s="52"/>
      <c r="GBG36" s="75"/>
      <c r="GBN36" s="52"/>
      <c r="GBO36" s="75"/>
      <c r="GBV36" s="52"/>
      <c r="GBW36" s="75"/>
      <c r="GCD36" s="52"/>
      <c r="GCE36" s="75"/>
      <c r="GCL36" s="52"/>
      <c r="GCM36" s="75"/>
      <c r="GCT36" s="52"/>
      <c r="GCU36" s="75"/>
      <c r="GDB36" s="52"/>
      <c r="GDC36" s="75"/>
      <c r="GDJ36" s="52"/>
      <c r="GDK36" s="75"/>
      <c r="GDR36" s="52"/>
      <c r="GDS36" s="75"/>
      <c r="GDZ36" s="52"/>
      <c r="GEA36" s="75"/>
      <c r="GEH36" s="52"/>
      <c r="GEI36" s="75"/>
      <c r="GEP36" s="52"/>
      <c r="GEQ36" s="75"/>
      <c r="GEX36" s="52"/>
      <c r="GEY36" s="75"/>
      <c r="GFF36" s="52"/>
      <c r="GFG36" s="75"/>
      <c r="GFN36" s="52"/>
      <c r="GFO36" s="75"/>
      <c r="GFV36" s="52"/>
      <c r="GFW36" s="75"/>
      <c r="GGD36" s="52"/>
      <c r="GGE36" s="75"/>
      <c r="GGL36" s="52"/>
      <c r="GGM36" s="75"/>
      <c r="GGT36" s="52"/>
      <c r="GGU36" s="75"/>
      <c r="GHB36" s="52"/>
      <c r="GHC36" s="75"/>
      <c r="GHJ36" s="52"/>
      <c r="GHK36" s="75"/>
      <c r="GHR36" s="52"/>
      <c r="GHS36" s="75"/>
      <c r="GHZ36" s="52"/>
      <c r="GIA36" s="75"/>
      <c r="GIH36" s="52"/>
      <c r="GII36" s="75"/>
      <c r="GIP36" s="52"/>
      <c r="GIQ36" s="75"/>
      <c r="GIX36" s="52"/>
      <c r="GIY36" s="75"/>
      <c r="GJF36" s="52"/>
      <c r="GJG36" s="75"/>
      <c r="GJN36" s="52"/>
      <c r="GJO36" s="75"/>
      <c r="GJV36" s="52"/>
      <c r="GJW36" s="75"/>
      <c r="GKD36" s="52"/>
      <c r="GKE36" s="75"/>
      <c r="GKL36" s="52"/>
      <c r="GKM36" s="75"/>
      <c r="GKT36" s="52"/>
      <c r="GKU36" s="75"/>
      <c r="GLB36" s="52"/>
      <c r="GLC36" s="75"/>
      <c r="GLJ36" s="52"/>
      <c r="GLK36" s="75"/>
      <c r="GLR36" s="52"/>
      <c r="GLS36" s="75"/>
      <c r="GLZ36" s="52"/>
      <c r="GMA36" s="75"/>
      <c r="GMH36" s="52"/>
      <c r="GMI36" s="75"/>
      <c r="GMP36" s="52"/>
      <c r="GMQ36" s="75"/>
      <c r="GMX36" s="52"/>
      <c r="GMY36" s="75"/>
      <c r="GNF36" s="52"/>
      <c r="GNG36" s="75"/>
      <c r="GNN36" s="52"/>
      <c r="GNO36" s="75"/>
      <c r="GNV36" s="52"/>
      <c r="GNW36" s="75"/>
      <c r="GOD36" s="52"/>
      <c r="GOE36" s="75"/>
      <c r="GOL36" s="52"/>
      <c r="GOM36" s="75"/>
      <c r="GOT36" s="52"/>
      <c r="GOU36" s="75"/>
      <c r="GPB36" s="52"/>
      <c r="GPC36" s="75"/>
      <c r="GPJ36" s="52"/>
      <c r="GPK36" s="75"/>
      <c r="GPR36" s="52"/>
      <c r="GPS36" s="75"/>
      <c r="GPZ36" s="52"/>
      <c r="GQA36" s="75"/>
      <c r="GQH36" s="52"/>
      <c r="GQI36" s="75"/>
      <c r="GQP36" s="52"/>
      <c r="GQQ36" s="75"/>
      <c r="GQX36" s="52"/>
      <c r="GQY36" s="75"/>
      <c r="GRF36" s="52"/>
      <c r="GRG36" s="75"/>
      <c r="GRN36" s="52"/>
      <c r="GRO36" s="75"/>
      <c r="GRV36" s="52"/>
      <c r="GRW36" s="75"/>
      <c r="GSD36" s="52"/>
      <c r="GSE36" s="75"/>
      <c r="GSL36" s="52"/>
      <c r="GSM36" s="75"/>
      <c r="GST36" s="52"/>
      <c r="GSU36" s="75"/>
      <c r="GTB36" s="52"/>
      <c r="GTC36" s="75"/>
      <c r="GTJ36" s="52"/>
      <c r="GTK36" s="75"/>
      <c r="GTR36" s="52"/>
      <c r="GTS36" s="75"/>
      <c r="GTZ36" s="52"/>
      <c r="GUA36" s="75"/>
      <c r="GUH36" s="52"/>
      <c r="GUI36" s="75"/>
      <c r="GUP36" s="52"/>
      <c r="GUQ36" s="75"/>
      <c r="GUX36" s="52"/>
      <c r="GUY36" s="75"/>
      <c r="GVF36" s="52"/>
      <c r="GVG36" s="75"/>
      <c r="GVN36" s="52"/>
      <c r="GVO36" s="75"/>
      <c r="GVV36" s="52"/>
      <c r="GVW36" s="75"/>
      <c r="GWD36" s="52"/>
      <c r="GWE36" s="75"/>
      <c r="GWL36" s="52"/>
      <c r="GWM36" s="75"/>
      <c r="GWT36" s="52"/>
      <c r="GWU36" s="75"/>
      <c r="GXB36" s="52"/>
      <c r="GXC36" s="75"/>
      <c r="GXJ36" s="52"/>
      <c r="GXK36" s="75"/>
      <c r="GXR36" s="52"/>
      <c r="GXS36" s="75"/>
      <c r="GXZ36" s="52"/>
      <c r="GYA36" s="75"/>
      <c r="GYH36" s="52"/>
      <c r="GYI36" s="75"/>
      <c r="GYP36" s="52"/>
      <c r="GYQ36" s="75"/>
      <c r="GYX36" s="52"/>
      <c r="GYY36" s="75"/>
      <c r="GZF36" s="52"/>
      <c r="GZG36" s="75"/>
      <c r="GZN36" s="52"/>
      <c r="GZO36" s="75"/>
      <c r="GZV36" s="52"/>
      <c r="GZW36" s="75"/>
      <c r="HAD36" s="52"/>
      <c r="HAE36" s="75"/>
      <c r="HAL36" s="52"/>
      <c r="HAM36" s="75"/>
      <c r="HAT36" s="52"/>
      <c r="HAU36" s="75"/>
      <c r="HBB36" s="52"/>
      <c r="HBC36" s="75"/>
      <c r="HBJ36" s="52"/>
      <c r="HBK36" s="75"/>
      <c r="HBR36" s="52"/>
      <c r="HBS36" s="75"/>
      <c r="HBZ36" s="52"/>
      <c r="HCA36" s="75"/>
      <c r="HCH36" s="52"/>
      <c r="HCI36" s="75"/>
      <c r="HCP36" s="52"/>
      <c r="HCQ36" s="75"/>
      <c r="HCX36" s="52"/>
      <c r="HCY36" s="75"/>
      <c r="HDF36" s="52"/>
      <c r="HDG36" s="75"/>
      <c r="HDN36" s="52"/>
      <c r="HDO36" s="75"/>
      <c r="HDV36" s="52"/>
      <c r="HDW36" s="75"/>
      <c r="HED36" s="52"/>
      <c r="HEE36" s="75"/>
      <c r="HEL36" s="52"/>
      <c r="HEM36" s="75"/>
      <c r="HET36" s="52"/>
      <c r="HEU36" s="75"/>
      <c r="HFB36" s="52"/>
      <c r="HFC36" s="75"/>
      <c r="HFJ36" s="52"/>
      <c r="HFK36" s="75"/>
      <c r="HFR36" s="52"/>
      <c r="HFS36" s="75"/>
      <c r="HFZ36" s="52"/>
      <c r="HGA36" s="75"/>
      <c r="HGH36" s="52"/>
      <c r="HGI36" s="75"/>
      <c r="HGP36" s="52"/>
      <c r="HGQ36" s="75"/>
      <c r="HGX36" s="52"/>
      <c r="HGY36" s="75"/>
      <c r="HHF36" s="52"/>
      <c r="HHG36" s="75"/>
      <c r="HHN36" s="52"/>
      <c r="HHO36" s="75"/>
      <c r="HHV36" s="52"/>
      <c r="HHW36" s="75"/>
      <c r="HID36" s="52"/>
      <c r="HIE36" s="75"/>
      <c r="HIL36" s="52"/>
      <c r="HIM36" s="75"/>
      <c r="HIT36" s="52"/>
      <c r="HIU36" s="75"/>
      <c r="HJB36" s="52"/>
      <c r="HJC36" s="75"/>
      <c r="HJJ36" s="52"/>
      <c r="HJK36" s="75"/>
      <c r="HJR36" s="52"/>
      <c r="HJS36" s="75"/>
      <c r="HJZ36" s="52"/>
      <c r="HKA36" s="75"/>
      <c r="HKH36" s="52"/>
      <c r="HKI36" s="75"/>
      <c r="HKP36" s="52"/>
      <c r="HKQ36" s="75"/>
      <c r="HKX36" s="52"/>
      <c r="HKY36" s="75"/>
      <c r="HLF36" s="52"/>
      <c r="HLG36" s="75"/>
      <c r="HLN36" s="52"/>
      <c r="HLO36" s="75"/>
      <c r="HLV36" s="52"/>
      <c r="HLW36" s="75"/>
      <c r="HMD36" s="52"/>
      <c r="HME36" s="75"/>
      <c r="HML36" s="52"/>
      <c r="HMM36" s="75"/>
      <c r="HMT36" s="52"/>
      <c r="HMU36" s="75"/>
      <c r="HNB36" s="52"/>
      <c r="HNC36" s="75"/>
      <c r="HNJ36" s="52"/>
      <c r="HNK36" s="75"/>
      <c r="HNR36" s="52"/>
      <c r="HNS36" s="75"/>
      <c r="HNZ36" s="52"/>
      <c r="HOA36" s="75"/>
      <c r="HOH36" s="52"/>
      <c r="HOI36" s="75"/>
      <c r="HOP36" s="52"/>
      <c r="HOQ36" s="75"/>
      <c r="HOX36" s="52"/>
      <c r="HOY36" s="75"/>
      <c r="HPF36" s="52"/>
      <c r="HPG36" s="75"/>
      <c r="HPN36" s="52"/>
      <c r="HPO36" s="75"/>
      <c r="HPV36" s="52"/>
      <c r="HPW36" s="75"/>
      <c r="HQD36" s="52"/>
      <c r="HQE36" s="75"/>
      <c r="HQL36" s="52"/>
      <c r="HQM36" s="75"/>
      <c r="HQT36" s="52"/>
      <c r="HQU36" s="75"/>
      <c r="HRB36" s="52"/>
      <c r="HRC36" s="75"/>
      <c r="HRJ36" s="52"/>
      <c r="HRK36" s="75"/>
      <c r="HRR36" s="52"/>
      <c r="HRS36" s="75"/>
      <c r="HRZ36" s="52"/>
      <c r="HSA36" s="75"/>
      <c r="HSH36" s="52"/>
      <c r="HSI36" s="75"/>
      <c r="HSP36" s="52"/>
      <c r="HSQ36" s="75"/>
      <c r="HSX36" s="52"/>
      <c r="HSY36" s="75"/>
      <c r="HTF36" s="52"/>
      <c r="HTG36" s="75"/>
      <c r="HTN36" s="52"/>
      <c r="HTO36" s="75"/>
      <c r="HTV36" s="52"/>
      <c r="HTW36" s="75"/>
      <c r="HUD36" s="52"/>
      <c r="HUE36" s="75"/>
      <c r="HUL36" s="52"/>
      <c r="HUM36" s="75"/>
      <c r="HUT36" s="52"/>
      <c r="HUU36" s="75"/>
      <c r="HVB36" s="52"/>
      <c r="HVC36" s="75"/>
      <c r="HVJ36" s="52"/>
      <c r="HVK36" s="75"/>
      <c r="HVR36" s="52"/>
      <c r="HVS36" s="75"/>
      <c r="HVZ36" s="52"/>
      <c r="HWA36" s="75"/>
      <c r="HWH36" s="52"/>
      <c r="HWI36" s="75"/>
      <c r="HWP36" s="52"/>
      <c r="HWQ36" s="75"/>
      <c r="HWX36" s="52"/>
      <c r="HWY36" s="75"/>
      <c r="HXF36" s="52"/>
      <c r="HXG36" s="75"/>
      <c r="HXN36" s="52"/>
      <c r="HXO36" s="75"/>
      <c r="HXV36" s="52"/>
      <c r="HXW36" s="75"/>
      <c r="HYD36" s="52"/>
      <c r="HYE36" s="75"/>
      <c r="HYL36" s="52"/>
      <c r="HYM36" s="75"/>
      <c r="HYT36" s="52"/>
      <c r="HYU36" s="75"/>
      <c r="HZB36" s="52"/>
      <c r="HZC36" s="75"/>
      <c r="HZJ36" s="52"/>
      <c r="HZK36" s="75"/>
      <c r="HZR36" s="52"/>
      <c r="HZS36" s="75"/>
      <c r="HZZ36" s="52"/>
      <c r="IAA36" s="75"/>
      <c r="IAH36" s="52"/>
      <c r="IAI36" s="75"/>
      <c r="IAP36" s="52"/>
      <c r="IAQ36" s="75"/>
      <c r="IAX36" s="52"/>
      <c r="IAY36" s="75"/>
      <c r="IBF36" s="52"/>
      <c r="IBG36" s="75"/>
      <c r="IBN36" s="52"/>
      <c r="IBO36" s="75"/>
      <c r="IBV36" s="52"/>
      <c r="IBW36" s="75"/>
      <c r="ICD36" s="52"/>
      <c r="ICE36" s="75"/>
      <c r="ICL36" s="52"/>
      <c r="ICM36" s="75"/>
      <c r="ICT36" s="52"/>
      <c r="ICU36" s="75"/>
      <c r="IDB36" s="52"/>
      <c r="IDC36" s="75"/>
      <c r="IDJ36" s="52"/>
      <c r="IDK36" s="75"/>
      <c r="IDR36" s="52"/>
      <c r="IDS36" s="75"/>
      <c r="IDZ36" s="52"/>
      <c r="IEA36" s="75"/>
      <c r="IEH36" s="52"/>
      <c r="IEI36" s="75"/>
      <c r="IEP36" s="52"/>
      <c r="IEQ36" s="75"/>
      <c r="IEX36" s="52"/>
      <c r="IEY36" s="75"/>
      <c r="IFF36" s="52"/>
      <c r="IFG36" s="75"/>
      <c r="IFN36" s="52"/>
      <c r="IFO36" s="75"/>
      <c r="IFV36" s="52"/>
      <c r="IFW36" s="75"/>
      <c r="IGD36" s="52"/>
      <c r="IGE36" s="75"/>
      <c r="IGL36" s="52"/>
      <c r="IGM36" s="75"/>
      <c r="IGT36" s="52"/>
      <c r="IGU36" s="75"/>
      <c r="IHB36" s="52"/>
      <c r="IHC36" s="75"/>
      <c r="IHJ36" s="52"/>
      <c r="IHK36" s="75"/>
      <c r="IHR36" s="52"/>
      <c r="IHS36" s="75"/>
      <c r="IHZ36" s="52"/>
      <c r="IIA36" s="75"/>
      <c r="IIH36" s="52"/>
      <c r="III36" s="75"/>
      <c r="IIP36" s="52"/>
      <c r="IIQ36" s="75"/>
      <c r="IIX36" s="52"/>
      <c r="IIY36" s="75"/>
      <c r="IJF36" s="52"/>
      <c r="IJG36" s="75"/>
      <c r="IJN36" s="52"/>
      <c r="IJO36" s="75"/>
      <c r="IJV36" s="52"/>
      <c r="IJW36" s="75"/>
      <c r="IKD36" s="52"/>
      <c r="IKE36" s="75"/>
      <c r="IKL36" s="52"/>
      <c r="IKM36" s="75"/>
      <c r="IKT36" s="52"/>
      <c r="IKU36" s="75"/>
      <c r="ILB36" s="52"/>
      <c r="ILC36" s="75"/>
      <c r="ILJ36" s="52"/>
      <c r="ILK36" s="75"/>
      <c r="ILR36" s="52"/>
      <c r="ILS36" s="75"/>
      <c r="ILZ36" s="52"/>
      <c r="IMA36" s="75"/>
      <c r="IMH36" s="52"/>
      <c r="IMI36" s="75"/>
      <c r="IMP36" s="52"/>
      <c r="IMQ36" s="75"/>
      <c r="IMX36" s="52"/>
      <c r="IMY36" s="75"/>
      <c r="INF36" s="52"/>
      <c r="ING36" s="75"/>
      <c r="INN36" s="52"/>
      <c r="INO36" s="75"/>
      <c r="INV36" s="52"/>
      <c r="INW36" s="75"/>
      <c r="IOD36" s="52"/>
      <c r="IOE36" s="75"/>
      <c r="IOL36" s="52"/>
      <c r="IOM36" s="75"/>
      <c r="IOT36" s="52"/>
      <c r="IOU36" s="75"/>
      <c r="IPB36" s="52"/>
      <c r="IPC36" s="75"/>
      <c r="IPJ36" s="52"/>
      <c r="IPK36" s="75"/>
      <c r="IPR36" s="52"/>
      <c r="IPS36" s="75"/>
      <c r="IPZ36" s="52"/>
      <c r="IQA36" s="75"/>
      <c r="IQH36" s="52"/>
      <c r="IQI36" s="75"/>
      <c r="IQP36" s="52"/>
      <c r="IQQ36" s="75"/>
      <c r="IQX36" s="52"/>
      <c r="IQY36" s="75"/>
      <c r="IRF36" s="52"/>
      <c r="IRG36" s="75"/>
      <c r="IRN36" s="52"/>
      <c r="IRO36" s="75"/>
      <c r="IRV36" s="52"/>
      <c r="IRW36" s="75"/>
      <c r="ISD36" s="52"/>
      <c r="ISE36" s="75"/>
      <c r="ISL36" s="52"/>
      <c r="ISM36" s="75"/>
      <c r="IST36" s="52"/>
      <c r="ISU36" s="75"/>
      <c r="ITB36" s="52"/>
      <c r="ITC36" s="75"/>
      <c r="ITJ36" s="52"/>
      <c r="ITK36" s="75"/>
      <c r="ITR36" s="52"/>
      <c r="ITS36" s="75"/>
      <c r="ITZ36" s="52"/>
      <c r="IUA36" s="75"/>
      <c r="IUH36" s="52"/>
      <c r="IUI36" s="75"/>
      <c r="IUP36" s="52"/>
      <c r="IUQ36" s="75"/>
      <c r="IUX36" s="52"/>
      <c r="IUY36" s="75"/>
      <c r="IVF36" s="52"/>
      <c r="IVG36" s="75"/>
      <c r="IVN36" s="52"/>
      <c r="IVO36" s="75"/>
      <c r="IVV36" s="52"/>
      <c r="IVW36" s="75"/>
      <c r="IWD36" s="52"/>
      <c r="IWE36" s="75"/>
      <c r="IWL36" s="52"/>
      <c r="IWM36" s="75"/>
      <c r="IWT36" s="52"/>
      <c r="IWU36" s="75"/>
      <c r="IXB36" s="52"/>
      <c r="IXC36" s="75"/>
      <c r="IXJ36" s="52"/>
      <c r="IXK36" s="75"/>
      <c r="IXR36" s="52"/>
      <c r="IXS36" s="75"/>
      <c r="IXZ36" s="52"/>
      <c r="IYA36" s="75"/>
      <c r="IYH36" s="52"/>
      <c r="IYI36" s="75"/>
      <c r="IYP36" s="52"/>
      <c r="IYQ36" s="75"/>
      <c r="IYX36" s="52"/>
      <c r="IYY36" s="75"/>
      <c r="IZF36" s="52"/>
      <c r="IZG36" s="75"/>
      <c r="IZN36" s="52"/>
      <c r="IZO36" s="75"/>
      <c r="IZV36" s="52"/>
      <c r="IZW36" s="75"/>
      <c r="JAD36" s="52"/>
      <c r="JAE36" s="75"/>
      <c r="JAL36" s="52"/>
      <c r="JAM36" s="75"/>
      <c r="JAT36" s="52"/>
      <c r="JAU36" s="75"/>
      <c r="JBB36" s="52"/>
      <c r="JBC36" s="75"/>
      <c r="JBJ36" s="52"/>
      <c r="JBK36" s="75"/>
      <c r="JBR36" s="52"/>
      <c r="JBS36" s="75"/>
      <c r="JBZ36" s="52"/>
      <c r="JCA36" s="75"/>
      <c r="JCH36" s="52"/>
      <c r="JCI36" s="75"/>
      <c r="JCP36" s="52"/>
      <c r="JCQ36" s="75"/>
      <c r="JCX36" s="52"/>
      <c r="JCY36" s="75"/>
      <c r="JDF36" s="52"/>
      <c r="JDG36" s="75"/>
      <c r="JDN36" s="52"/>
      <c r="JDO36" s="75"/>
      <c r="JDV36" s="52"/>
      <c r="JDW36" s="75"/>
      <c r="JED36" s="52"/>
      <c r="JEE36" s="75"/>
      <c r="JEL36" s="52"/>
      <c r="JEM36" s="75"/>
      <c r="JET36" s="52"/>
      <c r="JEU36" s="75"/>
      <c r="JFB36" s="52"/>
      <c r="JFC36" s="75"/>
      <c r="JFJ36" s="52"/>
      <c r="JFK36" s="75"/>
      <c r="JFR36" s="52"/>
      <c r="JFS36" s="75"/>
      <c r="JFZ36" s="52"/>
      <c r="JGA36" s="75"/>
      <c r="JGH36" s="52"/>
      <c r="JGI36" s="75"/>
      <c r="JGP36" s="52"/>
      <c r="JGQ36" s="75"/>
      <c r="JGX36" s="52"/>
      <c r="JGY36" s="75"/>
      <c r="JHF36" s="52"/>
      <c r="JHG36" s="75"/>
      <c r="JHN36" s="52"/>
      <c r="JHO36" s="75"/>
      <c r="JHV36" s="52"/>
      <c r="JHW36" s="75"/>
      <c r="JID36" s="52"/>
      <c r="JIE36" s="75"/>
      <c r="JIL36" s="52"/>
      <c r="JIM36" s="75"/>
      <c r="JIT36" s="52"/>
      <c r="JIU36" s="75"/>
      <c r="JJB36" s="52"/>
      <c r="JJC36" s="75"/>
      <c r="JJJ36" s="52"/>
      <c r="JJK36" s="75"/>
      <c r="JJR36" s="52"/>
      <c r="JJS36" s="75"/>
      <c r="JJZ36" s="52"/>
      <c r="JKA36" s="75"/>
      <c r="JKH36" s="52"/>
      <c r="JKI36" s="75"/>
      <c r="JKP36" s="52"/>
      <c r="JKQ36" s="75"/>
      <c r="JKX36" s="52"/>
      <c r="JKY36" s="75"/>
      <c r="JLF36" s="52"/>
      <c r="JLG36" s="75"/>
      <c r="JLN36" s="52"/>
      <c r="JLO36" s="75"/>
      <c r="JLV36" s="52"/>
      <c r="JLW36" s="75"/>
      <c r="JMD36" s="52"/>
      <c r="JME36" s="75"/>
      <c r="JML36" s="52"/>
      <c r="JMM36" s="75"/>
      <c r="JMT36" s="52"/>
      <c r="JMU36" s="75"/>
      <c r="JNB36" s="52"/>
      <c r="JNC36" s="75"/>
      <c r="JNJ36" s="52"/>
      <c r="JNK36" s="75"/>
      <c r="JNR36" s="52"/>
      <c r="JNS36" s="75"/>
      <c r="JNZ36" s="52"/>
      <c r="JOA36" s="75"/>
      <c r="JOH36" s="52"/>
      <c r="JOI36" s="75"/>
      <c r="JOP36" s="52"/>
      <c r="JOQ36" s="75"/>
      <c r="JOX36" s="52"/>
      <c r="JOY36" s="75"/>
      <c r="JPF36" s="52"/>
      <c r="JPG36" s="75"/>
      <c r="JPN36" s="52"/>
      <c r="JPO36" s="75"/>
      <c r="JPV36" s="52"/>
      <c r="JPW36" s="75"/>
      <c r="JQD36" s="52"/>
      <c r="JQE36" s="75"/>
      <c r="JQL36" s="52"/>
      <c r="JQM36" s="75"/>
      <c r="JQT36" s="52"/>
      <c r="JQU36" s="75"/>
      <c r="JRB36" s="52"/>
      <c r="JRC36" s="75"/>
      <c r="JRJ36" s="52"/>
      <c r="JRK36" s="75"/>
      <c r="JRR36" s="52"/>
      <c r="JRS36" s="75"/>
      <c r="JRZ36" s="52"/>
      <c r="JSA36" s="75"/>
      <c r="JSH36" s="52"/>
      <c r="JSI36" s="75"/>
      <c r="JSP36" s="52"/>
      <c r="JSQ36" s="75"/>
      <c r="JSX36" s="52"/>
      <c r="JSY36" s="75"/>
      <c r="JTF36" s="52"/>
      <c r="JTG36" s="75"/>
      <c r="JTN36" s="52"/>
      <c r="JTO36" s="75"/>
      <c r="JTV36" s="52"/>
      <c r="JTW36" s="75"/>
      <c r="JUD36" s="52"/>
      <c r="JUE36" s="75"/>
      <c r="JUL36" s="52"/>
      <c r="JUM36" s="75"/>
      <c r="JUT36" s="52"/>
      <c r="JUU36" s="75"/>
      <c r="JVB36" s="52"/>
      <c r="JVC36" s="75"/>
      <c r="JVJ36" s="52"/>
      <c r="JVK36" s="75"/>
      <c r="JVR36" s="52"/>
      <c r="JVS36" s="75"/>
      <c r="JVZ36" s="52"/>
      <c r="JWA36" s="75"/>
      <c r="JWH36" s="52"/>
      <c r="JWI36" s="75"/>
      <c r="JWP36" s="52"/>
      <c r="JWQ36" s="75"/>
      <c r="JWX36" s="52"/>
      <c r="JWY36" s="75"/>
      <c r="JXF36" s="52"/>
      <c r="JXG36" s="75"/>
      <c r="JXN36" s="52"/>
      <c r="JXO36" s="75"/>
      <c r="JXV36" s="52"/>
      <c r="JXW36" s="75"/>
      <c r="JYD36" s="52"/>
      <c r="JYE36" s="75"/>
      <c r="JYL36" s="52"/>
      <c r="JYM36" s="75"/>
      <c r="JYT36" s="52"/>
      <c r="JYU36" s="75"/>
      <c r="JZB36" s="52"/>
      <c r="JZC36" s="75"/>
      <c r="JZJ36" s="52"/>
      <c r="JZK36" s="75"/>
      <c r="JZR36" s="52"/>
      <c r="JZS36" s="75"/>
      <c r="JZZ36" s="52"/>
      <c r="KAA36" s="75"/>
      <c r="KAH36" s="52"/>
      <c r="KAI36" s="75"/>
      <c r="KAP36" s="52"/>
      <c r="KAQ36" s="75"/>
      <c r="KAX36" s="52"/>
      <c r="KAY36" s="75"/>
      <c r="KBF36" s="52"/>
      <c r="KBG36" s="75"/>
      <c r="KBN36" s="52"/>
      <c r="KBO36" s="75"/>
      <c r="KBV36" s="52"/>
      <c r="KBW36" s="75"/>
      <c r="KCD36" s="52"/>
      <c r="KCE36" s="75"/>
      <c r="KCL36" s="52"/>
      <c r="KCM36" s="75"/>
      <c r="KCT36" s="52"/>
      <c r="KCU36" s="75"/>
      <c r="KDB36" s="52"/>
      <c r="KDC36" s="75"/>
      <c r="KDJ36" s="52"/>
      <c r="KDK36" s="75"/>
      <c r="KDR36" s="52"/>
      <c r="KDS36" s="75"/>
      <c r="KDZ36" s="52"/>
      <c r="KEA36" s="75"/>
      <c r="KEH36" s="52"/>
      <c r="KEI36" s="75"/>
      <c r="KEP36" s="52"/>
      <c r="KEQ36" s="75"/>
      <c r="KEX36" s="52"/>
      <c r="KEY36" s="75"/>
      <c r="KFF36" s="52"/>
      <c r="KFG36" s="75"/>
      <c r="KFN36" s="52"/>
      <c r="KFO36" s="75"/>
      <c r="KFV36" s="52"/>
      <c r="KFW36" s="75"/>
      <c r="KGD36" s="52"/>
      <c r="KGE36" s="75"/>
      <c r="KGL36" s="52"/>
      <c r="KGM36" s="75"/>
      <c r="KGT36" s="52"/>
      <c r="KGU36" s="75"/>
      <c r="KHB36" s="52"/>
      <c r="KHC36" s="75"/>
      <c r="KHJ36" s="52"/>
      <c r="KHK36" s="75"/>
      <c r="KHR36" s="52"/>
      <c r="KHS36" s="75"/>
      <c r="KHZ36" s="52"/>
      <c r="KIA36" s="75"/>
      <c r="KIH36" s="52"/>
      <c r="KII36" s="75"/>
      <c r="KIP36" s="52"/>
      <c r="KIQ36" s="75"/>
      <c r="KIX36" s="52"/>
      <c r="KIY36" s="75"/>
      <c r="KJF36" s="52"/>
      <c r="KJG36" s="75"/>
      <c r="KJN36" s="52"/>
      <c r="KJO36" s="75"/>
      <c r="KJV36" s="52"/>
      <c r="KJW36" s="75"/>
      <c r="KKD36" s="52"/>
      <c r="KKE36" s="75"/>
      <c r="KKL36" s="52"/>
      <c r="KKM36" s="75"/>
      <c r="KKT36" s="52"/>
      <c r="KKU36" s="75"/>
      <c r="KLB36" s="52"/>
      <c r="KLC36" s="75"/>
      <c r="KLJ36" s="52"/>
      <c r="KLK36" s="75"/>
      <c r="KLR36" s="52"/>
      <c r="KLS36" s="75"/>
      <c r="KLZ36" s="52"/>
      <c r="KMA36" s="75"/>
      <c r="KMH36" s="52"/>
      <c r="KMI36" s="75"/>
      <c r="KMP36" s="52"/>
      <c r="KMQ36" s="75"/>
      <c r="KMX36" s="52"/>
      <c r="KMY36" s="75"/>
      <c r="KNF36" s="52"/>
      <c r="KNG36" s="75"/>
      <c r="KNN36" s="52"/>
      <c r="KNO36" s="75"/>
      <c r="KNV36" s="52"/>
      <c r="KNW36" s="75"/>
      <c r="KOD36" s="52"/>
      <c r="KOE36" s="75"/>
      <c r="KOL36" s="52"/>
      <c r="KOM36" s="75"/>
      <c r="KOT36" s="52"/>
      <c r="KOU36" s="75"/>
      <c r="KPB36" s="52"/>
      <c r="KPC36" s="75"/>
      <c r="KPJ36" s="52"/>
      <c r="KPK36" s="75"/>
      <c r="KPR36" s="52"/>
      <c r="KPS36" s="75"/>
      <c r="KPZ36" s="52"/>
      <c r="KQA36" s="75"/>
      <c r="KQH36" s="52"/>
      <c r="KQI36" s="75"/>
      <c r="KQP36" s="52"/>
      <c r="KQQ36" s="75"/>
      <c r="KQX36" s="52"/>
      <c r="KQY36" s="75"/>
      <c r="KRF36" s="52"/>
      <c r="KRG36" s="75"/>
      <c r="KRN36" s="52"/>
      <c r="KRO36" s="75"/>
      <c r="KRV36" s="52"/>
      <c r="KRW36" s="75"/>
      <c r="KSD36" s="52"/>
      <c r="KSE36" s="75"/>
      <c r="KSL36" s="52"/>
      <c r="KSM36" s="75"/>
      <c r="KST36" s="52"/>
      <c r="KSU36" s="75"/>
      <c r="KTB36" s="52"/>
      <c r="KTC36" s="75"/>
      <c r="KTJ36" s="52"/>
      <c r="KTK36" s="75"/>
      <c r="KTR36" s="52"/>
      <c r="KTS36" s="75"/>
      <c r="KTZ36" s="52"/>
      <c r="KUA36" s="75"/>
      <c r="KUH36" s="52"/>
      <c r="KUI36" s="75"/>
      <c r="KUP36" s="52"/>
      <c r="KUQ36" s="75"/>
      <c r="KUX36" s="52"/>
      <c r="KUY36" s="75"/>
      <c r="KVF36" s="52"/>
      <c r="KVG36" s="75"/>
      <c r="KVN36" s="52"/>
      <c r="KVO36" s="75"/>
      <c r="KVV36" s="52"/>
      <c r="KVW36" s="75"/>
      <c r="KWD36" s="52"/>
      <c r="KWE36" s="75"/>
      <c r="KWL36" s="52"/>
      <c r="KWM36" s="75"/>
      <c r="KWT36" s="52"/>
      <c r="KWU36" s="75"/>
      <c r="KXB36" s="52"/>
      <c r="KXC36" s="75"/>
      <c r="KXJ36" s="52"/>
      <c r="KXK36" s="75"/>
      <c r="KXR36" s="52"/>
      <c r="KXS36" s="75"/>
      <c r="KXZ36" s="52"/>
      <c r="KYA36" s="75"/>
      <c r="KYH36" s="52"/>
      <c r="KYI36" s="75"/>
      <c r="KYP36" s="52"/>
      <c r="KYQ36" s="75"/>
      <c r="KYX36" s="52"/>
      <c r="KYY36" s="75"/>
      <c r="KZF36" s="52"/>
      <c r="KZG36" s="75"/>
      <c r="KZN36" s="52"/>
      <c r="KZO36" s="75"/>
      <c r="KZV36" s="52"/>
      <c r="KZW36" s="75"/>
      <c r="LAD36" s="52"/>
      <c r="LAE36" s="75"/>
      <c r="LAL36" s="52"/>
      <c r="LAM36" s="75"/>
      <c r="LAT36" s="52"/>
      <c r="LAU36" s="75"/>
      <c r="LBB36" s="52"/>
      <c r="LBC36" s="75"/>
      <c r="LBJ36" s="52"/>
      <c r="LBK36" s="75"/>
      <c r="LBR36" s="52"/>
      <c r="LBS36" s="75"/>
      <c r="LBZ36" s="52"/>
      <c r="LCA36" s="75"/>
      <c r="LCH36" s="52"/>
      <c r="LCI36" s="75"/>
      <c r="LCP36" s="52"/>
      <c r="LCQ36" s="75"/>
      <c r="LCX36" s="52"/>
      <c r="LCY36" s="75"/>
      <c r="LDF36" s="52"/>
      <c r="LDG36" s="75"/>
      <c r="LDN36" s="52"/>
      <c r="LDO36" s="75"/>
      <c r="LDV36" s="52"/>
      <c r="LDW36" s="75"/>
      <c r="LED36" s="52"/>
      <c r="LEE36" s="75"/>
      <c r="LEL36" s="52"/>
      <c r="LEM36" s="75"/>
      <c r="LET36" s="52"/>
      <c r="LEU36" s="75"/>
      <c r="LFB36" s="52"/>
      <c r="LFC36" s="75"/>
      <c r="LFJ36" s="52"/>
      <c r="LFK36" s="75"/>
      <c r="LFR36" s="52"/>
      <c r="LFS36" s="75"/>
      <c r="LFZ36" s="52"/>
      <c r="LGA36" s="75"/>
      <c r="LGH36" s="52"/>
      <c r="LGI36" s="75"/>
      <c r="LGP36" s="52"/>
      <c r="LGQ36" s="75"/>
      <c r="LGX36" s="52"/>
      <c r="LGY36" s="75"/>
      <c r="LHF36" s="52"/>
      <c r="LHG36" s="75"/>
      <c r="LHN36" s="52"/>
      <c r="LHO36" s="75"/>
      <c r="LHV36" s="52"/>
      <c r="LHW36" s="75"/>
      <c r="LID36" s="52"/>
      <c r="LIE36" s="75"/>
      <c r="LIL36" s="52"/>
      <c r="LIM36" s="75"/>
      <c r="LIT36" s="52"/>
      <c r="LIU36" s="75"/>
      <c r="LJB36" s="52"/>
      <c r="LJC36" s="75"/>
      <c r="LJJ36" s="52"/>
      <c r="LJK36" s="75"/>
      <c r="LJR36" s="52"/>
      <c r="LJS36" s="75"/>
      <c r="LJZ36" s="52"/>
      <c r="LKA36" s="75"/>
      <c r="LKH36" s="52"/>
      <c r="LKI36" s="75"/>
      <c r="LKP36" s="52"/>
      <c r="LKQ36" s="75"/>
      <c r="LKX36" s="52"/>
      <c r="LKY36" s="75"/>
      <c r="LLF36" s="52"/>
      <c r="LLG36" s="75"/>
      <c r="LLN36" s="52"/>
      <c r="LLO36" s="75"/>
      <c r="LLV36" s="52"/>
      <c r="LLW36" s="75"/>
      <c r="LMD36" s="52"/>
      <c r="LME36" s="75"/>
      <c r="LML36" s="52"/>
      <c r="LMM36" s="75"/>
      <c r="LMT36" s="52"/>
      <c r="LMU36" s="75"/>
      <c r="LNB36" s="52"/>
      <c r="LNC36" s="75"/>
      <c r="LNJ36" s="52"/>
      <c r="LNK36" s="75"/>
      <c r="LNR36" s="52"/>
      <c r="LNS36" s="75"/>
      <c r="LNZ36" s="52"/>
      <c r="LOA36" s="75"/>
      <c r="LOH36" s="52"/>
      <c r="LOI36" s="75"/>
      <c r="LOP36" s="52"/>
      <c r="LOQ36" s="75"/>
      <c r="LOX36" s="52"/>
      <c r="LOY36" s="75"/>
      <c r="LPF36" s="52"/>
      <c r="LPG36" s="75"/>
      <c r="LPN36" s="52"/>
      <c r="LPO36" s="75"/>
      <c r="LPV36" s="52"/>
      <c r="LPW36" s="75"/>
      <c r="LQD36" s="52"/>
      <c r="LQE36" s="75"/>
      <c r="LQL36" s="52"/>
      <c r="LQM36" s="75"/>
      <c r="LQT36" s="52"/>
      <c r="LQU36" s="75"/>
      <c r="LRB36" s="52"/>
      <c r="LRC36" s="75"/>
      <c r="LRJ36" s="52"/>
      <c r="LRK36" s="75"/>
      <c r="LRR36" s="52"/>
      <c r="LRS36" s="75"/>
      <c r="LRZ36" s="52"/>
      <c r="LSA36" s="75"/>
      <c r="LSH36" s="52"/>
      <c r="LSI36" s="75"/>
      <c r="LSP36" s="52"/>
      <c r="LSQ36" s="75"/>
      <c r="LSX36" s="52"/>
      <c r="LSY36" s="75"/>
      <c r="LTF36" s="52"/>
      <c r="LTG36" s="75"/>
      <c r="LTN36" s="52"/>
      <c r="LTO36" s="75"/>
      <c r="LTV36" s="52"/>
      <c r="LTW36" s="75"/>
      <c r="LUD36" s="52"/>
      <c r="LUE36" s="75"/>
      <c r="LUL36" s="52"/>
      <c r="LUM36" s="75"/>
      <c r="LUT36" s="52"/>
      <c r="LUU36" s="75"/>
      <c r="LVB36" s="52"/>
      <c r="LVC36" s="75"/>
      <c r="LVJ36" s="52"/>
      <c r="LVK36" s="75"/>
      <c r="LVR36" s="52"/>
      <c r="LVS36" s="75"/>
      <c r="LVZ36" s="52"/>
      <c r="LWA36" s="75"/>
      <c r="LWH36" s="52"/>
      <c r="LWI36" s="75"/>
      <c r="LWP36" s="52"/>
      <c r="LWQ36" s="75"/>
      <c r="LWX36" s="52"/>
      <c r="LWY36" s="75"/>
      <c r="LXF36" s="52"/>
      <c r="LXG36" s="75"/>
      <c r="LXN36" s="52"/>
      <c r="LXO36" s="75"/>
      <c r="LXV36" s="52"/>
      <c r="LXW36" s="75"/>
      <c r="LYD36" s="52"/>
      <c r="LYE36" s="75"/>
      <c r="LYL36" s="52"/>
      <c r="LYM36" s="75"/>
      <c r="LYT36" s="52"/>
      <c r="LYU36" s="75"/>
      <c r="LZB36" s="52"/>
      <c r="LZC36" s="75"/>
      <c r="LZJ36" s="52"/>
      <c r="LZK36" s="75"/>
      <c r="LZR36" s="52"/>
      <c r="LZS36" s="75"/>
      <c r="LZZ36" s="52"/>
      <c r="MAA36" s="75"/>
      <c r="MAH36" s="52"/>
      <c r="MAI36" s="75"/>
      <c r="MAP36" s="52"/>
      <c r="MAQ36" s="75"/>
      <c r="MAX36" s="52"/>
      <c r="MAY36" s="75"/>
      <c r="MBF36" s="52"/>
      <c r="MBG36" s="75"/>
      <c r="MBN36" s="52"/>
      <c r="MBO36" s="75"/>
      <c r="MBV36" s="52"/>
      <c r="MBW36" s="75"/>
      <c r="MCD36" s="52"/>
      <c r="MCE36" s="75"/>
      <c r="MCL36" s="52"/>
      <c r="MCM36" s="75"/>
      <c r="MCT36" s="52"/>
      <c r="MCU36" s="75"/>
      <c r="MDB36" s="52"/>
      <c r="MDC36" s="75"/>
      <c r="MDJ36" s="52"/>
      <c r="MDK36" s="75"/>
      <c r="MDR36" s="52"/>
      <c r="MDS36" s="75"/>
      <c r="MDZ36" s="52"/>
      <c r="MEA36" s="75"/>
      <c r="MEH36" s="52"/>
      <c r="MEI36" s="75"/>
      <c r="MEP36" s="52"/>
      <c r="MEQ36" s="75"/>
      <c r="MEX36" s="52"/>
      <c r="MEY36" s="75"/>
      <c r="MFF36" s="52"/>
      <c r="MFG36" s="75"/>
      <c r="MFN36" s="52"/>
      <c r="MFO36" s="75"/>
      <c r="MFV36" s="52"/>
      <c r="MFW36" s="75"/>
      <c r="MGD36" s="52"/>
      <c r="MGE36" s="75"/>
      <c r="MGL36" s="52"/>
      <c r="MGM36" s="75"/>
      <c r="MGT36" s="52"/>
      <c r="MGU36" s="75"/>
      <c r="MHB36" s="52"/>
      <c r="MHC36" s="75"/>
      <c r="MHJ36" s="52"/>
      <c r="MHK36" s="75"/>
      <c r="MHR36" s="52"/>
      <c r="MHS36" s="75"/>
      <c r="MHZ36" s="52"/>
      <c r="MIA36" s="75"/>
      <c r="MIH36" s="52"/>
      <c r="MII36" s="75"/>
      <c r="MIP36" s="52"/>
      <c r="MIQ36" s="75"/>
      <c r="MIX36" s="52"/>
      <c r="MIY36" s="75"/>
      <c r="MJF36" s="52"/>
      <c r="MJG36" s="75"/>
      <c r="MJN36" s="52"/>
      <c r="MJO36" s="75"/>
      <c r="MJV36" s="52"/>
      <c r="MJW36" s="75"/>
      <c r="MKD36" s="52"/>
      <c r="MKE36" s="75"/>
      <c r="MKL36" s="52"/>
      <c r="MKM36" s="75"/>
      <c r="MKT36" s="52"/>
      <c r="MKU36" s="75"/>
      <c r="MLB36" s="52"/>
      <c r="MLC36" s="75"/>
      <c r="MLJ36" s="52"/>
      <c r="MLK36" s="75"/>
      <c r="MLR36" s="52"/>
      <c r="MLS36" s="75"/>
      <c r="MLZ36" s="52"/>
      <c r="MMA36" s="75"/>
      <c r="MMH36" s="52"/>
      <c r="MMI36" s="75"/>
      <c r="MMP36" s="52"/>
      <c r="MMQ36" s="75"/>
      <c r="MMX36" s="52"/>
      <c r="MMY36" s="75"/>
      <c r="MNF36" s="52"/>
      <c r="MNG36" s="75"/>
      <c r="MNN36" s="52"/>
      <c r="MNO36" s="75"/>
      <c r="MNV36" s="52"/>
      <c r="MNW36" s="75"/>
      <c r="MOD36" s="52"/>
      <c r="MOE36" s="75"/>
      <c r="MOL36" s="52"/>
      <c r="MOM36" s="75"/>
      <c r="MOT36" s="52"/>
      <c r="MOU36" s="75"/>
      <c r="MPB36" s="52"/>
      <c r="MPC36" s="75"/>
      <c r="MPJ36" s="52"/>
      <c r="MPK36" s="75"/>
      <c r="MPR36" s="52"/>
      <c r="MPS36" s="75"/>
      <c r="MPZ36" s="52"/>
      <c r="MQA36" s="75"/>
      <c r="MQH36" s="52"/>
      <c r="MQI36" s="75"/>
      <c r="MQP36" s="52"/>
      <c r="MQQ36" s="75"/>
      <c r="MQX36" s="52"/>
      <c r="MQY36" s="75"/>
      <c r="MRF36" s="52"/>
      <c r="MRG36" s="75"/>
      <c r="MRN36" s="52"/>
      <c r="MRO36" s="75"/>
      <c r="MRV36" s="52"/>
      <c r="MRW36" s="75"/>
      <c r="MSD36" s="52"/>
      <c r="MSE36" s="75"/>
      <c r="MSL36" s="52"/>
      <c r="MSM36" s="75"/>
      <c r="MST36" s="52"/>
      <c r="MSU36" s="75"/>
      <c r="MTB36" s="52"/>
      <c r="MTC36" s="75"/>
      <c r="MTJ36" s="52"/>
      <c r="MTK36" s="75"/>
      <c r="MTR36" s="52"/>
      <c r="MTS36" s="75"/>
      <c r="MTZ36" s="52"/>
      <c r="MUA36" s="75"/>
      <c r="MUH36" s="52"/>
      <c r="MUI36" s="75"/>
      <c r="MUP36" s="52"/>
      <c r="MUQ36" s="75"/>
      <c r="MUX36" s="52"/>
      <c r="MUY36" s="75"/>
      <c r="MVF36" s="52"/>
      <c r="MVG36" s="75"/>
      <c r="MVN36" s="52"/>
      <c r="MVO36" s="75"/>
      <c r="MVV36" s="52"/>
      <c r="MVW36" s="75"/>
      <c r="MWD36" s="52"/>
      <c r="MWE36" s="75"/>
      <c r="MWL36" s="52"/>
      <c r="MWM36" s="75"/>
      <c r="MWT36" s="52"/>
      <c r="MWU36" s="75"/>
      <c r="MXB36" s="52"/>
      <c r="MXC36" s="75"/>
      <c r="MXJ36" s="52"/>
      <c r="MXK36" s="75"/>
      <c r="MXR36" s="52"/>
      <c r="MXS36" s="75"/>
      <c r="MXZ36" s="52"/>
      <c r="MYA36" s="75"/>
      <c r="MYH36" s="52"/>
      <c r="MYI36" s="75"/>
      <c r="MYP36" s="52"/>
      <c r="MYQ36" s="75"/>
      <c r="MYX36" s="52"/>
      <c r="MYY36" s="75"/>
      <c r="MZF36" s="52"/>
      <c r="MZG36" s="75"/>
      <c r="MZN36" s="52"/>
      <c r="MZO36" s="75"/>
      <c r="MZV36" s="52"/>
      <c r="MZW36" s="75"/>
      <c r="NAD36" s="52"/>
      <c r="NAE36" s="75"/>
      <c r="NAL36" s="52"/>
      <c r="NAM36" s="75"/>
      <c r="NAT36" s="52"/>
      <c r="NAU36" s="75"/>
      <c r="NBB36" s="52"/>
      <c r="NBC36" s="75"/>
      <c r="NBJ36" s="52"/>
      <c r="NBK36" s="75"/>
      <c r="NBR36" s="52"/>
      <c r="NBS36" s="75"/>
      <c r="NBZ36" s="52"/>
      <c r="NCA36" s="75"/>
      <c r="NCH36" s="52"/>
      <c r="NCI36" s="75"/>
      <c r="NCP36" s="52"/>
      <c r="NCQ36" s="75"/>
      <c r="NCX36" s="52"/>
      <c r="NCY36" s="75"/>
      <c r="NDF36" s="52"/>
      <c r="NDG36" s="75"/>
      <c r="NDN36" s="52"/>
      <c r="NDO36" s="75"/>
      <c r="NDV36" s="52"/>
      <c r="NDW36" s="75"/>
      <c r="NED36" s="52"/>
      <c r="NEE36" s="75"/>
      <c r="NEL36" s="52"/>
      <c r="NEM36" s="75"/>
      <c r="NET36" s="52"/>
      <c r="NEU36" s="75"/>
      <c r="NFB36" s="52"/>
      <c r="NFC36" s="75"/>
      <c r="NFJ36" s="52"/>
      <c r="NFK36" s="75"/>
      <c r="NFR36" s="52"/>
      <c r="NFS36" s="75"/>
      <c r="NFZ36" s="52"/>
      <c r="NGA36" s="75"/>
      <c r="NGH36" s="52"/>
      <c r="NGI36" s="75"/>
      <c r="NGP36" s="52"/>
      <c r="NGQ36" s="75"/>
      <c r="NGX36" s="52"/>
      <c r="NGY36" s="75"/>
      <c r="NHF36" s="52"/>
      <c r="NHG36" s="75"/>
      <c r="NHN36" s="52"/>
      <c r="NHO36" s="75"/>
      <c r="NHV36" s="52"/>
      <c r="NHW36" s="75"/>
      <c r="NID36" s="52"/>
      <c r="NIE36" s="75"/>
      <c r="NIL36" s="52"/>
      <c r="NIM36" s="75"/>
      <c r="NIT36" s="52"/>
      <c r="NIU36" s="75"/>
      <c r="NJB36" s="52"/>
      <c r="NJC36" s="75"/>
      <c r="NJJ36" s="52"/>
      <c r="NJK36" s="75"/>
      <c r="NJR36" s="52"/>
      <c r="NJS36" s="75"/>
      <c r="NJZ36" s="52"/>
      <c r="NKA36" s="75"/>
      <c r="NKH36" s="52"/>
      <c r="NKI36" s="75"/>
      <c r="NKP36" s="52"/>
      <c r="NKQ36" s="75"/>
      <c r="NKX36" s="52"/>
      <c r="NKY36" s="75"/>
      <c r="NLF36" s="52"/>
      <c r="NLG36" s="75"/>
      <c r="NLN36" s="52"/>
      <c r="NLO36" s="75"/>
      <c r="NLV36" s="52"/>
      <c r="NLW36" s="75"/>
      <c r="NMD36" s="52"/>
      <c r="NME36" s="75"/>
      <c r="NML36" s="52"/>
      <c r="NMM36" s="75"/>
      <c r="NMT36" s="52"/>
      <c r="NMU36" s="75"/>
      <c r="NNB36" s="52"/>
      <c r="NNC36" s="75"/>
      <c r="NNJ36" s="52"/>
      <c r="NNK36" s="75"/>
      <c r="NNR36" s="52"/>
      <c r="NNS36" s="75"/>
      <c r="NNZ36" s="52"/>
      <c r="NOA36" s="75"/>
      <c r="NOH36" s="52"/>
      <c r="NOI36" s="75"/>
      <c r="NOP36" s="52"/>
      <c r="NOQ36" s="75"/>
      <c r="NOX36" s="52"/>
      <c r="NOY36" s="75"/>
      <c r="NPF36" s="52"/>
      <c r="NPG36" s="75"/>
      <c r="NPN36" s="52"/>
      <c r="NPO36" s="75"/>
      <c r="NPV36" s="52"/>
      <c r="NPW36" s="75"/>
      <c r="NQD36" s="52"/>
      <c r="NQE36" s="75"/>
      <c r="NQL36" s="52"/>
      <c r="NQM36" s="75"/>
      <c r="NQT36" s="52"/>
      <c r="NQU36" s="75"/>
      <c r="NRB36" s="52"/>
      <c r="NRC36" s="75"/>
      <c r="NRJ36" s="52"/>
      <c r="NRK36" s="75"/>
      <c r="NRR36" s="52"/>
      <c r="NRS36" s="75"/>
      <c r="NRZ36" s="52"/>
      <c r="NSA36" s="75"/>
      <c r="NSH36" s="52"/>
      <c r="NSI36" s="75"/>
      <c r="NSP36" s="52"/>
      <c r="NSQ36" s="75"/>
      <c r="NSX36" s="52"/>
      <c r="NSY36" s="75"/>
      <c r="NTF36" s="52"/>
      <c r="NTG36" s="75"/>
      <c r="NTN36" s="52"/>
      <c r="NTO36" s="75"/>
      <c r="NTV36" s="52"/>
      <c r="NTW36" s="75"/>
      <c r="NUD36" s="52"/>
      <c r="NUE36" s="75"/>
      <c r="NUL36" s="52"/>
      <c r="NUM36" s="75"/>
      <c r="NUT36" s="52"/>
      <c r="NUU36" s="75"/>
      <c r="NVB36" s="52"/>
      <c r="NVC36" s="75"/>
      <c r="NVJ36" s="52"/>
      <c r="NVK36" s="75"/>
      <c r="NVR36" s="52"/>
      <c r="NVS36" s="75"/>
      <c r="NVZ36" s="52"/>
      <c r="NWA36" s="75"/>
      <c r="NWH36" s="52"/>
      <c r="NWI36" s="75"/>
      <c r="NWP36" s="52"/>
      <c r="NWQ36" s="75"/>
      <c r="NWX36" s="52"/>
      <c r="NWY36" s="75"/>
      <c r="NXF36" s="52"/>
      <c r="NXG36" s="75"/>
      <c r="NXN36" s="52"/>
      <c r="NXO36" s="75"/>
      <c r="NXV36" s="52"/>
      <c r="NXW36" s="75"/>
      <c r="NYD36" s="52"/>
      <c r="NYE36" s="75"/>
      <c r="NYL36" s="52"/>
      <c r="NYM36" s="75"/>
      <c r="NYT36" s="52"/>
      <c r="NYU36" s="75"/>
      <c r="NZB36" s="52"/>
      <c r="NZC36" s="75"/>
      <c r="NZJ36" s="52"/>
      <c r="NZK36" s="75"/>
      <c r="NZR36" s="52"/>
      <c r="NZS36" s="75"/>
      <c r="NZZ36" s="52"/>
      <c r="OAA36" s="75"/>
      <c r="OAH36" s="52"/>
      <c r="OAI36" s="75"/>
      <c r="OAP36" s="52"/>
      <c r="OAQ36" s="75"/>
      <c r="OAX36" s="52"/>
      <c r="OAY36" s="75"/>
      <c r="OBF36" s="52"/>
      <c r="OBG36" s="75"/>
      <c r="OBN36" s="52"/>
      <c r="OBO36" s="75"/>
      <c r="OBV36" s="52"/>
      <c r="OBW36" s="75"/>
      <c r="OCD36" s="52"/>
      <c r="OCE36" s="75"/>
      <c r="OCL36" s="52"/>
      <c r="OCM36" s="75"/>
      <c r="OCT36" s="52"/>
      <c r="OCU36" s="75"/>
      <c r="ODB36" s="52"/>
      <c r="ODC36" s="75"/>
      <c r="ODJ36" s="52"/>
      <c r="ODK36" s="75"/>
      <c r="ODR36" s="52"/>
      <c r="ODS36" s="75"/>
      <c r="ODZ36" s="52"/>
      <c r="OEA36" s="75"/>
      <c r="OEH36" s="52"/>
      <c r="OEI36" s="75"/>
      <c r="OEP36" s="52"/>
      <c r="OEQ36" s="75"/>
      <c r="OEX36" s="52"/>
      <c r="OEY36" s="75"/>
      <c r="OFF36" s="52"/>
      <c r="OFG36" s="75"/>
      <c r="OFN36" s="52"/>
      <c r="OFO36" s="75"/>
      <c r="OFV36" s="52"/>
      <c r="OFW36" s="75"/>
      <c r="OGD36" s="52"/>
      <c r="OGE36" s="75"/>
      <c r="OGL36" s="52"/>
      <c r="OGM36" s="75"/>
      <c r="OGT36" s="52"/>
      <c r="OGU36" s="75"/>
      <c r="OHB36" s="52"/>
      <c r="OHC36" s="75"/>
      <c r="OHJ36" s="52"/>
      <c r="OHK36" s="75"/>
      <c r="OHR36" s="52"/>
      <c r="OHS36" s="75"/>
      <c r="OHZ36" s="52"/>
      <c r="OIA36" s="75"/>
      <c r="OIH36" s="52"/>
      <c r="OII36" s="75"/>
      <c r="OIP36" s="52"/>
      <c r="OIQ36" s="75"/>
      <c r="OIX36" s="52"/>
      <c r="OIY36" s="75"/>
      <c r="OJF36" s="52"/>
      <c r="OJG36" s="75"/>
      <c r="OJN36" s="52"/>
      <c r="OJO36" s="75"/>
      <c r="OJV36" s="52"/>
      <c r="OJW36" s="75"/>
      <c r="OKD36" s="52"/>
      <c r="OKE36" s="75"/>
      <c r="OKL36" s="52"/>
      <c r="OKM36" s="75"/>
      <c r="OKT36" s="52"/>
      <c r="OKU36" s="75"/>
      <c r="OLB36" s="52"/>
      <c r="OLC36" s="75"/>
      <c r="OLJ36" s="52"/>
      <c r="OLK36" s="75"/>
      <c r="OLR36" s="52"/>
      <c r="OLS36" s="75"/>
      <c r="OLZ36" s="52"/>
      <c r="OMA36" s="75"/>
      <c r="OMH36" s="52"/>
      <c r="OMI36" s="75"/>
      <c r="OMP36" s="52"/>
      <c r="OMQ36" s="75"/>
      <c r="OMX36" s="52"/>
      <c r="OMY36" s="75"/>
      <c r="ONF36" s="52"/>
      <c r="ONG36" s="75"/>
      <c r="ONN36" s="52"/>
      <c r="ONO36" s="75"/>
      <c r="ONV36" s="52"/>
      <c r="ONW36" s="75"/>
      <c r="OOD36" s="52"/>
      <c r="OOE36" s="75"/>
      <c r="OOL36" s="52"/>
      <c r="OOM36" s="75"/>
      <c r="OOT36" s="52"/>
      <c r="OOU36" s="75"/>
      <c r="OPB36" s="52"/>
      <c r="OPC36" s="75"/>
      <c r="OPJ36" s="52"/>
      <c r="OPK36" s="75"/>
      <c r="OPR36" s="52"/>
      <c r="OPS36" s="75"/>
      <c r="OPZ36" s="52"/>
      <c r="OQA36" s="75"/>
      <c r="OQH36" s="52"/>
      <c r="OQI36" s="75"/>
      <c r="OQP36" s="52"/>
      <c r="OQQ36" s="75"/>
      <c r="OQX36" s="52"/>
      <c r="OQY36" s="75"/>
      <c r="ORF36" s="52"/>
      <c r="ORG36" s="75"/>
      <c r="ORN36" s="52"/>
      <c r="ORO36" s="75"/>
      <c r="ORV36" s="52"/>
      <c r="ORW36" s="75"/>
      <c r="OSD36" s="52"/>
      <c r="OSE36" s="75"/>
      <c r="OSL36" s="52"/>
      <c r="OSM36" s="75"/>
      <c r="OST36" s="52"/>
      <c r="OSU36" s="75"/>
      <c r="OTB36" s="52"/>
      <c r="OTC36" s="75"/>
      <c r="OTJ36" s="52"/>
      <c r="OTK36" s="75"/>
      <c r="OTR36" s="52"/>
      <c r="OTS36" s="75"/>
      <c r="OTZ36" s="52"/>
      <c r="OUA36" s="75"/>
      <c r="OUH36" s="52"/>
      <c r="OUI36" s="75"/>
      <c r="OUP36" s="52"/>
      <c r="OUQ36" s="75"/>
      <c r="OUX36" s="52"/>
      <c r="OUY36" s="75"/>
      <c r="OVF36" s="52"/>
      <c r="OVG36" s="75"/>
      <c r="OVN36" s="52"/>
      <c r="OVO36" s="75"/>
      <c r="OVV36" s="52"/>
      <c r="OVW36" s="75"/>
      <c r="OWD36" s="52"/>
      <c r="OWE36" s="75"/>
      <c r="OWL36" s="52"/>
      <c r="OWM36" s="75"/>
      <c r="OWT36" s="52"/>
      <c r="OWU36" s="75"/>
      <c r="OXB36" s="52"/>
      <c r="OXC36" s="75"/>
      <c r="OXJ36" s="52"/>
      <c r="OXK36" s="75"/>
      <c r="OXR36" s="52"/>
      <c r="OXS36" s="75"/>
      <c r="OXZ36" s="52"/>
      <c r="OYA36" s="75"/>
      <c r="OYH36" s="52"/>
      <c r="OYI36" s="75"/>
      <c r="OYP36" s="52"/>
      <c r="OYQ36" s="75"/>
      <c r="OYX36" s="52"/>
      <c r="OYY36" s="75"/>
      <c r="OZF36" s="52"/>
      <c r="OZG36" s="75"/>
      <c r="OZN36" s="52"/>
      <c r="OZO36" s="75"/>
      <c r="OZV36" s="52"/>
      <c r="OZW36" s="75"/>
      <c r="PAD36" s="52"/>
      <c r="PAE36" s="75"/>
      <c r="PAL36" s="52"/>
      <c r="PAM36" s="75"/>
      <c r="PAT36" s="52"/>
      <c r="PAU36" s="75"/>
      <c r="PBB36" s="52"/>
      <c r="PBC36" s="75"/>
      <c r="PBJ36" s="52"/>
      <c r="PBK36" s="75"/>
      <c r="PBR36" s="52"/>
      <c r="PBS36" s="75"/>
      <c r="PBZ36" s="52"/>
      <c r="PCA36" s="75"/>
      <c r="PCH36" s="52"/>
      <c r="PCI36" s="75"/>
      <c r="PCP36" s="52"/>
      <c r="PCQ36" s="75"/>
      <c r="PCX36" s="52"/>
      <c r="PCY36" s="75"/>
      <c r="PDF36" s="52"/>
      <c r="PDG36" s="75"/>
      <c r="PDN36" s="52"/>
      <c r="PDO36" s="75"/>
      <c r="PDV36" s="52"/>
      <c r="PDW36" s="75"/>
      <c r="PED36" s="52"/>
      <c r="PEE36" s="75"/>
      <c r="PEL36" s="52"/>
      <c r="PEM36" s="75"/>
      <c r="PET36" s="52"/>
      <c r="PEU36" s="75"/>
      <c r="PFB36" s="52"/>
      <c r="PFC36" s="75"/>
      <c r="PFJ36" s="52"/>
      <c r="PFK36" s="75"/>
      <c r="PFR36" s="52"/>
      <c r="PFS36" s="75"/>
      <c r="PFZ36" s="52"/>
      <c r="PGA36" s="75"/>
      <c r="PGH36" s="52"/>
      <c r="PGI36" s="75"/>
      <c r="PGP36" s="52"/>
      <c r="PGQ36" s="75"/>
      <c r="PGX36" s="52"/>
      <c r="PGY36" s="75"/>
      <c r="PHF36" s="52"/>
      <c r="PHG36" s="75"/>
      <c r="PHN36" s="52"/>
      <c r="PHO36" s="75"/>
      <c r="PHV36" s="52"/>
      <c r="PHW36" s="75"/>
      <c r="PID36" s="52"/>
      <c r="PIE36" s="75"/>
      <c r="PIL36" s="52"/>
      <c r="PIM36" s="75"/>
      <c r="PIT36" s="52"/>
      <c r="PIU36" s="75"/>
      <c r="PJB36" s="52"/>
      <c r="PJC36" s="75"/>
      <c r="PJJ36" s="52"/>
      <c r="PJK36" s="75"/>
      <c r="PJR36" s="52"/>
      <c r="PJS36" s="75"/>
      <c r="PJZ36" s="52"/>
      <c r="PKA36" s="75"/>
      <c r="PKH36" s="52"/>
      <c r="PKI36" s="75"/>
      <c r="PKP36" s="52"/>
      <c r="PKQ36" s="75"/>
      <c r="PKX36" s="52"/>
      <c r="PKY36" s="75"/>
      <c r="PLF36" s="52"/>
      <c r="PLG36" s="75"/>
      <c r="PLN36" s="52"/>
      <c r="PLO36" s="75"/>
      <c r="PLV36" s="52"/>
      <c r="PLW36" s="75"/>
      <c r="PMD36" s="52"/>
      <c r="PME36" s="75"/>
      <c r="PML36" s="52"/>
      <c r="PMM36" s="75"/>
      <c r="PMT36" s="52"/>
      <c r="PMU36" s="75"/>
      <c r="PNB36" s="52"/>
      <c r="PNC36" s="75"/>
      <c r="PNJ36" s="52"/>
      <c r="PNK36" s="75"/>
      <c r="PNR36" s="52"/>
      <c r="PNS36" s="75"/>
      <c r="PNZ36" s="52"/>
      <c r="POA36" s="75"/>
      <c r="POH36" s="52"/>
      <c r="POI36" s="75"/>
      <c r="POP36" s="52"/>
      <c r="POQ36" s="75"/>
      <c r="POX36" s="52"/>
      <c r="POY36" s="75"/>
      <c r="PPF36" s="52"/>
      <c r="PPG36" s="75"/>
      <c r="PPN36" s="52"/>
      <c r="PPO36" s="75"/>
      <c r="PPV36" s="52"/>
      <c r="PPW36" s="75"/>
      <c r="PQD36" s="52"/>
      <c r="PQE36" s="75"/>
      <c r="PQL36" s="52"/>
      <c r="PQM36" s="75"/>
      <c r="PQT36" s="52"/>
      <c r="PQU36" s="75"/>
      <c r="PRB36" s="52"/>
      <c r="PRC36" s="75"/>
      <c r="PRJ36" s="52"/>
      <c r="PRK36" s="75"/>
      <c r="PRR36" s="52"/>
      <c r="PRS36" s="75"/>
      <c r="PRZ36" s="52"/>
      <c r="PSA36" s="75"/>
      <c r="PSH36" s="52"/>
      <c r="PSI36" s="75"/>
      <c r="PSP36" s="52"/>
      <c r="PSQ36" s="75"/>
      <c r="PSX36" s="52"/>
      <c r="PSY36" s="75"/>
      <c r="PTF36" s="52"/>
      <c r="PTG36" s="75"/>
      <c r="PTN36" s="52"/>
      <c r="PTO36" s="75"/>
      <c r="PTV36" s="52"/>
      <c r="PTW36" s="75"/>
      <c r="PUD36" s="52"/>
      <c r="PUE36" s="75"/>
      <c r="PUL36" s="52"/>
      <c r="PUM36" s="75"/>
      <c r="PUT36" s="52"/>
      <c r="PUU36" s="75"/>
      <c r="PVB36" s="52"/>
      <c r="PVC36" s="75"/>
      <c r="PVJ36" s="52"/>
      <c r="PVK36" s="75"/>
      <c r="PVR36" s="52"/>
      <c r="PVS36" s="75"/>
      <c r="PVZ36" s="52"/>
      <c r="PWA36" s="75"/>
      <c r="PWH36" s="52"/>
      <c r="PWI36" s="75"/>
      <c r="PWP36" s="52"/>
      <c r="PWQ36" s="75"/>
      <c r="PWX36" s="52"/>
      <c r="PWY36" s="75"/>
      <c r="PXF36" s="52"/>
      <c r="PXG36" s="75"/>
      <c r="PXN36" s="52"/>
      <c r="PXO36" s="75"/>
      <c r="PXV36" s="52"/>
      <c r="PXW36" s="75"/>
      <c r="PYD36" s="52"/>
      <c r="PYE36" s="75"/>
      <c r="PYL36" s="52"/>
      <c r="PYM36" s="75"/>
      <c r="PYT36" s="52"/>
      <c r="PYU36" s="75"/>
      <c r="PZB36" s="52"/>
      <c r="PZC36" s="75"/>
      <c r="PZJ36" s="52"/>
      <c r="PZK36" s="75"/>
      <c r="PZR36" s="52"/>
      <c r="PZS36" s="75"/>
      <c r="PZZ36" s="52"/>
      <c r="QAA36" s="75"/>
      <c r="QAH36" s="52"/>
      <c r="QAI36" s="75"/>
      <c r="QAP36" s="52"/>
      <c r="QAQ36" s="75"/>
      <c r="QAX36" s="52"/>
      <c r="QAY36" s="75"/>
      <c r="QBF36" s="52"/>
      <c r="QBG36" s="75"/>
      <c r="QBN36" s="52"/>
      <c r="QBO36" s="75"/>
      <c r="QBV36" s="52"/>
      <c r="QBW36" s="75"/>
      <c r="QCD36" s="52"/>
      <c r="QCE36" s="75"/>
      <c r="QCL36" s="52"/>
      <c r="QCM36" s="75"/>
      <c r="QCT36" s="52"/>
      <c r="QCU36" s="75"/>
      <c r="QDB36" s="52"/>
      <c r="QDC36" s="75"/>
      <c r="QDJ36" s="52"/>
      <c r="QDK36" s="75"/>
      <c r="QDR36" s="52"/>
      <c r="QDS36" s="75"/>
      <c r="QDZ36" s="52"/>
      <c r="QEA36" s="75"/>
      <c r="QEH36" s="52"/>
      <c r="QEI36" s="75"/>
      <c r="QEP36" s="52"/>
      <c r="QEQ36" s="75"/>
      <c r="QEX36" s="52"/>
      <c r="QEY36" s="75"/>
      <c r="QFF36" s="52"/>
      <c r="QFG36" s="75"/>
      <c r="QFN36" s="52"/>
      <c r="QFO36" s="75"/>
      <c r="QFV36" s="52"/>
      <c r="QFW36" s="75"/>
      <c r="QGD36" s="52"/>
      <c r="QGE36" s="75"/>
      <c r="QGL36" s="52"/>
      <c r="QGM36" s="75"/>
      <c r="QGT36" s="52"/>
      <c r="QGU36" s="75"/>
      <c r="QHB36" s="52"/>
      <c r="QHC36" s="75"/>
      <c r="QHJ36" s="52"/>
      <c r="QHK36" s="75"/>
      <c r="QHR36" s="52"/>
      <c r="QHS36" s="75"/>
      <c r="QHZ36" s="52"/>
      <c r="QIA36" s="75"/>
      <c r="QIH36" s="52"/>
      <c r="QII36" s="75"/>
      <c r="QIP36" s="52"/>
      <c r="QIQ36" s="75"/>
      <c r="QIX36" s="52"/>
      <c r="QIY36" s="75"/>
      <c r="QJF36" s="52"/>
      <c r="QJG36" s="75"/>
      <c r="QJN36" s="52"/>
      <c r="QJO36" s="75"/>
      <c r="QJV36" s="52"/>
      <c r="QJW36" s="75"/>
      <c r="QKD36" s="52"/>
      <c r="QKE36" s="75"/>
      <c r="QKL36" s="52"/>
      <c r="QKM36" s="75"/>
      <c r="QKT36" s="52"/>
      <c r="QKU36" s="75"/>
      <c r="QLB36" s="52"/>
      <c r="QLC36" s="75"/>
      <c r="QLJ36" s="52"/>
      <c r="QLK36" s="75"/>
      <c r="QLR36" s="52"/>
      <c r="QLS36" s="75"/>
      <c r="QLZ36" s="52"/>
      <c r="QMA36" s="75"/>
      <c r="QMH36" s="52"/>
      <c r="QMI36" s="75"/>
      <c r="QMP36" s="52"/>
      <c r="QMQ36" s="75"/>
      <c r="QMX36" s="52"/>
      <c r="QMY36" s="75"/>
      <c r="QNF36" s="52"/>
      <c r="QNG36" s="75"/>
      <c r="QNN36" s="52"/>
      <c r="QNO36" s="75"/>
      <c r="QNV36" s="52"/>
      <c r="QNW36" s="75"/>
      <c r="QOD36" s="52"/>
      <c r="QOE36" s="75"/>
      <c r="QOL36" s="52"/>
      <c r="QOM36" s="75"/>
      <c r="QOT36" s="52"/>
      <c r="QOU36" s="75"/>
      <c r="QPB36" s="52"/>
      <c r="QPC36" s="75"/>
      <c r="QPJ36" s="52"/>
      <c r="QPK36" s="75"/>
      <c r="QPR36" s="52"/>
      <c r="QPS36" s="75"/>
      <c r="QPZ36" s="52"/>
      <c r="QQA36" s="75"/>
      <c r="QQH36" s="52"/>
      <c r="QQI36" s="75"/>
      <c r="QQP36" s="52"/>
      <c r="QQQ36" s="75"/>
      <c r="QQX36" s="52"/>
      <c r="QQY36" s="75"/>
      <c r="QRF36" s="52"/>
      <c r="QRG36" s="75"/>
      <c r="QRN36" s="52"/>
      <c r="QRO36" s="75"/>
      <c r="QRV36" s="52"/>
      <c r="QRW36" s="75"/>
      <c r="QSD36" s="52"/>
      <c r="QSE36" s="75"/>
      <c r="QSL36" s="52"/>
      <c r="QSM36" s="75"/>
      <c r="QST36" s="52"/>
      <c r="QSU36" s="75"/>
      <c r="QTB36" s="52"/>
      <c r="QTC36" s="75"/>
      <c r="QTJ36" s="52"/>
      <c r="QTK36" s="75"/>
      <c r="QTR36" s="52"/>
      <c r="QTS36" s="75"/>
      <c r="QTZ36" s="52"/>
      <c r="QUA36" s="75"/>
      <c r="QUH36" s="52"/>
      <c r="QUI36" s="75"/>
      <c r="QUP36" s="52"/>
      <c r="QUQ36" s="75"/>
      <c r="QUX36" s="52"/>
      <c r="QUY36" s="75"/>
      <c r="QVF36" s="52"/>
      <c r="QVG36" s="75"/>
      <c r="QVN36" s="52"/>
      <c r="QVO36" s="75"/>
      <c r="QVV36" s="52"/>
      <c r="QVW36" s="75"/>
      <c r="QWD36" s="52"/>
      <c r="QWE36" s="75"/>
      <c r="QWL36" s="52"/>
      <c r="QWM36" s="75"/>
      <c r="QWT36" s="52"/>
      <c r="QWU36" s="75"/>
      <c r="QXB36" s="52"/>
      <c r="QXC36" s="75"/>
      <c r="QXJ36" s="52"/>
      <c r="QXK36" s="75"/>
      <c r="QXR36" s="52"/>
      <c r="QXS36" s="75"/>
      <c r="QXZ36" s="52"/>
      <c r="QYA36" s="75"/>
      <c r="QYH36" s="52"/>
      <c r="QYI36" s="75"/>
      <c r="QYP36" s="52"/>
      <c r="QYQ36" s="75"/>
      <c r="QYX36" s="52"/>
      <c r="QYY36" s="75"/>
      <c r="QZF36" s="52"/>
      <c r="QZG36" s="75"/>
      <c r="QZN36" s="52"/>
      <c r="QZO36" s="75"/>
      <c r="QZV36" s="52"/>
      <c r="QZW36" s="75"/>
      <c r="RAD36" s="52"/>
      <c r="RAE36" s="75"/>
      <c r="RAL36" s="52"/>
      <c r="RAM36" s="75"/>
      <c r="RAT36" s="52"/>
      <c r="RAU36" s="75"/>
      <c r="RBB36" s="52"/>
      <c r="RBC36" s="75"/>
      <c r="RBJ36" s="52"/>
      <c r="RBK36" s="75"/>
      <c r="RBR36" s="52"/>
      <c r="RBS36" s="75"/>
      <c r="RBZ36" s="52"/>
      <c r="RCA36" s="75"/>
      <c r="RCH36" s="52"/>
      <c r="RCI36" s="75"/>
      <c r="RCP36" s="52"/>
      <c r="RCQ36" s="75"/>
      <c r="RCX36" s="52"/>
      <c r="RCY36" s="75"/>
      <c r="RDF36" s="52"/>
      <c r="RDG36" s="75"/>
      <c r="RDN36" s="52"/>
      <c r="RDO36" s="75"/>
      <c r="RDV36" s="52"/>
      <c r="RDW36" s="75"/>
      <c r="RED36" s="52"/>
      <c r="REE36" s="75"/>
      <c r="REL36" s="52"/>
      <c r="REM36" s="75"/>
      <c r="RET36" s="52"/>
      <c r="REU36" s="75"/>
      <c r="RFB36" s="52"/>
      <c r="RFC36" s="75"/>
      <c r="RFJ36" s="52"/>
      <c r="RFK36" s="75"/>
      <c r="RFR36" s="52"/>
      <c r="RFS36" s="75"/>
      <c r="RFZ36" s="52"/>
      <c r="RGA36" s="75"/>
      <c r="RGH36" s="52"/>
      <c r="RGI36" s="75"/>
      <c r="RGP36" s="52"/>
      <c r="RGQ36" s="75"/>
      <c r="RGX36" s="52"/>
      <c r="RGY36" s="75"/>
      <c r="RHF36" s="52"/>
      <c r="RHG36" s="75"/>
      <c r="RHN36" s="52"/>
      <c r="RHO36" s="75"/>
      <c r="RHV36" s="52"/>
      <c r="RHW36" s="75"/>
      <c r="RID36" s="52"/>
      <c r="RIE36" s="75"/>
      <c r="RIL36" s="52"/>
      <c r="RIM36" s="75"/>
      <c r="RIT36" s="52"/>
      <c r="RIU36" s="75"/>
      <c r="RJB36" s="52"/>
      <c r="RJC36" s="75"/>
      <c r="RJJ36" s="52"/>
      <c r="RJK36" s="75"/>
      <c r="RJR36" s="52"/>
      <c r="RJS36" s="75"/>
      <c r="RJZ36" s="52"/>
      <c r="RKA36" s="75"/>
      <c r="RKH36" s="52"/>
      <c r="RKI36" s="75"/>
      <c r="RKP36" s="52"/>
      <c r="RKQ36" s="75"/>
      <c r="RKX36" s="52"/>
      <c r="RKY36" s="75"/>
      <c r="RLF36" s="52"/>
      <c r="RLG36" s="75"/>
      <c r="RLN36" s="52"/>
      <c r="RLO36" s="75"/>
      <c r="RLV36" s="52"/>
      <c r="RLW36" s="75"/>
      <c r="RMD36" s="52"/>
      <c r="RME36" s="75"/>
      <c r="RML36" s="52"/>
      <c r="RMM36" s="75"/>
      <c r="RMT36" s="52"/>
      <c r="RMU36" s="75"/>
      <c r="RNB36" s="52"/>
      <c r="RNC36" s="75"/>
      <c r="RNJ36" s="52"/>
      <c r="RNK36" s="75"/>
      <c r="RNR36" s="52"/>
      <c r="RNS36" s="75"/>
      <c r="RNZ36" s="52"/>
      <c r="ROA36" s="75"/>
      <c r="ROH36" s="52"/>
      <c r="ROI36" s="75"/>
      <c r="ROP36" s="52"/>
      <c r="ROQ36" s="75"/>
      <c r="ROX36" s="52"/>
      <c r="ROY36" s="75"/>
      <c r="RPF36" s="52"/>
      <c r="RPG36" s="75"/>
      <c r="RPN36" s="52"/>
      <c r="RPO36" s="75"/>
      <c r="RPV36" s="52"/>
      <c r="RPW36" s="75"/>
      <c r="RQD36" s="52"/>
      <c r="RQE36" s="75"/>
      <c r="RQL36" s="52"/>
      <c r="RQM36" s="75"/>
      <c r="RQT36" s="52"/>
      <c r="RQU36" s="75"/>
      <c r="RRB36" s="52"/>
      <c r="RRC36" s="75"/>
      <c r="RRJ36" s="52"/>
      <c r="RRK36" s="75"/>
      <c r="RRR36" s="52"/>
      <c r="RRS36" s="75"/>
      <c r="RRZ36" s="52"/>
      <c r="RSA36" s="75"/>
      <c r="RSH36" s="52"/>
      <c r="RSI36" s="75"/>
      <c r="RSP36" s="52"/>
      <c r="RSQ36" s="75"/>
      <c r="RSX36" s="52"/>
      <c r="RSY36" s="75"/>
      <c r="RTF36" s="52"/>
      <c r="RTG36" s="75"/>
      <c r="RTN36" s="52"/>
      <c r="RTO36" s="75"/>
      <c r="RTV36" s="52"/>
      <c r="RTW36" s="75"/>
      <c r="RUD36" s="52"/>
      <c r="RUE36" s="75"/>
      <c r="RUL36" s="52"/>
      <c r="RUM36" s="75"/>
      <c r="RUT36" s="52"/>
      <c r="RUU36" s="75"/>
      <c r="RVB36" s="52"/>
      <c r="RVC36" s="75"/>
      <c r="RVJ36" s="52"/>
      <c r="RVK36" s="75"/>
      <c r="RVR36" s="52"/>
      <c r="RVS36" s="75"/>
      <c r="RVZ36" s="52"/>
      <c r="RWA36" s="75"/>
      <c r="RWH36" s="52"/>
      <c r="RWI36" s="75"/>
      <c r="RWP36" s="52"/>
      <c r="RWQ36" s="75"/>
      <c r="RWX36" s="52"/>
      <c r="RWY36" s="75"/>
      <c r="RXF36" s="52"/>
      <c r="RXG36" s="75"/>
      <c r="RXN36" s="52"/>
      <c r="RXO36" s="75"/>
      <c r="RXV36" s="52"/>
      <c r="RXW36" s="75"/>
      <c r="RYD36" s="52"/>
      <c r="RYE36" s="75"/>
      <c r="RYL36" s="52"/>
      <c r="RYM36" s="75"/>
      <c r="RYT36" s="52"/>
      <c r="RYU36" s="75"/>
      <c r="RZB36" s="52"/>
      <c r="RZC36" s="75"/>
      <c r="RZJ36" s="52"/>
      <c r="RZK36" s="75"/>
      <c r="RZR36" s="52"/>
      <c r="RZS36" s="75"/>
      <c r="RZZ36" s="52"/>
      <c r="SAA36" s="75"/>
      <c r="SAH36" s="52"/>
      <c r="SAI36" s="75"/>
      <c r="SAP36" s="52"/>
      <c r="SAQ36" s="75"/>
      <c r="SAX36" s="52"/>
      <c r="SAY36" s="75"/>
      <c r="SBF36" s="52"/>
      <c r="SBG36" s="75"/>
      <c r="SBN36" s="52"/>
      <c r="SBO36" s="75"/>
      <c r="SBV36" s="52"/>
      <c r="SBW36" s="75"/>
      <c r="SCD36" s="52"/>
      <c r="SCE36" s="75"/>
      <c r="SCL36" s="52"/>
      <c r="SCM36" s="75"/>
      <c r="SCT36" s="52"/>
      <c r="SCU36" s="75"/>
      <c r="SDB36" s="52"/>
      <c r="SDC36" s="75"/>
      <c r="SDJ36" s="52"/>
      <c r="SDK36" s="75"/>
      <c r="SDR36" s="52"/>
      <c r="SDS36" s="75"/>
      <c r="SDZ36" s="52"/>
      <c r="SEA36" s="75"/>
      <c r="SEH36" s="52"/>
      <c r="SEI36" s="75"/>
      <c r="SEP36" s="52"/>
      <c r="SEQ36" s="75"/>
      <c r="SEX36" s="52"/>
      <c r="SEY36" s="75"/>
      <c r="SFF36" s="52"/>
      <c r="SFG36" s="75"/>
      <c r="SFN36" s="52"/>
      <c r="SFO36" s="75"/>
      <c r="SFV36" s="52"/>
      <c r="SFW36" s="75"/>
      <c r="SGD36" s="52"/>
      <c r="SGE36" s="75"/>
      <c r="SGL36" s="52"/>
      <c r="SGM36" s="75"/>
      <c r="SGT36" s="52"/>
      <c r="SGU36" s="75"/>
      <c r="SHB36" s="52"/>
      <c r="SHC36" s="75"/>
      <c r="SHJ36" s="52"/>
      <c r="SHK36" s="75"/>
      <c r="SHR36" s="52"/>
      <c r="SHS36" s="75"/>
      <c r="SHZ36" s="52"/>
      <c r="SIA36" s="75"/>
      <c r="SIH36" s="52"/>
      <c r="SII36" s="75"/>
      <c r="SIP36" s="52"/>
      <c r="SIQ36" s="75"/>
      <c r="SIX36" s="52"/>
      <c r="SIY36" s="75"/>
      <c r="SJF36" s="52"/>
      <c r="SJG36" s="75"/>
      <c r="SJN36" s="52"/>
      <c r="SJO36" s="75"/>
      <c r="SJV36" s="52"/>
      <c r="SJW36" s="75"/>
      <c r="SKD36" s="52"/>
      <c r="SKE36" s="75"/>
      <c r="SKL36" s="52"/>
      <c r="SKM36" s="75"/>
      <c r="SKT36" s="52"/>
      <c r="SKU36" s="75"/>
      <c r="SLB36" s="52"/>
      <c r="SLC36" s="75"/>
      <c r="SLJ36" s="52"/>
      <c r="SLK36" s="75"/>
      <c r="SLR36" s="52"/>
      <c r="SLS36" s="75"/>
      <c r="SLZ36" s="52"/>
      <c r="SMA36" s="75"/>
      <c r="SMH36" s="52"/>
      <c r="SMI36" s="75"/>
      <c r="SMP36" s="52"/>
      <c r="SMQ36" s="75"/>
      <c r="SMX36" s="52"/>
      <c r="SMY36" s="75"/>
      <c r="SNF36" s="52"/>
      <c r="SNG36" s="75"/>
      <c r="SNN36" s="52"/>
      <c r="SNO36" s="75"/>
      <c r="SNV36" s="52"/>
      <c r="SNW36" s="75"/>
      <c r="SOD36" s="52"/>
      <c r="SOE36" s="75"/>
      <c r="SOL36" s="52"/>
      <c r="SOM36" s="75"/>
      <c r="SOT36" s="52"/>
      <c r="SOU36" s="75"/>
      <c r="SPB36" s="52"/>
      <c r="SPC36" s="75"/>
      <c r="SPJ36" s="52"/>
      <c r="SPK36" s="75"/>
      <c r="SPR36" s="52"/>
      <c r="SPS36" s="75"/>
      <c r="SPZ36" s="52"/>
      <c r="SQA36" s="75"/>
      <c r="SQH36" s="52"/>
      <c r="SQI36" s="75"/>
      <c r="SQP36" s="52"/>
      <c r="SQQ36" s="75"/>
      <c r="SQX36" s="52"/>
      <c r="SQY36" s="75"/>
      <c r="SRF36" s="52"/>
      <c r="SRG36" s="75"/>
      <c r="SRN36" s="52"/>
      <c r="SRO36" s="75"/>
      <c r="SRV36" s="52"/>
      <c r="SRW36" s="75"/>
      <c r="SSD36" s="52"/>
      <c r="SSE36" s="75"/>
      <c r="SSL36" s="52"/>
      <c r="SSM36" s="75"/>
      <c r="SST36" s="52"/>
      <c r="SSU36" s="75"/>
      <c r="STB36" s="52"/>
      <c r="STC36" s="75"/>
      <c r="STJ36" s="52"/>
      <c r="STK36" s="75"/>
      <c r="STR36" s="52"/>
      <c r="STS36" s="75"/>
      <c r="STZ36" s="52"/>
      <c r="SUA36" s="75"/>
      <c r="SUH36" s="52"/>
      <c r="SUI36" s="75"/>
      <c r="SUP36" s="52"/>
      <c r="SUQ36" s="75"/>
      <c r="SUX36" s="52"/>
      <c r="SUY36" s="75"/>
      <c r="SVF36" s="52"/>
      <c r="SVG36" s="75"/>
      <c r="SVN36" s="52"/>
      <c r="SVO36" s="75"/>
      <c r="SVV36" s="52"/>
      <c r="SVW36" s="75"/>
      <c r="SWD36" s="52"/>
      <c r="SWE36" s="75"/>
      <c r="SWL36" s="52"/>
      <c r="SWM36" s="75"/>
      <c r="SWT36" s="52"/>
      <c r="SWU36" s="75"/>
      <c r="SXB36" s="52"/>
      <c r="SXC36" s="75"/>
      <c r="SXJ36" s="52"/>
      <c r="SXK36" s="75"/>
      <c r="SXR36" s="52"/>
      <c r="SXS36" s="75"/>
      <c r="SXZ36" s="52"/>
      <c r="SYA36" s="75"/>
      <c r="SYH36" s="52"/>
      <c r="SYI36" s="75"/>
      <c r="SYP36" s="52"/>
      <c r="SYQ36" s="75"/>
      <c r="SYX36" s="52"/>
      <c r="SYY36" s="75"/>
      <c r="SZF36" s="52"/>
      <c r="SZG36" s="75"/>
      <c r="SZN36" s="52"/>
      <c r="SZO36" s="75"/>
      <c r="SZV36" s="52"/>
      <c r="SZW36" s="75"/>
      <c r="TAD36" s="52"/>
      <c r="TAE36" s="75"/>
      <c r="TAL36" s="52"/>
      <c r="TAM36" s="75"/>
      <c r="TAT36" s="52"/>
      <c r="TAU36" s="75"/>
      <c r="TBB36" s="52"/>
      <c r="TBC36" s="75"/>
      <c r="TBJ36" s="52"/>
      <c r="TBK36" s="75"/>
      <c r="TBR36" s="52"/>
      <c r="TBS36" s="75"/>
      <c r="TBZ36" s="52"/>
      <c r="TCA36" s="75"/>
      <c r="TCH36" s="52"/>
      <c r="TCI36" s="75"/>
      <c r="TCP36" s="52"/>
      <c r="TCQ36" s="75"/>
      <c r="TCX36" s="52"/>
      <c r="TCY36" s="75"/>
      <c r="TDF36" s="52"/>
      <c r="TDG36" s="75"/>
      <c r="TDN36" s="52"/>
      <c r="TDO36" s="75"/>
      <c r="TDV36" s="52"/>
      <c r="TDW36" s="75"/>
      <c r="TED36" s="52"/>
      <c r="TEE36" s="75"/>
      <c r="TEL36" s="52"/>
      <c r="TEM36" s="75"/>
      <c r="TET36" s="52"/>
      <c r="TEU36" s="75"/>
      <c r="TFB36" s="52"/>
      <c r="TFC36" s="75"/>
      <c r="TFJ36" s="52"/>
      <c r="TFK36" s="75"/>
      <c r="TFR36" s="52"/>
      <c r="TFS36" s="75"/>
      <c r="TFZ36" s="52"/>
      <c r="TGA36" s="75"/>
      <c r="TGH36" s="52"/>
      <c r="TGI36" s="75"/>
      <c r="TGP36" s="52"/>
      <c r="TGQ36" s="75"/>
      <c r="TGX36" s="52"/>
      <c r="TGY36" s="75"/>
      <c r="THF36" s="52"/>
      <c r="THG36" s="75"/>
      <c r="THN36" s="52"/>
      <c r="THO36" s="75"/>
      <c r="THV36" s="52"/>
      <c r="THW36" s="75"/>
      <c r="TID36" s="52"/>
      <c r="TIE36" s="75"/>
      <c r="TIL36" s="52"/>
      <c r="TIM36" s="75"/>
      <c r="TIT36" s="52"/>
      <c r="TIU36" s="75"/>
      <c r="TJB36" s="52"/>
      <c r="TJC36" s="75"/>
      <c r="TJJ36" s="52"/>
      <c r="TJK36" s="75"/>
      <c r="TJR36" s="52"/>
      <c r="TJS36" s="75"/>
      <c r="TJZ36" s="52"/>
      <c r="TKA36" s="75"/>
      <c r="TKH36" s="52"/>
      <c r="TKI36" s="75"/>
      <c r="TKP36" s="52"/>
      <c r="TKQ36" s="75"/>
      <c r="TKX36" s="52"/>
      <c r="TKY36" s="75"/>
      <c r="TLF36" s="52"/>
      <c r="TLG36" s="75"/>
      <c r="TLN36" s="52"/>
      <c r="TLO36" s="75"/>
      <c r="TLV36" s="52"/>
      <c r="TLW36" s="75"/>
      <c r="TMD36" s="52"/>
      <c r="TME36" s="75"/>
      <c r="TML36" s="52"/>
      <c r="TMM36" s="75"/>
      <c r="TMT36" s="52"/>
      <c r="TMU36" s="75"/>
      <c r="TNB36" s="52"/>
      <c r="TNC36" s="75"/>
      <c r="TNJ36" s="52"/>
      <c r="TNK36" s="75"/>
      <c r="TNR36" s="52"/>
      <c r="TNS36" s="75"/>
      <c r="TNZ36" s="52"/>
      <c r="TOA36" s="75"/>
      <c r="TOH36" s="52"/>
      <c r="TOI36" s="75"/>
      <c r="TOP36" s="52"/>
      <c r="TOQ36" s="75"/>
      <c r="TOX36" s="52"/>
      <c r="TOY36" s="75"/>
      <c r="TPF36" s="52"/>
      <c r="TPG36" s="75"/>
      <c r="TPN36" s="52"/>
      <c r="TPO36" s="75"/>
      <c r="TPV36" s="52"/>
      <c r="TPW36" s="75"/>
      <c r="TQD36" s="52"/>
      <c r="TQE36" s="75"/>
      <c r="TQL36" s="52"/>
      <c r="TQM36" s="75"/>
      <c r="TQT36" s="52"/>
      <c r="TQU36" s="75"/>
      <c r="TRB36" s="52"/>
      <c r="TRC36" s="75"/>
      <c r="TRJ36" s="52"/>
      <c r="TRK36" s="75"/>
      <c r="TRR36" s="52"/>
      <c r="TRS36" s="75"/>
      <c r="TRZ36" s="52"/>
      <c r="TSA36" s="75"/>
      <c r="TSH36" s="52"/>
      <c r="TSI36" s="75"/>
      <c r="TSP36" s="52"/>
      <c r="TSQ36" s="75"/>
      <c r="TSX36" s="52"/>
      <c r="TSY36" s="75"/>
      <c r="TTF36" s="52"/>
      <c r="TTG36" s="75"/>
      <c r="TTN36" s="52"/>
      <c r="TTO36" s="75"/>
      <c r="TTV36" s="52"/>
      <c r="TTW36" s="75"/>
      <c r="TUD36" s="52"/>
      <c r="TUE36" s="75"/>
      <c r="TUL36" s="52"/>
      <c r="TUM36" s="75"/>
      <c r="TUT36" s="52"/>
      <c r="TUU36" s="75"/>
      <c r="TVB36" s="52"/>
      <c r="TVC36" s="75"/>
      <c r="TVJ36" s="52"/>
      <c r="TVK36" s="75"/>
      <c r="TVR36" s="52"/>
      <c r="TVS36" s="75"/>
      <c r="TVZ36" s="52"/>
      <c r="TWA36" s="75"/>
      <c r="TWH36" s="52"/>
      <c r="TWI36" s="75"/>
      <c r="TWP36" s="52"/>
      <c r="TWQ36" s="75"/>
      <c r="TWX36" s="52"/>
      <c r="TWY36" s="75"/>
      <c r="TXF36" s="52"/>
      <c r="TXG36" s="75"/>
      <c r="TXN36" s="52"/>
      <c r="TXO36" s="75"/>
      <c r="TXV36" s="52"/>
      <c r="TXW36" s="75"/>
      <c r="TYD36" s="52"/>
      <c r="TYE36" s="75"/>
      <c r="TYL36" s="52"/>
      <c r="TYM36" s="75"/>
      <c r="TYT36" s="52"/>
      <c r="TYU36" s="75"/>
      <c r="TZB36" s="52"/>
      <c r="TZC36" s="75"/>
      <c r="TZJ36" s="52"/>
      <c r="TZK36" s="75"/>
      <c r="TZR36" s="52"/>
      <c r="TZS36" s="75"/>
      <c r="TZZ36" s="52"/>
      <c r="UAA36" s="75"/>
      <c r="UAH36" s="52"/>
      <c r="UAI36" s="75"/>
      <c r="UAP36" s="52"/>
      <c r="UAQ36" s="75"/>
      <c r="UAX36" s="52"/>
      <c r="UAY36" s="75"/>
      <c r="UBF36" s="52"/>
      <c r="UBG36" s="75"/>
      <c r="UBN36" s="52"/>
      <c r="UBO36" s="75"/>
      <c r="UBV36" s="52"/>
      <c r="UBW36" s="75"/>
      <c r="UCD36" s="52"/>
      <c r="UCE36" s="75"/>
      <c r="UCL36" s="52"/>
      <c r="UCM36" s="75"/>
      <c r="UCT36" s="52"/>
      <c r="UCU36" s="75"/>
      <c r="UDB36" s="52"/>
      <c r="UDC36" s="75"/>
      <c r="UDJ36" s="52"/>
      <c r="UDK36" s="75"/>
      <c r="UDR36" s="52"/>
      <c r="UDS36" s="75"/>
      <c r="UDZ36" s="52"/>
      <c r="UEA36" s="75"/>
      <c r="UEH36" s="52"/>
      <c r="UEI36" s="75"/>
      <c r="UEP36" s="52"/>
      <c r="UEQ36" s="75"/>
      <c r="UEX36" s="52"/>
      <c r="UEY36" s="75"/>
      <c r="UFF36" s="52"/>
      <c r="UFG36" s="75"/>
      <c r="UFN36" s="52"/>
      <c r="UFO36" s="75"/>
      <c r="UFV36" s="52"/>
      <c r="UFW36" s="75"/>
      <c r="UGD36" s="52"/>
      <c r="UGE36" s="75"/>
      <c r="UGL36" s="52"/>
      <c r="UGM36" s="75"/>
      <c r="UGT36" s="52"/>
      <c r="UGU36" s="75"/>
      <c r="UHB36" s="52"/>
      <c r="UHC36" s="75"/>
      <c r="UHJ36" s="52"/>
      <c r="UHK36" s="75"/>
      <c r="UHR36" s="52"/>
      <c r="UHS36" s="75"/>
      <c r="UHZ36" s="52"/>
      <c r="UIA36" s="75"/>
      <c r="UIH36" s="52"/>
      <c r="UII36" s="75"/>
      <c r="UIP36" s="52"/>
      <c r="UIQ36" s="75"/>
      <c r="UIX36" s="52"/>
      <c r="UIY36" s="75"/>
      <c r="UJF36" s="52"/>
      <c r="UJG36" s="75"/>
      <c r="UJN36" s="52"/>
      <c r="UJO36" s="75"/>
      <c r="UJV36" s="52"/>
      <c r="UJW36" s="75"/>
      <c r="UKD36" s="52"/>
      <c r="UKE36" s="75"/>
      <c r="UKL36" s="52"/>
      <c r="UKM36" s="75"/>
      <c r="UKT36" s="52"/>
      <c r="UKU36" s="75"/>
      <c r="ULB36" s="52"/>
      <c r="ULC36" s="75"/>
      <c r="ULJ36" s="52"/>
      <c r="ULK36" s="75"/>
      <c r="ULR36" s="52"/>
      <c r="ULS36" s="75"/>
      <c r="ULZ36" s="52"/>
      <c r="UMA36" s="75"/>
      <c r="UMH36" s="52"/>
      <c r="UMI36" s="75"/>
      <c r="UMP36" s="52"/>
      <c r="UMQ36" s="75"/>
      <c r="UMX36" s="52"/>
      <c r="UMY36" s="75"/>
      <c r="UNF36" s="52"/>
      <c r="UNG36" s="75"/>
      <c r="UNN36" s="52"/>
      <c r="UNO36" s="75"/>
      <c r="UNV36" s="52"/>
      <c r="UNW36" s="75"/>
      <c r="UOD36" s="52"/>
      <c r="UOE36" s="75"/>
      <c r="UOL36" s="52"/>
      <c r="UOM36" s="75"/>
      <c r="UOT36" s="52"/>
      <c r="UOU36" s="75"/>
      <c r="UPB36" s="52"/>
      <c r="UPC36" s="75"/>
      <c r="UPJ36" s="52"/>
      <c r="UPK36" s="75"/>
      <c r="UPR36" s="52"/>
      <c r="UPS36" s="75"/>
      <c r="UPZ36" s="52"/>
      <c r="UQA36" s="75"/>
      <c r="UQH36" s="52"/>
      <c r="UQI36" s="75"/>
      <c r="UQP36" s="52"/>
      <c r="UQQ36" s="75"/>
      <c r="UQX36" s="52"/>
      <c r="UQY36" s="75"/>
      <c r="URF36" s="52"/>
      <c r="URG36" s="75"/>
      <c r="URN36" s="52"/>
      <c r="URO36" s="75"/>
      <c r="URV36" s="52"/>
      <c r="URW36" s="75"/>
      <c r="USD36" s="52"/>
      <c r="USE36" s="75"/>
      <c r="USL36" s="52"/>
      <c r="USM36" s="75"/>
      <c r="UST36" s="52"/>
      <c r="USU36" s="75"/>
      <c r="UTB36" s="52"/>
      <c r="UTC36" s="75"/>
      <c r="UTJ36" s="52"/>
      <c r="UTK36" s="75"/>
      <c r="UTR36" s="52"/>
      <c r="UTS36" s="75"/>
      <c r="UTZ36" s="52"/>
      <c r="UUA36" s="75"/>
      <c r="UUH36" s="52"/>
      <c r="UUI36" s="75"/>
      <c r="UUP36" s="52"/>
      <c r="UUQ36" s="75"/>
      <c r="UUX36" s="52"/>
      <c r="UUY36" s="75"/>
      <c r="UVF36" s="52"/>
      <c r="UVG36" s="75"/>
      <c r="UVN36" s="52"/>
      <c r="UVO36" s="75"/>
      <c r="UVV36" s="52"/>
      <c r="UVW36" s="75"/>
      <c r="UWD36" s="52"/>
      <c r="UWE36" s="75"/>
      <c r="UWL36" s="52"/>
      <c r="UWM36" s="75"/>
      <c r="UWT36" s="52"/>
      <c r="UWU36" s="75"/>
      <c r="UXB36" s="52"/>
      <c r="UXC36" s="75"/>
      <c r="UXJ36" s="52"/>
      <c r="UXK36" s="75"/>
      <c r="UXR36" s="52"/>
      <c r="UXS36" s="75"/>
      <c r="UXZ36" s="52"/>
      <c r="UYA36" s="75"/>
      <c r="UYH36" s="52"/>
      <c r="UYI36" s="75"/>
      <c r="UYP36" s="52"/>
      <c r="UYQ36" s="75"/>
      <c r="UYX36" s="52"/>
      <c r="UYY36" s="75"/>
      <c r="UZF36" s="52"/>
      <c r="UZG36" s="75"/>
      <c r="UZN36" s="52"/>
      <c r="UZO36" s="75"/>
      <c r="UZV36" s="52"/>
      <c r="UZW36" s="75"/>
      <c r="VAD36" s="52"/>
      <c r="VAE36" s="75"/>
      <c r="VAL36" s="52"/>
      <c r="VAM36" s="75"/>
      <c r="VAT36" s="52"/>
      <c r="VAU36" s="75"/>
      <c r="VBB36" s="52"/>
      <c r="VBC36" s="75"/>
      <c r="VBJ36" s="52"/>
      <c r="VBK36" s="75"/>
      <c r="VBR36" s="52"/>
      <c r="VBS36" s="75"/>
      <c r="VBZ36" s="52"/>
      <c r="VCA36" s="75"/>
      <c r="VCH36" s="52"/>
      <c r="VCI36" s="75"/>
      <c r="VCP36" s="52"/>
      <c r="VCQ36" s="75"/>
      <c r="VCX36" s="52"/>
      <c r="VCY36" s="75"/>
      <c r="VDF36" s="52"/>
      <c r="VDG36" s="75"/>
      <c r="VDN36" s="52"/>
      <c r="VDO36" s="75"/>
      <c r="VDV36" s="52"/>
      <c r="VDW36" s="75"/>
      <c r="VED36" s="52"/>
      <c r="VEE36" s="75"/>
      <c r="VEL36" s="52"/>
      <c r="VEM36" s="75"/>
      <c r="VET36" s="52"/>
      <c r="VEU36" s="75"/>
      <c r="VFB36" s="52"/>
      <c r="VFC36" s="75"/>
      <c r="VFJ36" s="52"/>
      <c r="VFK36" s="75"/>
      <c r="VFR36" s="52"/>
      <c r="VFS36" s="75"/>
      <c r="VFZ36" s="52"/>
      <c r="VGA36" s="75"/>
      <c r="VGH36" s="52"/>
      <c r="VGI36" s="75"/>
      <c r="VGP36" s="52"/>
      <c r="VGQ36" s="75"/>
      <c r="VGX36" s="52"/>
      <c r="VGY36" s="75"/>
      <c r="VHF36" s="52"/>
      <c r="VHG36" s="75"/>
      <c r="VHN36" s="52"/>
      <c r="VHO36" s="75"/>
      <c r="VHV36" s="52"/>
      <c r="VHW36" s="75"/>
      <c r="VID36" s="52"/>
      <c r="VIE36" s="75"/>
      <c r="VIL36" s="52"/>
      <c r="VIM36" s="75"/>
      <c r="VIT36" s="52"/>
      <c r="VIU36" s="75"/>
      <c r="VJB36" s="52"/>
      <c r="VJC36" s="75"/>
      <c r="VJJ36" s="52"/>
      <c r="VJK36" s="75"/>
      <c r="VJR36" s="52"/>
      <c r="VJS36" s="75"/>
      <c r="VJZ36" s="52"/>
      <c r="VKA36" s="75"/>
      <c r="VKH36" s="52"/>
      <c r="VKI36" s="75"/>
      <c r="VKP36" s="52"/>
      <c r="VKQ36" s="75"/>
      <c r="VKX36" s="52"/>
      <c r="VKY36" s="75"/>
      <c r="VLF36" s="52"/>
      <c r="VLG36" s="75"/>
      <c r="VLN36" s="52"/>
      <c r="VLO36" s="75"/>
      <c r="VLV36" s="52"/>
      <c r="VLW36" s="75"/>
      <c r="VMD36" s="52"/>
      <c r="VME36" s="75"/>
      <c r="VML36" s="52"/>
      <c r="VMM36" s="75"/>
      <c r="VMT36" s="52"/>
      <c r="VMU36" s="75"/>
      <c r="VNB36" s="52"/>
      <c r="VNC36" s="75"/>
      <c r="VNJ36" s="52"/>
      <c r="VNK36" s="75"/>
      <c r="VNR36" s="52"/>
      <c r="VNS36" s="75"/>
      <c r="VNZ36" s="52"/>
      <c r="VOA36" s="75"/>
      <c r="VOH36" s="52"/>
      <c r="VOI36" s="75"/>
      <c r="VOP36" s="52"/>
      <c r="VOQ36" s="75"/>
      <c r="VOX36" s="52"/>
      <c r="VOY36" s="75"/>
      <c r="VPF36" s="52"/>
      <c r="VPG36" s="75"/>
      <c r="VPN36" s="52"/>
      <c r="VPO36" s="75"/>
      <c r="VPV36" s="52"/>
      <c r="VPW36" s="75"/>
      <c r="VQD36" s="52"/>
      <c r="VQE36" s="75"/>
      <c r="VQL36" s="52"/>
      <c r="VQM36" s="75"/>
      <c r="VQT36" s="52"/>
      <c r="VQU36" s="75"/>
      <c r="VRB36" s="52"/>
      <c r="VRC36" s="75"/>
      <c r="VRJ36" s="52"/>
      <c r="VRK36" s="75"/>
      <c r="VRR36" s="52"/>
      <c r="VRS36" s="75"/>
      <c r="VRZ36" s="52"/>
      <c r="VSA36" s="75"/>
      <c r="VSH36" s="52"/>
      <c r="VSI36" s="75"/>
      <c r="VSP36" s="52"/>
      <c r="VSQ36" s="75"/>
      <c r="VSX36" s="52"/>
      <c r="VSY36" s="75"/>
      <c r="VTF36" s="52"/>
      <c r="VTG36" s="75"/>
      <c r="VTN36" s="52"/>
      <c r="VTO36" s="75"/>
      <c r="VTV36" s="52"/>
      <c r="VTW36" s="75"/>
      <c r="VUD36" s="52"/>
      <c r="VUE36" s="75"/>
      <c r="VUL36" s="52"/>
      <c r="VUM36" s="75"/>
      <c r="VUT36" s="52"/>
      <c r="VUU36" s="75"/>
      <c r="VVB36" s="52"/>
      <c r="VVC36" s="75"/>
      <c r="VVJ36" s="52"/>
      <c r="VVK36" s="75"/>
      <c r="VVR36" s="52"/>
      <c r="VVS36" s="75"/>
      <c r="VVZ36" s="52"/>
      <c r="VWA36" s="75"/>
      <c r="VWH36" s="52"/>
      <c r="VWI36" s="75"/>
      <c r="VWP36" s="52"/>
      <c r="VWQ36" s="75"/>
      <c r="VWX36" s="52"/>
      <c r="VWY36" s="75"/>
      <c r="VXF36" s="52"/>
      <c r="VXG36" s="75"/>
      <c r="VXN36" s="52"/>
      <c r="VXO36" s="75"/>
      <c r="VXV36" s="52"/>
      <c r="VXW36" s="75"/>
      <c r="VYD36" s="52"/>
      <c r="VYE36" s="75"/>
      <c r="VYL36" s="52"/>
      <c r="VYM36" s="75"/>
      <c r="VYT36" s="52"/>
      <c r="VYU36" s="75"/>
      <c r="VZB36" s="52"/>
      <c r="VZC36" s="75"/>
      <c r="VZJ36" s="52"/>
      <c r="VZK36" s="75"/>
      <c r="VZR36" s="52"/>
      <c r="VZS36" s="75"/>
      <c r="VZZ36" s="52"/>
      <c r="WAA36" s="75"/>
      <c r="WAH36" s="52"/>
      <c r="WAI36" s="75"/>
      <c r="WAP36" s="52"/>
      <c r="WAQ36" s="75"/>
      <c r="WAX36" s="52"/>
      <c r="WAY36" s="75"/>
      <c r="WBF36" s="52"/>
      <c r="WBG36" s="75"/>
      <c r="WBN36" s="52"/>
      <c r="WBO36" s="75"/>
      <c r="WBV36" s="52"/>
      <c r="WBW36" s="75"/>
      <c r="WCD36" s="52"/>
      <c r="WCE36" s="75"/>
      <c r="WCL36" s="52"/>
      <c r="WCM36" s="75"/>
      <c r="WCT36" s="52"/>
      <c r="WCU36" s="75"/>
      <c r="WDB36" s="52"/>
      <c r="WDC36" s="75"/>
      <c r="WDJ36" s="52"/>
      <c r="WDK36" s="75"/>
      <c r="WDR36" s="52"/>
      <c r="WDS36" s="75"/>
      <c r="WDZ36" s="52"/>
      <c r="WEA36" s="75"/>
      <c r="WEH36" s="52"/>
      <c r="WEI36" s="75"/>
      <c r="WEP36" s="52"/>
      <c r="WEQ36" s="75"/>
      <c r="WEX36" s="52"/>
      <c r="WEY36" s="75"/>
      <c r="WFF36" s="52"/>
      <c r="WFG36" s="75"/>
      <c r="WFN36" s="52"/>
      <c r="WFO36" s="75"/>
      <c r="WFV36" s="52"/>
      <c r="WFW36" s="75"/>
      <c r="WGD36" s="52"/>
      <c r="WGE36" s="75"/>
      <c r="WGL36" s="52"/>
      <c r="WGM36" s="75"/>
      <c r="WGT36" s="52"/>
      <c r="WGU36" s="75"/>
      <c r="WHB36" s="52"/>
      <c r="WHC36" s="75"/>
      <c r="WHJ36" s="52"/>
      <c r="WHK36" s="75"/>
      <c r="WHR36" s="52"/>
      <c r="WHS36" s="75"/>
      <c r="WHZ36" s="52"/>
      <c r="WIA36" s="75"/>
      <c r="WIH36" s="52"/>
      <c r="WII36" s="75"/>
      <c r="WIP36" s="52"/>
      <c r="WIQ36" s="75"/>
      <c r="WIX36" s="52"/>
      <c r="WIY36" s="75"/>
      <c r="WJF36" s="52"/>
      <c r="WJG36" s="75"/>
      <c r="WJN36" s="52"/>
      <c r="WJO36" s="75"/>
      <c r="WJV36" s="52"/>
      <c r="WJW36" s="75"/>
      <c r="WKD36" s="52"/>
      <c r="WKE36" s="75"/>
      <c r="WKL36" s="52"/>
      <c r="WKM36" s="75"/>
      <c r="WKT36" s="52"/>
      <c r="WKU36" s="75"/>
      <c r="WLB36" s="52"/>
      <c r="WLC36" s="75"/>
      <c r="WLJ36" s="52"/>
      <c r="WLK36" s="75"/>
      <c r="WLR36" s="52"/>
      <c r="WLS36" s="75"/>
      <c r="WLZ36" s="52"/>
      <c r="WMA36" s="75"/>
      <c r="WMH36" s="52"/>
      <c r="WMI36" s="75"/>
      <c r="WMP36" s="52"/>
      <c r="WMQ36" s="75"/>
      <c r="WMX36" s="52"/>
      <c r="WMY36" s="75"/>
      <c r="WNF36" s="52"/>
      <c r="WNG36" s="75"/>
      <c r="WNN36" s="52"/>
      <c r="WNO36" s="75"/>
      <c r="WNV36" s="52"/>
      <c r="WNW36" s="75"/>
      <c r="WOD36" s="52"/>
      <c r="WOE36" s="75"/>
      <c r="WOL36" s="52"/>
      <c r="WOM36" s="75"/>
      <c r="WOT36" s="52"/>
      <c r="WOU36" s="75"/>
      <c r="WPB36" s="52"/>
      <c r="WPC36" s="75"/>
      <c r="WPJ36" s="52"/>
      <c r="WPK36" s="75"/>
      <c r="WPR36" s="52"/>
      <c r="WPS36" s="75"/>
      <c r="WPZ36" s="52"/>
      <c r="WQA36" s="75"/>
      <c r="WQH36" s="52"/>
      <c r="WQI36" s="75"/>
      <c r="WQP36" s="52"/>
      <c r="WQQ36" s="75"/>
      <c r="WQX36" s="52"/>
      <c r="WQY36" s="75"/>
      <c r="WRF36" s="52"/>
      <c r="WRG36" s="75"/>
      <c r="WRN36" s="52"/>
      <c r="WRO36" s="75"/>
      <c r="WRV36" s="52"/>
      <c r="WRW36" s="75"/>
      <c r="WSD36" s="52"/>
      <c r="WSE36" s="75"/>
      <c r="WSL36" s="52"/>
      <c r="WSM36" s="75"/>
      <c r="WST36" s="52"/>
      <c r="WSU36" s="75"/>
      <c r="WTB36" s="52"/>
      <c r="WTC36" s="75"/>
      <c r="WTJ36" s="52"/>
      <c r="WTK36" s="75"/>
      <c r="WTR36" s="52"/>
      <c r="WTS36" s="75"/>
      <c r="WTZ36" s="52"/>
      <c r="WUA36" s="75"/>
      <c r="WUH36" s="52"/>
      <c r="WUI36" s="75"/>
      <c r="WUP36" s="52"/>
      <c r="WUQ36" s="75"/>
      <c r="WUX36" s="52"/>
      <c r="WUY36" s="75"/>
      <c r="WVF36" s="52"/>
      <c r="WVG36" s="75"/>
      <c r="WVN36" s="52"/>
      <c r="WVO36" s="75"/>
      <c r="WVV36" s="52"/>
      <c r="WVW36" s="75"/>
      <c r="WWD36" s="52"/>
      <c r="WWE36" s="75"/>
      <c r="WWL36" s="52"/>
      <c r="WWM36" s="75"/>
      <c r="WWT36" s="52"/>
      <c r="WWU36" s="75"/>
      <c r="WXB36" s="52"/>
      <c r="WXC36" s="75"/>
      <c r="WXJ36" s="52"/>
      <c r="WXK36" s="75"/>
      <c r="WXR36" s="52"/>
      <c r="WXS36" s="75"/>
      <c r="WXZ36" s="52"/>
      <c r="WYA36" s="75"/>
      <c r="WYH36" s="52"/>
      <c r="WYI36" s="75"/>
      <c r="WYP36" s="52"/>
      <c r="WYQ36" s="75"/>
      <c r="WYX36" s="52"/>
      <c r="WYY36" s="75"/>
      <c r="WZF36" s="52"/>
      <c r="WZG36" s="75"/>
      <c r="WZN36" s="52"/>
      <c r="WZO36" s="75"/>
      <c r="WZV36" s="52"/>
      <c r="WZW36" s="75"/>
      <c r="XAD36" s="52"/>
      <c r="XAE36" s="75"/>
      <c r="XAL36" s="52"/>
      <c r="XAM36" s="75"/>
      <c r="XAT36" s="52"/>
      <c r="XAU36" s="75"/>
      <c r="XBB36" s="52"/>
      <c r="XBC36" s="75"/>
      <c r="XBJ36" s="52"/>
      <c r="XBK36" s="75"/>
      <c r="XBR36" s="52"/>
      <c r="XBS36" s="75"/>
      <c r="XBZ36" s="52"/>
      <c r="XCA36" s="75"/>
      <c r="XCH36" s="52"/>
      <c r="XCI36" s="75"/>
      <c r="XCP36" s="52"/>
      <c r="XCQ36" s="75"/>
      <c r="XCX36" s="52"/>
      <c r="XCY36" s="75"/>
      <c r="XDF36" s="52"/>
      <c r="XDG36" s="75"/>
    </row>
    <row r="37" spans="1:1023 1030:2047 2054:3071 3078:4095 4102:5119 5126:6143 6150:7167 7174:8191 8198:9215 9222:10239 10246:11263 11270:12287 12294:13311 13318:14335 14342:15359 15366:16335" s="83" customFormat="1" ht="15" customHeight="1" thickBot="1">
      <c r="A37" s="62"/>
      <c r="B37" s="63" t="s">
        <v>97</v>
      </c>
      <c r="C37" s="64">
        <f t="shared" ref="C37:V37" si="4">SUM(C38:C49)</f>
        <v>1171057</v>
      </c>
      <c r="D37" s="64">
        <f t="shared" si="4"/>
        <v>980589</v>
      </c>
      <c r="E37" s="64">
        <f t="shared" si="4"/>
        <v>1078933</v>
      </c>
      <c r="F37" s="64">
        <f t="shared" si="4"/>
        <v>1082239</v>
      </c>
      <c r="G37" s="64">
        <f t="shared" si="4"/>
        <v>754587</v>
      </c>
      <c r="H37" s="64">
        <f t="shared" si="4"/>
        <v>724963</v>
      </c>
      <c r="I37" s="64">
        <f t="shared" si="4"/>
        <v>713102</v>
      </c>
      <c r="J37" s="64">
        <f t="shared" si="4"/>
        <v>665857</v>
      </c>
      <c r="K37" s="64">
        <f t="shared" si="4"/>
        <v>600384</v>
      </c>
      <c r="L37" s="64">
        <f t="shared" si="4"/>
        <v>558805</v>
      </c>
      <c r="M37" s="64">
        <f t="shared" si="4"/>
        <v>797592</v>
      </c>
      <c r="N37" s="64">
        <f t="shared" si="4"/>
        <v>747860</v>
      </c>
      <c r="O37" s="64">
        <f t="shared" si="4"/>
        <v>640348</v>
      </c>
      <c r="P37" s="64">
        <f t="shared" si="4"/>
        <v>630747</v>
      </c>
      <c r="Q37" s="64">
        <f t="shared" si="4"/>
        <v>667909</v>
      </c>
      <c r="R37" s="64">
        <f t="shared" si="4"/>
        <v>596688</v>
      </c>
      <c r="S37" s="64">
        <f t="shared" si="4"/>
        <v>488948</v>
      </c>
      <c r="T37" s="64">
        <f t="shared" si="4"/>
        <v>450029</v>
      </c>
      <c r="U37" s="64">
        <f t="shared" si="4"/>
        <v>531219</v>
      </c>
      <c r="V37" s="64">
        <f t="shared" si="4"/>
        <v>2474525</v>
      </c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</row>
    <row r="38" spans="1:1023 1030:2047 2054:3071 3078:4095 4102:5119 5126:6143 6150:7167 7174:8191 8198:9215 9222:10239 10246:11263 11270:12287 12294:13311 13318:14335 14342:15359 15366:16335" s="83" customFormat="1" ht="15" customHeight="1" thickBot="1">
      <c r="A38" s="62"/>
      <c r="B38" s="78" t="s">
        <v>71</v>
      </c>
      <c r="C38" s="79">
        <v>135787</v>
      </c>
      <c r="D38" s="79">
        <v>116431</v>
      </c>
      <c r="E38" s="79">
        <f>194580+22410</f>
        <v>216990</v>
      </c>
      <c r="F38" s="79">
        <v>236901</v>
      </c>
      <c r="G38" s="79">
        <f>142968+21757</f>
        <v>164725</v>
      </c>
      <c r="H38" s="79">
        <v>155371</v>
      </c>
      <c r="I38" s="79">
        <f>212851</f>
        <v>212851</v>
      </c>
      <c r="J38" s="79">
        <f>205106</f>
        <v>205106</v>
      </c>
      <c r="K38" s="79">
        <f>175737</f>
        <v>175737</v>
      </c>
      <c r="L38" s="79">
        <v>163048</v>
      </c>
      <c r="M38" s="79">
        <v>267805</v>
      </c>
      <c r="N38" s="79">
        <v>287666</v>
      </c>
      <c r="O38" s="79">
        <v>184573</v>
      </c>
      <c r="P38" s="79">
        <v>160944</v>
      </c>
      <c r="Q38" s="79">
        <v>184934</v>
      </c>
      <c r="R38" s="79">
        <v>179923</v>
      </c>
      <c r="S38" s="79">
        <v>167586</v>
      </c>
      <c r="T38" s="79">
        <v>125313</v>
      </c>
      <c r="U38" s="79">
        <v>156996</v>
      </c>
      <c r="V38" s="79">
        <v>127440</v>
      </c>
      <c r="W38" s="61"/>
      <c r="X38" s="61"/>
      <c r="Y38" s="61"/>
      <c r="Z38" s="61"/>
      <c r="AA38" s="61"/>
      <c r="AB38" s="61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  <c r="AX38" s="61"/>
      <c r="AY38" s="61"/>
      <c r="AZ38" s="61"/>
      <c r="BA38" s="61"/>
      <c r="BB38" s="61"/>
      <c r="BC38" s="61"/>
      <c r="BD38" s="61"/>
      <c r="BE38" s="61"/>
      <c r="BF38" s="61"/>
      <c r="BG38" s="61"/>
      <c r="BH38" s="61"/>
      <c r="BI38" s="61"/>
      <c r="BJ38" s="61"/>
      <c r="BK38" s="61"/>
      <c r="BL38" s="61"/>
      <c r="BM38" s="61"/>
      <c r="BN38" s="61"/>
      <c r="BO38" s="61"/>
      <c r="BP38" s="61"/>
      <c r="BQ38" s="61"/>
      <c r="BR38" s="61"/>
      <c r="BS38" s="61"/>
      <c r="BT38" s="61"/>
      <c r="BU38" s="61"/>
      <c r="BV38" s="61"/>
      <c r="BW38" s="61"/>
      <c r="BX38" s="61"/>
      <c r="BY38" s="61"/>
      <c r="BZ38" s="61"/>
      <c r="CA38" s="61"/>
      <c r="CB38" s="61"/>
      <c r="CC38" s="61"/>
      <c r="CD38" s="61"/>
      <c r="CE38" s="61"/>
      <c r="CF38" s="61"/>
      <c r="CG38" s="61"/>
      <c r="CH38" s="61"/>
      <c r="CI38" s="61"/>
      <c r="CJ38" s="61"/>
      <c r="CK38" s="61"/>
      <c r="CL38" s="61"/>
      <c r="CM38" s="61"/>
      <c r="CN38" s="61"/>
      <c r="CO38" s="61"/>
    </row>
    <row r="39" spans="1:1023 1030:2047 2054:3071 3078:4095 4102:5119 5126:6143 6150:7167 7174:8191 8198:9215 9222:10239 10246:11263 11270:12287 12294:13311 13318:14335 14342:15359 15366:16335" s="83" customFormat="1" ht="15" customHeight="1" thickBot="1">
      <c r="A39" s="62"/>
      <c r="B39" s="78" t="s">
        <v>292</v>
      </c>
      <c r="C39" s="79">
        <v>683323</v>
      </c>
      <c r="D39" s="79">
        <v>537688</v>
      </c>
      <c r="E39" s="79">
        <v>563182</v>
      </c>
      <c r="F39" s="79">
        <v>529823</v>
      </c>
      <c r="G39" s="79">
        <v>307728</v>
      </c>
      <c r="H39" s="79">
        <v>264994</v>
      </c>
      <c r="I39" s="79">
        <f>206060</f>
        <v>206060</v>
      </c>
      <c r="J39" s="79">
        <f>178607</f>
        <v>178607</v>
      </c>
      <c r="K39" s="79">
        <f>158348</f>
        <v>158348</v>
      </c>
      <c r="L39" s="79">
        <v>156306</v>
      </c>
      <c r="M39" s="79">
        <v>335796</v>
      </c>
      <c r="N39" s="79">
        <v>232629</v>
      </c>
      <c r="O39" s="79">
        <v>238911</v>
      </c>
      <c r="P39" s="79">
        <v>286315</v>
      </c>
      <c r="Q39" s="79">
        <v>312696</v>
      </c>
      <c r="R39" s="79">
        <v>223221</v>
      </c>
      <c r="S39" s="79">
        <v>126355</v>
      </c>
      <c r="T39" s="79">
        <f>160417+226</f>
        <v>160643</v>
      </c>
      <c r="U39" s="79">
        <f>103806+60706+25387</f>
        <v>189899</v>
      </c>
      <c r="V39" s="79">
        <f>584315+1411209+21840</f>
        <v>2017364</v>
      </c>
      <c r="W39" s="61"/>
      <c r="X39" s="61"/>
      <c r="Y39" s="61"/>
      <c r="Z39" s="61"/>
      <c r="AA39" s="61"/>
      <c r="AB39" s="61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  <c r="AX39" s="61"/>
      <c r="AY39" s="61"/>
      <c r="AZ39" s="61"/>
      <c r="BA39" s="61"/>
      <c r="BB39" s="61"/>
      <c r="BC39" s="61"/>
      <c r="BD39" s="61"/>
      <c r="BE39" s="61"/>
      <c r="BF39" s="61"/>
      <c r="BG39" s="61"/>
      <c r="BH39" s="61"/>
      <c r="BI39" s="61"/>
      <c r="BJ39" s="61"/>
      <c r="BK39" s="61"/>
      <c r="BL39" s="61"/>
      <c r="BM39" s="61"/>
      <c r="BN39" s="61"/>
      <c r="BO39" s="61"/>
      <c r="BP39" s="61"/>
      <c r="BQ39" s="61"/>
      <c r="BR39" s="61"/>
      <c r="BS39" s="61"/>
      <c r="BT39" s="61"/>
      <c r="BU39" s="61"/>
      <c r="BV39" s="61"/>
      <c r="BW39" s="61"/>
      <c r="BX39" s="61"/>
      <c r="BY39" s="61"/>
      <c r="BZ39" s="61"/>
      <c r="CA39" s="61"/>
      <c r="CB39" s="61"/>
      <c r="CC39" s="61"/>
      <c r="CD39" s="61"/>
      <c r="CE39" s="61"/>
      <c r="CF39" s="61"/>
      <c r="CG39" s="61"/>
      <c r="CH39" s="61"/>
      <c r="CI39" s="61"/>
      <c r="CJ39" s="61"/>
      <c r="CK39" s="61"/>
      <c r="CL39" s="61"/>
      <c r="CM39" s="61"/>
      <c r="CN39" s="61"/>
      <c r="CO39" s="61"/>
    </row>
    <row r="40" spans="1:1023 1030:2047 2054:3071 3078:4095 4102:5119 5126:6143 6150:7167 7174:8191 8198:9215 9222:10239 10246:11263 11270:12287 12294:13311 13318:14335 14342:15359 15366:16335" s="83" customFormat="1" ht="15" customHeight="1" thickBot="1">
      <c r="A40" s="62"/>
      <c r="B40" s="78" t="s">
        <v>159</v>
      </c>
      <c r="C40" s="79">
        <v>62630</v>
      </c>
      <c r="D40" s="79">
        <v>62547</v>
      </c>
      <c r="E40" s="79">
        <v>55882</v>
      </c>
      <c r="F40" s="79">
        <v>54331</v>
      </c>
      <c r="G40" s="79">
        <v>50678</v>
      </c>
      <c r="H40" s="79">
        <v>47940</v>
      </c>
      <c r="I40" s="79">
        <f>41614</f>
        <v>41614</v>
      </c>
      <c r="J40" s="79">
        <f>38806</f>
        <v>38806</v>
      </c>
      <c r="K40" s="79">
        <f>16039</f>
        <v>16039</v>
      </c>
      <c r="L40" s="79">
        <v>31523</v>
      </c>
      <c r="M40" s="79">
        <v>18839</v>
      </c>
      <c r="N40" s="79">
        <v>28678</v>
      </c>
      <c r="O40" s="79">
        <v>25081</v>
      </c>
      <c r="P40" s="79">
        <v>25076</v>
      </c>
      <c r="Q40" s="79">
        <v>23285</v>
      </c>
      <c r="R40" s="79">
        <v>23405</v>
      </c>
      <c r="S40" s="79">
        <v>22858</v>
      </c>
      <c r="T40" s="79">
        <v>17036</v>
      </c>
      <c r="U40" s="79">
        <v>29256</v>
      </c>
      <c r="V40" s="79">
        <v>0</v>
      </c>
      <c r="W40" s="61"/>
      <c r="X40" s="61"/>
      <c r="Y40" s="61"/>
      <c r="Z40" s="61"/>
      <c r="AA40" s="61"/>
      <c r="AB40" s="61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61"/>
      <c r="BP40" s="61"/>
      <c r="BQ40" s="61"/>
      <c r="BR40" s="61"/>
      <c r="BS40" s="61"/>
      <c r="BT40" s="61"/>
      <c r="BU40" s="61"/>
      <c r="BV40" s="61"/>
      <c r="BW40" s="61"/>
      <c r="BX40" s="61"/>
      <c r="BY40" s="61"/>
      <c r="BZ40" s="61"/>
      <c r="CA40" s="61"/>
      <c r="CB40" s="61"/>
      <c r="CC40" s="61"/>
      <c r="CD40" s="61"/>
      <c r="CE40" s="61"/>
      <c r="CF40" s="61"/>
      <c r="CG40" s="61"/>
      <c r="CH40" s="61"/>
      <c r="CI40" s="61"/>
      <c r="CJ40" s="61"/>
      <c r="CK40" s="61"/>
      <c r="CL40" s="61"/>
      <c r="CM40" s="61"/>
      <c r="CN40" s="61"/>
      <c r="CO40" s="61"/>
    </row>
    <row r="41" spans="1:1023 1030:2047 2054:3071 3078:4095 4102:5119 5126:6143 6150:7167 7174:8191 8198:9215 9222:10239 10246:11263 11270:12287 12294:13311 13318:14335 14342:15359 15366:16335" s="83" customFormat="1" ht="15" customHeight="1" thickBot="1">
      <c r="A41" s="62"/>
      <c r="B41" s="78" t="s">
        <v>374</v>
      </c>
      <c r="C41" s="79">
        <v>97722</v>
      </c>
      <c r="D41" s="79"/>
      <c r="E41" s="79"/>
      <c r="F41" s="79"/>
      <c r="G41" s="79">
        <v>0</v>
      </c>
      <c r="H41" s="79">
        <v>0</v>
      </c>
      <c r="I41" s="79">
        <v>0</v>
      </c>
      <c r="J41" s="79">
        <v>0</v>
      </c>
      <c r="K41" s="79">
        <v>0</v>
      </c>
      <c r="L41" s="79">
        <v>0</v>
      </c>
      <c r="M41" s="79">
        <v>0</v>
      </c>
      <c r="N41" s="79">
        <v>0</v>
      </c>
      <c r="O41" s="79">
        <v>0</v>
      </c>
      <c r="P41" s="79">
        <v>0</v>
      </c>
      <c r="Q41" s="79">
        <v>0</v>
      </c>
      <c r="R41" s="79">
        <v>0</v>
      </c>
      <c r="S41" s="79">
        <v>0</v>
      </c>
      <c r="T41" s="79">
        <v>0</v>
      </c>
      <c r="U41" s="79">
        <v>0</v>
      </c>
      <c r="V41" s="79">
        <v>0</v>
      </c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</row>
    <row r="42" spans="1:1023 1030:2047 2054:3071 3078:4095 4102:5119 5126:6143 6150:7167 7174:8191 8198:9215 9222:10239 10246:11263 11270:12287 12294:13311 13318:14335 14342:15359 15366:16335" s="83" customFormat="1" ht="15" customHeight="1" thickBot="1">
      <c r="A42" s="62"/>
      <c r="B42" s="78" t="s">
        <v>70</v>
      </c>
      <c r="C42" s="79">
        <v>59309</v>
      </c>
      <c r="D42" s="79">
        <v>64558</v>
      </c>
      <c r="E42" s="79">
        <v>47150</v>
      </c>
      <c r="F42" s="79">
        <v>47008</v>
      </c>
      <c r="G42" s="79">
        <v>48500</v>
      </c>
      <c r="H42" s="79">
        <v>50855</v>
      </c>
      <c r="I42" s="79">
        <f>27490</f>
        <v>27490</v>
      </c>
      <c r="J42" s="79">
        <f>26617</f>
        <v>26617</v>
      </c>
      <c r="K42" s="79">
        <f>34803</f>
        <v>34803</v>
      </c>
      <c r="L42" s="79">
        <v>21855</v>
      </c>
      <c r="M42" s="79">
        <v>16261</v>
      </c>
      <c r="N42" s="79">
        <v>6138</v>
      </c>
      <c r="O42" s="79">
        <v>7633</v>
      </c>
      <c r="P42" s="79">
        <v>13605</v>
      </c>
      <c r="Q42" s="79">
        <v>8378</v>
      </c>
      <c r="R42" s="79">
        <v>9509</v>
      </c>
      <c r="S42" s="79">
        <v>5676</v>
      </c>
      <c r="T42" s="79">
        <v>5908</v>
      </c>
      <c r="U42" s="79">
        <v>0</v>
      </c>
      <c r="V42" s="79">
        <v>0</v>
      </c>
      <c r="W42" s="61"/>
      <c r="X42" s="61"/>
      <c r="Y42" s="61"/>
      <c r="Z42" s="61"/>
      <c r="AA42" s="61"/>
      <c r="AB42" s="61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  <c r="AX42" s="61"/>
      <c r="AY42" s="61"/>
      <c r="AZ42" s="61"/>
      <c r="BA42" s="61"/>
      <c r="BB42" s="61"/>
      <c r="BC42" s="61"/>
      <c r="BD42" s="61"/>
      <c r="BE42" s="61"/>
      <c r="BF42" s="61"/>
      <c r="BG42" s="61"/>
      <c r="BH42" s="61"/>
      <c r="BI42" s="61"/>
      <c r="BJ42" s="61"/>
      <c r="BK42" s="61"/>
      <c r="BL42" s="61"/>
      <c r="BM42" s="61"/>
      <c r="BN42" s="61"/>
      <c r="BO42" s="61"/>
      <c r="BP42" s="61"/>
      <c r="BQ42" s="61"/>
      <c r="BR42" s="61"/>
      <c r="BS42" s="61"/>
      <c r="BT42" s="61"/>
      <c r="BU42" s="61"/>
      <c r="BV42" s="61"/>
      <c r="BW42" s="61"/>
      <c r="BX42" s="61"/>
      <c r="BY42" s="61"/>
      <c r="BZ42" s="61"/>
      <c r="CA42" s="61"/>
      <c r="CB42" s="61"/>
      <c r="CC42" s="61"/>
      <c r="CD42" s="61"/>
      <c r="CE42" s="61"/>
      <c r="CF42" s="61"/>
      <c r="CG42" s="61"/>
      <c r="CH42" s="61"/>
      <c r="CI42" s="61"/>
      <c r="CJ42" s="61"/>
      <c r="CK42" s="61"/>
      <c r="CL42" s="61"/>
      <c r="CM42" s="61"/>
      <c r="CN42" s="61"/>
      <c r="CO42" s="61"/>
    </row>
    <row r="43" spans="1:1023 1030:2047 2054:3071 3078:4095 4102:5119 5126:6143 6150:7167 7174:8191 8198:9215 9222:10239 10246:11263 11270:12287 12294:13311 13318:14335 14342:15359 15366:16335" s="83" customFormat="1" ht="15" customHeight="1" thickBot="1">
      <c r="A43" s="62"/>
      <c r="B43" s="78" t="s">
        <v>100</v>
      </c>
      <c r="C43" s="79">
        <v>0</v>
      </c>
      <c r="D43" s="79">
        <f>1365+83122</f>
        <v>84487</v>
      </c>
      <c r="E43" s="79"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f>19771</f>
        <v>19771</v>
      </c>
      <c r="L43" s="79">
        <v>15585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5500</v>
      </c>
      <c r="U43" s="79">
        <v>5500</v>
      </c>
      <c r="V43" s="79">
        <v>173340</v>
      </c>
      <c r="W43" s="61"/>
      <c r="X43" s="61"/>
      <c r="Y43" s="61"/>
      <c r="Z43" s="61"/>
      <c r="AA43" s="61"/>
      <c r="AB43" s="61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  <c r="AX43" s="61"/>
      <c r="AY43" s="61"/>
      <c r="AZ43" s="61"/>
      <c r="BA43" s="61"/>
      <c r="BB43" s="61"/>
      <c r="BC43" s="61"/>
      <c r="BD43" s="61"/>
      <c r="BE43" s="61"/>
      <c r="BF43" s="61"/>
      <c r="BG43" s="61"/>
      <c r="BH43" s="61"/>
      <c r="BI43" s="61"/>
      <c r="BJ43" s="61"/>
      <c r="BK43" s="61"/>
      <c r="BL43" s="61"/>
      <c r="BM43" s="61"/>
      <c r="BN43" s="61"/>
      <c r="BO43" s="61"/>
      <c r="BP43" s="61"/>
      <c r="BQ43" s="61"/>
      <c r="BR43" s="61"/>
      <c r="BS43" s="61"/>
      <c r="BT43" s="61"/>
      <c r="BU43" s="61"/>
      <c r="BV43" s="61"/>
      <c r="BW43" s="61"/>
      <c r="BX43" s="61"/>
      <c r="BY43" s="61"/>
      <c r="BZ43" s="61"/>
      <c r="CA43" s="61"/>
      <c r="CB43" s="61"/>
      <c r="CC43" s="61"/>
      <c r="CD43" s="61"/>
      <c r="CE43" s="61"/>
      <c r="CF43" s="61"/>
      <c r="CG43" s="61"/>
      <c r="CH43" s="61"/>
      <c r="CI43" s="61"/>
      <c r="CJ43" s="61"/>
      <c r="CK43" s="61"/>
      <c r="CL43" s="61"/>
      <c r="CM43" s="61"/>
      <c r="CN43" s="61"/>
      <c r="CO43" s="61"/>
    </row>
    <row r="44" spans="1:1023 1030:2047 2054:3071 3078:4095 4102:5119 5126:6143 6150:7167 7174:8191 8198:9215 9222:10239 10246:11263 11270:12287 12294:13311 13318:14335 14342:15359 15366:16335" s="83" customFormat="1" ht="15" customHeight="1" thickBot="1">
      <c r="A44" s="62"/>
      <c r="B44" s="78" t="s">
        <v>323</v>
      </c>
      <c r="C44" s="79">
        <v>0</v>
      </c>
      <c r="D44" s="79">
        <v>0</v>
      </c>
      <c r="E44" s="79">
        <v>0</v>
      </c>
      <c r="F44" s="79">
        <v>438</v>
      </c>
      <c r="G44" s="79">
        <v>654</v>
      </c>
      <c r="H44" s="79">
        <v>0</v>
      </c>
      <c r="I44" s="79">
        <v>0</v>
      </c>
      <c r="J44" s="79">
        <v>0</v>
      </c>
      <c r="K44" s="79">
        <f>300</f>
        <v>300</v>
      </c>
      <c r="L44" s="79">
        <v>736</v>
      </c>
      <c r="M44" s="79">
        <v>0</v>
      </c>
      <c r="N44" s="79">
        <v>0</v>
      </c>
      <c r="O44" s="79">
        <v>0</v>
      </c>
      <c r="P44" s="79">
        <v>0</v>
      </c>
      <c r="Q44" s="79">
        <v>0</v>
      </c>
      <c r="R44" s="79">
        <v>0</v>
      </c>
      <c r="S44" s="79">
        <v>0</v>
      </c>
      <c r="T44" s="79">
        <v>0</v>
      </c>
      <c r="U44" s="79">
        <v>0</v>
      </c>
      <c r="V44" s="79">
        <v>0</v>
      </c>
      <c r="W44" s="61"/>
      <c r="X44" s="61"/>
      <c r="Y44" s="61"/>
      <c r="Z44" s="61"/>
      <c r="AA44" s="61"/>
      <c r="AB44" s="61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  <c r="AX44" s="61"/>
      <c r="AY44" s="61"/>
      <c r="AZ44" s="61"/>
      <c r="BA44" s="61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  <c r="BN44" s="61"/>
      <c r="BO44" s="61"/>
      <c r="BP44" s="61"/>
      <c r="BQ44" s="61"/>
      <c r="BR44" s="61"/>
      <c r="BS44" s="61"/>
      <c r="BT44" s="61"/>
      <c r="BU44" s="61"/>
      <c r="BV44" s="61"/>
      <c r="BW44" s="61"/>
      <c r="BX44" s="61"/>
      <c r="BY44" s="61"/>
      <c r="BZ44" s="61"/>
      <c r="CA44" s="61"/>
      <c r="CB44" s="61"/>
      <c r="CC44" s="61"/>
      <c r="CD44" s="61"/>
      <c r="CE44" s="61"/>
      <c r="CF44" s="61"/>
      <c r="CG44" s="61"/>
      <c r="CH44" s="61"/>
      <c r="CI44" s="61"/>
      <c r="CJ44" s="61"/>
      <c r="CK44" s="61"/>
      <c r="CL44" s="61"/>
      <c r="CM44" s="61"/>
      <c r="CN44" s="61"/>
      <c r="CO44" s="61"/>
    </row>
    <row r="45" spans="1:1023 1030:2047 2054:3071 3078:4095 4102:5119 5126:6143 6150:7167 7174:8191 8198:9215 9222:10239 10246:11263 11270:12287 12294:13311 13318:14335 14342:15359 15366:16335" s="83" customFormat="1" ht="15" customHeight="1" thickBot="1">
      <c r="A45" s="62"/>
      <c r="B45" s="78" t="s">
        <v>218</v>
      </c>
      <c r="C45" s="79">
        <v>53642</v>
      </c>
      <c r="D45" s="79">
        <v>46849</v>
      </c>
      <c r="E45" s="79">
        <v>49529</v>
      </c>
      <c r="F45" s="79">
        <v>56853</v>
      </c>
      <c r="G45" s="79">
        <v>50052</v>
      </c>
      <c r="H45" s="79">
        <v>45400</v>
      </c>
      <c r="I45" s="79">
        <f>43004</f>
        <v>43004</v>
      </c>
      <c r="J45" s="79">
        <f>47933</f>
        <v>47933</v>
      </c>
      <c r="K45" s="79">
        <f>40904</f>
        <v>40904</v>
      </c>
      <c r="L45" s="79">
        <v>30963</v>
      </c>
      <c r="M45" s="79">
        <v>28992</v>
      </c>
      <c r="N45" s="79">
        <v>39608</v>
      </c>
      <c r="O45" s="79">
        <v>35041</v>
      </c>
      <c r="P45" s="79">
        <v>25570</v>
      </c>
      <c r="Q45" s="79">
        <v>24628</v>
      </c>
      <c r="R45" s="79">
        <v>34161</v>
      </c>
      <c r="S45" s="79">
        <v>32480</v>
      </c>
      <c r="T45" s="79">
        <v>26492</v>
      </c>
      <c r="U45" s="79">
        <v>37127</v>
      </c>
      <c r="V45" s="79">
        <v>28870</v>
      </c>
      <c r="W45" s="61"/>
      <c r="X45" s="61"/>
      <c r="Y45" s="61"/>
      <c r="Z45" s="61"/>
      <c r="AA45" s="61"/>
      <c r="AB45" s="61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  <c r="AX45" s="61"/>
      <c r="AY45" s="61"/>
      <c r="AZ45" s="61"/>
      <c r="BA45" s="61"/>
      <c r="BB45" s="61"/>
      <c r="BC45" s="61"/>
      <c r="BD45" s="61"/>
      <c r="BE45" s="61"/>
      <c r="BF45" s="61"/>
      <c r="BG45" s="61"/>
      <c r="BH45" s="61"/>
      <c r="BI45" s="61"/>
      <c r="BJ45" s="61"/>
      <c r="BK45" s="61"/>
      <c r="BL45" s="61"/>
      <c r="BM45" s="61"/>
      <c r="BN45" s="61"/>
      <c r="BO45" s="61"/>
      <c r="BP45" s="61"/>
      <c r="BQ45" s="61"/>
      <c r="BR45" s="61"/>
      <c r="BS45" s="61"/>
      <c r="BT45" s="61"/>
      <c r="BU45" s="61"/>
      <c r="BV45" s="61"/>
      <c r="BW45" s="61"/>
      <c r="BX45" s="61"/>
      <c r="BY45" s="61"/>
      <c r="BZ45" s="61"/>
      <c r="CA45" s="61"/>
      <c r="CB45" s="61"/>
      <c r="CC45" s="61"/>
      <c r="CD45" s="61"/>
      <c r="CE45" s="61"/>
      <c r="CF45" s="61"/>
      <c r="CG45" s="61"/>
      <c r="CH45" s="61"/>
      <c r="CI45" s="61"/>
      <c r="CJ45" s="61"/>
      <c r="CK45" s="61"/>
      <c r="CL45" s="61"/>
      <c r="CM45" s="61"/>
      <c r="CN45" s="61"/>
      <c r="CO45" s="61"/>
    </row>
    <row r="46" spans="1:1023 1030:2047 2054:3071 3078:4095 4102:5119 5126:6143 6150:7167 7174:8191 8198:9215 9222:10239 10246:11263 11270:12287 12294:13311 13318:14335 14342:15359 15366:16335" s="83" customFormat="1" ht="15" customHeight="1" thickBot="1">
      <c r="A46" s="62"/>
      <c r="B46" s="78" t="s">
        <v>219</v>
      </c>
      <c r="C46" s="79">
        <v>19696</v>
      </c>
      <c r="D46" s="79">
        <v>21597</v>
      </c>
      <c r="E46" s="79">
        <v>28918</v>
      </c>
      <c r="F46" s="79">
        <v>28867</v>
      </c>
      <c r="G46" s="79">
        <v>26057</v>
      </c>
      <c r="H46" s="79">
        <v>26806</v>
      </c>
      <c r="I46" s="79">
        <f>25836</f>
        <v>25836</v>
      </c>
      <c r="J46" s="79">
        <f>14983</f>
        <v>14983</v>
      </c>
      <c r="K46" s="79">
        <f>20906</f>
        <v>20906</v>
      </c>
      <c r="L46" s="79">
        <v>28019</v>
      </c>
      <c r="M46" s="79">
        <v>22329</v>
      </c>
      <c r="N46" s="79">
        <v>22762</v>
      </c>
      <c r="O46" s="79">
        <v>32534</v>
      </c>
      <c r="P46" s="79">
        <v>23126</v>
      </c>
      <c r="Q46" s="79">
        <v>25213</v>
      </c>
      <c r="R46" s="79">
        <v>24694</v>
      </c>
      <c r="S46" s="79">
        <v>25660</v>
      </c>
      <c r="T46" s="79">
        <v>16403</v>
      </c>
      <c r="U46" s="79">
        <v>23573</v>
      </c>
      <c r="V46" s="79">
        <v>38451</v>
      </c>
      <c r="W46" s="61"/>
      <c r="X46" s="61"/>
      <c r="Y46" s="61"/>
      <c r="Z46" s="61"/>
      <c r="AA46" s="61"/>
      <c r="AB46" s="61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  <c r="AX46" s="61"/>
      <c r="AY46" s="61"/>
      <c r="AZ46" s="61"/>
      <c r="BA46" s="61"/>
      <c r="BB46" s="61"/>
      <c r="BC46" s="61"/>
      <c r="BD46" s="61"/>
      <c r="BE46" s="61"/>
      <c r="BF46" s="61"/>
      <c r="BG46" s="61"/>
      <c r="BH46" s="61"/>
      <c r="BI46" s="61"/>
      <c r="BJ46" s="61"/>
      <c r="BK46" s="61"/>
      <c r="BL46" s="61"/>
      <c r="BM46" s="61"/>
      <c r="BN46" s="61"/>
      <c r="BO46" s="61"/>
      <c r="BP46" s="61"/>
      <c r="BQ46" s="61"/>
      <c r="BR46" s="61"/>
      <c r="BS46" s="61"/>
      <c r="BT46" s="61"/>
      <c r="BU46" s="61"/>
      <c r="BV46" s="61"/>
      <c r="BW46" s="61"/>
      <c r="BX46" s="61"/>
      <c r="BY46" s="61"/>
      <c r="BZ46" s="61"/>
      <c r="CA46" s="61"/>
      <c r="CB46" s="61"/>
      <c r="CC46" s="61"/>
      <c r="CD46" s="61"/>
      <c r="CE46" s="61"/>
      <c r="CF46" s="61"/>
      <c r="CG46" s="61"/>
      <c r="CH46" s="61"/>
      <c r="CI46" s="61"/>
      <c r="CJ46" s="61"/>
      <c r="CK46" s="61"/>
      <c r="CL46" s="61"/>
      <c r="CM46" s="61"/>
      <c r="CN46" s="61"/>
      <c r="CO46" s="61"/>
    </row>
    <row r="47" spans="1:1023 1030:2047 2054:3071 3078:4095 4102:5119 5126:6143 6150:7167 7174:8191 8198:9215 9222:10239 10246:11263 11270:12287 12294:13311 13318:14335 14342:15359 15366:16335" s="83" customFormat="1" ht="15" customHeight="1" thickBot="1">
      <c r="A47" s="62"/>
      <c r="B47" s="78" t="s">
        <v>287</v>
      </c>
      <c r="C47" s="79">
        <v>166</v>
      </c>
      <c r="D47" s="79">
        <v>176</v>
      </c>
      <c r="E47" s="79">
        <v>185</v>
      </c>
      <c r="F47" s="79">
        <v>1842</v>
      </c>
      <c r="G47" s="79">
        <v>93</v>
      </c>
      <c r="H47" s="79">
        <v>106</v>
      </c>
      <c r="I47" s="79">
        <f>112</f>
        <v>112</v>
      </c>
      <c r="J47" s="79">
        <f>190</f>
        <v>190</v>
      </c>
      <c r="K47" s="79">
        <f>198</f>
        <v>198</v>
      </c>
      <c r="L47" s="79">
        <v>830</v>
      </c>
      <c r="M47" s="79">
        <v>2145</v>
      </c>
      <c r="N47" s="79">
        <v>131</v>
      </c>
      <c r="O47" s="79">
        <v>6548</v>
      </c>
      <c r="P47" s="79">
        <v>97</v>
      </c>
      <c r="Q47" s="79">
        <v>0</v>
      </c>
      <c r="R47" s="79">
        <v>0</v>
      </c>
      <c r="S47" s="79">
        <v>0</v>
      </c>
      <c r="T47" s="79">
        <v>0</v>
      </c>
      <c r="U47" s="79">
        <v>0</v>
      </c>
      <c r="V47" s="79">
        <v>0</v>
      </c>
      <c r="W47" s="61"/>
      <c r="X47" s="61"/>
      <c r="Y47" s="61"/>
      <c r="Z47" s="61"/>
      <c r="AA47" s="61"/>
      <c r="AB47" s="61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  <c r="AX47" s="61"/>
      <c r="AY47" s="61"/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  <c r="BN47" s="61"/>
      <c r="BO47" s="61"/>
      <c r="BP47" s="61"/>
      <c r="BQ47" s="61"/>
      <c r="BR47" s="61"/>
      <c r="BS47" s="61"/>
      <c r="BT47" s="61"/>
      <c r="BU47" s="61"/>
      <c r="BV47" s="61"/>
      <c r="BW47" s="61"/>
      <c r="BX47" s="61"/>
      <c r="BY47" s="61"/>
      <c r="BZ47" s="61"/>
      <c r="CA47" s="61"/>
      <c r="CB47" s="61"/>
      <c r="CC47" s="61"/>
      <c r="CD47" s="61"/>
      <c r="CE47" s="61"/>
      <c r="CF47" s="61"/>
      <c r="CG47" s="61"/>
      <c r="CH47" s="61"/>
      <c r="CI47" s="61"/>
      <c r="CJ47" s="61"/>
      <c r="CK47" s="61"/>
      <c r="CL47" s="61"/>
      <c r="CM47" s="61"/>
      <c r="CN47" s="61"/>
      <c r="CO47" s="61"/>
    </row>
    <row r="48" spans="1:1023 1030:2047 2054:3071 3078:4095 4102:5119 5126:6143 6150:7167 7174:8191 8198:9215 9222:10239 10246:11263 11270:12287 12294:13311 13318:14335 14342:15359 15366:16335" s="83" customFormat="1" ht="15" customHeight="1" thickBot="1">
      <c r="A48" s="62"/>
      <c r="B48" s="78" t="s">
        <v>220</v>
      </c>
      <c r="C48" s="79">
        <v>26332</v>
      </c>
      <c r="D48" s="79">
        <v>33118</v>
      </c>
      <c r="E48" s="79">
        <v>50452</v>
      </c>
      <c r="F48" s="79">
        <v>60252</v>
      </c>
      <c r="G48" s="79">
        <v>66717</v>
      </c>
      <c r="H48" s="79">
        <v>82339</v>
      </c>
      <c r="I48" s="79">
        <f>90883</f>
        <v>90883</v>
      </c>
      <c r="J48" s="79">
        <f>92634</f>
        <v>92634</v>
      </c>
      <c r="K48" s="79">
        <f>90369</f>
        <v>90369</v>
      </c>
      <c r="L48" s="79">
        <v>88656</v>
      </c>
      <c r="M48" s="79">
        <v>87724</v>
      </c>
      <c r="N48" s="79">
        <v>89443</v>
      </c>
      <c r="O48" s="79">
        <v>88158</v>
      </c>
      <c r="P48" s="79">
        <v>82901</v>
      </c>
      <c r="Q48" s="79">
        <v>78082</v>
      </c>
      <c r="R48" s="79">
        <v>74880</v>
      </c>
      <c r="S48" s="79">
        <v>96264</v>
      </c>
      <c r="T48" s="79">
        <v>86811</v>
      </c>
      <c r="U48" s="79">
        <v>74542</v>
      </c>
      <c r="V48" s="79">
        <v>73651</v>
      </c>
      <c r="W48" s="61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  <c r="AX48" s="61"/>
      <c r="AY48" s="61"/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  <c r="BN48" s="61"/>
      <c r="BO48" s="61"/>
      <c r="BP48" s="61"/>
      <c r="BQ48" s="61"/>
      <c r="BR48" s="61"/>
      <c r="BS48" s="61"/>
      <c r="BT48" s="61"/>
      <c r="BU48" s="61"/>
      <c r="BV48" s="61"/>
      <c r="BW48" s="61"/>
      <c r="BX48" s="61"/>
      <c r="BY48" s="61"/>
      <c r="BZ48" s="61"/>
      <c r="CA48" s="61"/>
      <c r="CB48" s="61"/>
      <c r="CC48" s="61"/>
      <c r="CD48" s="61"/>
      <c r="CE48" s="61"/>
      <c r="CF48" s="61"/>
      <c r="CG48" s="61"/>
      <c r="CH48" s="61"/>
      <c r="CI48" s="61"/>
      <c r="CJ48" s="61"/>
      <c r="CK48" s="61"/>
      <c r="CL48" s="61"/>
      <c r="CM48" s="61"/>
      <c r="CN48" s="61"/>
      <c r="CO48" s="61"/>
    </row>
    <row r="49" spans="1:93" s="83" customFormat="1" ht="15" customHeight="1" thickBot="1">
      <c r="A49" s="62"/>
      <c r="B49" s="78" t="s">
        <v>72</v>
      </c>
      <c r="C49" s="79">
        <f>9335+23115</f>
        <v>32450</v>
      </c>
      <c r="D49" s="79">
        <v>13138</v>
      </c>
      <c r="E49" s="79">
        <f>3646+62999</f>
        <v>66645</v>
      </c>
      <c r="F49" s="79">
        <v>65924</v>
      </c>
      <c r="G49" s="79">
        <f>37067+2316</f>
        <v>39383</v>
      </c>
      <c r="H49" s="79">
        <v>51152</v>
      </c>
      <c r="I49" s="79">
        <f>16188+49064</f>
        <v>65252</v>
      </c>
      <c r="J49" s="79">
        <f>19699+41282</f>
        <v>60981</v>
      </c>
      <c r="K49" s="79">
        <f>28711+14298</f>
        <v>43009</v>
      </c>
      <c r="L49" s="79">
        <f>17096+4188</f>
        <v>21284</v>
      </c>
      <c r="M49" s="79">
        <f>10269+7432</f>
        <v>17701</v>
      </c>
      <c r="N49" s="79">
        <f>12016+28789</f>
        <v>40805</v>
      </c>
      <c r="O49" s="79">
        <f>15597+6272</f>
        <v>21869</v>
      </c>
      <c r="P49" s="79">
        <f>6179+6934</f>
        <v>13113</v>
      </c>
      <c r="Q49" s="79">
        <f>10323+370</f>
        <v>10693</v>
      </c>
      <c r="R49" s="79">
        <f>7022+19873</f>
        <v>26895</v>
      </c>
      <c r="S49" s="79">
        <f>5692+6377</f>
        <v>12069</v>
      </c>
      <c r="T49" s="79">
        <v>5923</v>
      </c>
      <c r="U49" s="79">
        <f>9869+4457</f>
        <v>14326</v>
      </c>
      <c r="V49" s="79">
        <v>15409</v>
      </c>
      <c r="W49" s="61"/>
      <c r="X49" s="61"/>
      <c r="Y49" s="61"/>
      <c r="Z49" s="61"/>
      <c r="AA49" s="61"/>
      <c r="AB49" s="61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  <c r="AX49" s="61"/>
      <c r="AY49" s="61"/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61"/>
      <c r="BR49" s="61"/>
      <c r="BS49" s="61"/>
      <c r="BT49" s="61"/>
      <c r="BU49" s="61"/>
      <c r="BV49" s="61"/>
      <c r="BW49" s="61"/>
      <c r="BX49" s="61"/>
      <c r="BY49" s="61"/>
      <c r="BZ49" s="61"/>
      <c r="CA49" s="61"/>
      <c r="CB49" s="61"/>
      <c r="CC49" s="61"/>
      <c r="CD49" s="61"/>
      <c r="CE49" s="61"/>
      <c r="CF49" s="61"/>
      <c r="CG49" s="61"/>
      <c r="CH49" s="61"/>
      <c r="CI49" s="61"/>
      <c r="CJ49" s="61"/>
      <c r="CK49" s="61"/>
      <c r="CL49" s="61"/>
      <c r="CM49" s="61"/>
      <c r="CN49" s="61"/>
      <c r="CO49" s="61"/>
    </row>
    <row r="50" spans="1:93" s="83" customFormat="1" ht="5.25" customHeight="1" thickBot="1">
      <c r="A50" s="62"/>
      <c r="B50" s="6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61"/>
      <c r="X50" s="61"/>
      <c r="Y50" s="61"/>
      <c r="Z50" s="61"/>
      <c r="AA50" s="61"/>
      <c r="AB50" s="61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  <c r="AX50" s="61"/>
      <c r="AY50" s="61"/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  <c r="BW50" s="61"/>
      <c r="BX50" s="61"/>
      <c r="BY50" s="61"/>
      <c r="BZ50" s="61"/>
      <c r="CA50" s="61"/>
      <c r="CB50" s="61"/>
      <c r="CC50" s="61"/>
      <c r="CD50" s="61"/>
      <c r="CE50" s="61"/>
      <c r="CF50" s="61"/>
      <c r="CG50" s="61"/>
      <c r="CH50" s="61"/>
      <c r="CI50" s="61"/>
      <c r="CJ50" s="61"/>
      <c r="CK50" s="61"/>
      <c r="CL50" s="61"/>
      <c r="CM50" s="61"/>
      <c r="CN50" s="61"/>
      <c r="CO50" s="61"/>
    </row>
    <row r="51" spans="1:93" s="83" customFormat="1" ht="15" customHeight="1" thickBot="1">
      <c r="A51" s="62"/>
      <c r="B51" s="63" t="s">
        <v>98</v>
      </c>
      <c r="C51" s="64">
        <f t="shared" ref="C51" si="5">SUM(C52:C61)</f>
        <v>2623756</v>
      </c>
      <c r="D51" s="64">
        <f>SUM(D52:D61)</f>
        <v>2596751</v>
      </c>
      <c r="E51" s="64">
        <f>SUM(E52:E61)</f>
        <v>2286018</v>
      </c>
      <c r="F51" s="64">
        <f>SUM(F52:F61)</f>
        <v>2104359</v>
      </c>
      <c r="G51" s="64">
        <f t="shared" ref="G51:V51" si="6">SUM(G52:G61)</f>
        <v>2095347</v>
      </c>
      <c r="H51" s="64">
        <f t="shared" si="6"/>
        <v>2028775.3189139999</v>
      </c>
      <c r="I51" s="64">
        <f t="shared" si="6"/>
        <v>1867906</v>
      </c>
      <c r="J51" s="64">
        <f t="shared" si="6"/>
        <v>1948057</v>
      </c>
      <c r="K51" s="64">
        <f t="shared" si="6"/>
        <v>1692499</v>
      </c>
      <c r="L51" s="64">
        <f t="shared" si="6"/>
        <v>1620008.8</v>
      </c>
      <c r="M51" s="64">
        <f t="shared" si="6"/>
        <v>940183.23555200011</v>
      </c>
      <c r="N51" s="64">
        <f t="shared" si="6"/>
        <v>1049359.514402</v>
      </c>
      <c r="O51" s="64">
        <f t="shared" si="6"/>
        <v>1063544</v>
      </c>
      <c r="P51" s="64">
        <f t="shared" si="6"/>
        <v>1045296</v>
      </c>
      <c r="Q51" s="64">
        <f t="shared" si="6"/>
        <v>932652.8</v>
      </c>
      <c r="R51" s="64">
        <f t="shared" si="6"/>
        <v>1032322</v>
      </c>
      <c r="S51" s="64">
        <f t="shared" si="6"/>
        <v>1138563</v>
      </c>
      <c r="T51" s="64">
        <f t="shared" si="6"/>
        <v>1099412</v>
      </c>
      <c r="U51" s="64">
        <f t="shared" si="6"/>
        <v>983856</v>
      </c>
      <c r="V51" s="64">
        <f t="shared" si="6"/>
        <v>1784006</v>
      </c>
      <c r="W51" s="61"/>
      <c r="X51" s="61"/>
      <c r="Y51" s="61"/>
      <c r="Z51" s="61"/>
      <c r="AA51" s="61"/>
      <c r="AB51" s="61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  <c r="AX51" s="61"/>
      <c r="AY51" s="61"/>
      <c r="AZ51" s="61"/>
      <c r="BA51" s="61"/>
      <c r="BB51" s="61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  <c r="BN51" s="61"/>
      <c r="BO51" s="61"/>
      <c r="BP51" s="61"/>
      <c r="BQ51" s="61"/>
      <c r="BR51" s="61"/>
      <c r="BS51" s="61"/>
      <c r="BT51" s="61"/>
      <c r="BU51" s="61"/>
      <c r="BV51" s="61"/>
      <c r="BW51" s="61"/>
      <c r="BX51" s="61"/>
      <c r="BY51" s="61"/>
      <c r="BZ51" s="61"/>
      <c r="CA51" s="61"/>
      <c r="CB51" s="61"/>
      <c r="CC51" s="61"/>
      <c r="CD51" s="61"/>
      <c r="CE51" s="61"/>
      <c r="CF51" s="61"/>
      <c r="CG51" s="61"/>
      <c r="CH51" s="61"/>
      <c r="CI51" s="61"/>
      <c r="CJ51" s="61"/>
      <c r="CK51" s="61"/>
      <c r="CL51" s="61"/>
      <c r="CM51" s="61"/>
      <c r="CN51" s="61"/>
      <c r="CO51" s="61"/>
    </row>
    <row r="52" spans="1:93" s="83" customFormat="1" ht="15" customHeight="1" thickBot="1">
      <c r="A52" s="62"/>
      <c r="B52" s="78" t="s">
        <v>260</v>
      </c>
      <c r="C52" s="79"/>
      <c r="D52" s="79">
        <v>0</v>
      </c>
      <c r="E52" s="79">
        <v>0</v>
      </c>
      <c r="F52" s="79">
        <v>0</v>
      </c>
      <c r="G52" s="79">
        <v>0</v>
      </c>
      <c r="H52" s="79">
        <v>0</v>
      </c>
      <c r="I52" s="79">
        <v>0</v>
      </c>
      <c r="J52" s="79">
        <f>13443</f>
        <v>13443</v>
      </c>
      <c r="K52" s="79">
        <f>8500</f>
        <v>8500</v>
      </c>
      <c r="L52" s="79">
        <v>8500</v>
      </c>
      <c r="M52" s="79">
        <v>8596.5629999999946</v>
      </c>
      <c r="N52" s="79">
        <v>31392.562999999995</v>
      </c>
      <c r="O52" s="79">
        <v>17734</v>
      </c>
      <c r="P52" s="79">
        <v>18006</v>
      </c>
      <c r="Q52" s="79">
        <v>18285</v>
      </c>
      <c r="R52" s="79">
        <v>26968</v>
      </c>
      <c r="S52" s="79">
        <v>25850</v>
      </c>
      <c r="T52" s="79">
        <v>25500</v>
      </c>
      <c r="U52" s="79">
        <v>200</v>
      </c>
      <c r="V52" s="79">
        <v>135030</v>
      </c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61"/>
      <c r="BW52" s="61"/>
      <c r="BX52" s="61"/>
      <c r="BY52" s="61"/>
      <c r="BZ52" s="61"/>
      <c r="CA52" s="61"/>
      <c r="CB52" s="61"/>
      <c r="CC52" s="61"/>
      <c r="CD52" s="61"/>
      <c r="CE52" s="61"/>
      <c r="CF52" s="61"/>
      <c r="CG52" s="61"/>
      <c r="CH52" s="61"/>
      <c r="CI52" s="61"/>
      <c r="CJ52" s="61"/>
      <c r="CK52" s="61"/>
      <c r="CL52" s="61"/>
      <c r="CM52" s="61"/>
      <c r="CN52" s="61"/>
      <c r="CO52" s="61"/>
    </row>
    <row r="53" spans="1:93" s="83" customFormat="1" ht="15" customHeight="1" thickBot="1">
      <c r="A53" s="62"/>
      <c r="B53" s="78" t="s">
        <v>262</v>
      </c>
      <c r="C53" s="79">
        <v>1304980</v>
      </c>
      <c r="D53" s="79">
        <v>1276116</v>
      </c>
      <c r="E53" s="79">
        <v>1075690</v>
      </c>
      <c r="F53" s="79">
        <v>930924</v>
      </c>
      <c r="G53" s="79">
        <v>906296</v>
      </c>
      <c r="H53" s="79">
        <v>826471</v>
      </c>
      <c r="I53" s="79">
        <f>804962</f>
        <v>804962</v>
      </c>
      <c r="J53" s="79">
        <f>729310</f>
        <v>729310</v>
      </c>
      <c r="K53" s="79">
        <f>506480</f>
        <v>506480</v>
      </c>
      <c r="L53" s="79">
        <v>496524.4</v>
      </c>
      <c r="M53" s="79">
        <v>235776.72115000011</v>
      </c>
      <c r="N53" s="79">
        <v>294342</v>
      </c>
      <c r="O53" s="79">
        <v>300895</v>
      </c>
      <c r="P53" s="79">
        <v>317084</v>
      </c>
      <c r="Q53" s="79">
        <v>239707</v>
      </c>
      <c r="R53" s="79">
        <v>285449</v>
      </c>
      <c r="S53" s="79">
        <v>347059</v>
      </c>
      <c r="T53" s="79">
        <v>293275</v>
      </c>
      <c r="U53" s="79">
        <f>157436+29900</f>
        <v>187336</v>
      </c>
      <c r="V53" s="79">
        <f>885706+23</f>
        <v>885729</v>
      </c>
      <c r="W53" s="61"/>
      <c r="X53" s="61"/>
      <c r="Y53" s="61"/>
      <c r="Z53" s="61"/>
      <c r="AA53" s="61"/>
      <c r="AB53" s="61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  <c r="AX53" s="61"/>
      <c r="AY53" s="61"/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61"/>
      <c r="CA53" s="61"/>
      <c r="CB53" s="61"/>
      <c r="CC53" s="61"/>
      <c r="CD53" s="61"/>
      <c r="CE53" s="61"/>
      <c r="CF53" s="61"/>
      <c r="CG53" s="61"/>
      <c r="CH53" s="61"/>
      <c r="CI53" s="61"/>
      <c r="CJ53" s="61"/>
      <c r="CK53" s="61"/>
      <c r="CL53" s="61"/>
      <c r="CM53" s="61"/>
      <c r="CN53" s="61"/>
      <c r="CO53" s="61"/>
    </row>
    <row r="54" spans="1:93" s="83" customFormat="1" ht="15" customHeight="1" thickBot="1">
      <c r="A54" s="62"/>
      <c r="B54" s="78" t="s">
        <v>159</v>
      </c>
      <c r="C54" s="79">
        <v>163928</v>
      </c>
      <c r="D54" s="79">
        <v>159895</v>
      </c>
      <c r="E54" s="79">
        <v>168702</v>
      </c>
      <c r="F54" s="79">
        <v>170762</v>
      </c>
      <c r="G54" s="79">
        <v>159459</v>
      </c>
      <c r="H54" s="79">
        <v>155745</v>
      </c>
      <c r="I54" s="79">
        <f>139606</f>
        <v>139606</v>
      </c>
      <c r="J54" s="79">
        <f>136242</f>
        <v>136242</v>
      </c>
      <c r="K54" s="79">
        <f>116387</f>
        <v>116387</v>
      </c>
      <c r="L54" s="79">
        <v>102412.4</v>
      </c>
      <c r="M54" s="79">
        <v>74425</v>
      </c>
      <c r="N54" s="79">
        <v>73574</v>
      </c>
      <c r="O54" s="79">
        <v>61502</v>
      </c>
      <c r="P54" s="79">
        <v>64030</v>
      </c>
      <c r="Q54" s="79">
        <v>61456</v>
      </c>
      <c r="R54" s="79">
        <v>67342</v>
      </c>
      <c r="S54" s="79">
        <v>70391</v>
      </c>
      <c r="T54" s="79">
        <v>61352</v>
      </c>
      <c r="U54" s="79">
        <v>75582</v>
      </c>
      <c r="V54" s="79">
        <v>0</v>
      </c>
      <c r="W54" s="61"/>
      <c r="X54" s="61"/>
      <c r="Y54" s="61"/>
      <c r="Z54" s="61"/>
      <c r="AA54" s="61"/>
      <c r="AB54" s="61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  <c r="AX54" s="61"/>
      <c r="AY54" s="61"/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  <c r="BM54" s="61"/>
      <c r="BN54" s="61"/>
      <c r="BO54" s="61"/>
      <c r="BP54" s="61"/>
      <c r="BQ54" s="61"/>
      <c r="BR54" s="61"/>
      <c r="BS54" s="61"/>
      <c r="BT54" s="61"/>
      <c r="BU54" s="61"/>
      <c r="BV54" s="61"/>
      <c r="BW54" s="61"/>
      <c r="BX54" s="61"/>
      <c r="BY54" s="61"/>
      <c r="BZ54" s="61"/>
      <c r="CA54" s="61"/>
      <c r="CB54" s="61"/>
      <c r="CC54" s="61"/>
      <c r="CD54" s="61"/>
      <c r="CE54" s="61"/>
      <c r="CF54" s="61"/>
      <c r="CG54" s="61"/>
      <c r="CH54" s="61"/>
      <c r="CI54" s="61"/>
      <c r="CJ54" s="61"/>
      <c r="CK54" s="61"/>
      <c r="CL54" s="61"/>
      <c r="CM54" s="61"/>
      <c r="CN54" s="61"/>
      <c r="CO54" s="61"/>
    </row>
    <row r="55" spans="1:93" s="83" customFormat="1" ht="15" customHeight="1" thickBot="1">
      <c r="A55" s="62"/>
      <c r="B55" s="78" t="s">
        <v>70</v>
      </c>
      <c r="C55" s="79">
        <v>220436</v>
      </c>
      <c r="D55" s="79">
        <v>244404</v>
      </c>
      <c r="E55" s="79">
        <v>237217</v>
      </c>
      <c r="F55" s="79">
        <v>233211</v>
      </c>
      <c r="G55" s="79">
        <v>238745</v>
      </c>
      <c r="H55" s="79">
        <v>132877</v>
      </c>
      <c r="I55" s="79">
        <f>82618</f>
        <v>82618</v>
      </c>
      <c r="J55" s="79">
        <f>77225</f>
        <v>77225</v>
      </c>
      <c r="K55" s="79">
        <f>39966</f>
        <v>39966</v>
      </c>
      <c r="L55" s="79">
        <v>48481</v>
      </c>
      <c r="M55" s="79">
        <v>30411</v>
      </c>
      <c r="N55" s="79">
        <v>39065</v>
      </c>
      <c r="O55" s="79">
        <v>54556</v>
      </c>
      <c r="P55" s="79">
        <v>37213</v>
      </c>
      <c r="Q55" s="79">
        <v>30735</v>
      </c>
      <c r="R55" s="79">
        <v>33816</v>
      </c>
      <c r="S55" s="79">
        <v>42290</v>
      </c>
      <c r="T55" s="79">
        <v>45435</v>
      </c>
      <c r="U55" s="79">
        <v>0</v>
      </c>
      <c r="V55" s="79">
        <v>0</v>
      </c>
      <c r="W55" s="61"/>
      <c r="X55" s="61"/>
      <c r="Y55" s="61"/>
      <c r="Z55" s="61"/>
      <c r="AA55" s="61"/>
      <c r="AB55" s="61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  <c r="AX55" s="61"/>
      <c r="AY55" s="61"/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61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  <c r="CI55" s="61"/>
      <c r="CJ55" s="61"/>
      <c r="CK55" s="61"/>
      <c r="CL55" s="61"/>
      <c r="CM55" s="61"/>
      <c r="CN55" s="61"/>
      <c r="CO55" s="61"/>
    </row>
    <row r="56" spans="1:93" s="83" customFormat="1" ht="15" customHeight="1" thickBot="1">
      <c r="A56" s="62"/>
      <c r="B56" s="78" t="s">
        <v>374</v>
      </c>
      <c r="C56" s="79">
        <v>148511</v>
      </c>
      <c r="D56" s="79">
        <f>147853+6078</f>
        <v>153931</v>
      </c>
      <c r="E56" s="79">
        <v>0</v>
      </c>
      <c r="F56" s="79">
        <v>0</v>
      </c>
      <c r="G56" s="79">
        <v>0</v>
      </c>
      <c r="H56" s="79">
        <v>0</v>
      </c>
      <c r="I56" s="79">
        <v>0</v>
      </c>
      <c r="J56" s="79">
        <v>0</v>
      </c>
      <c r="K56" s="79">
        <v>0</v>
      </c>
      <c r="L56" s="79">
        <v>0</v>
      </c>
      <c r="M56" s="79">
        <v>0</v>
      </c>
      <c r="N56" s="79">
        <v>0</v>
      </c>
      <c r="O56" s="79">
        <v>0</v>
      </c>
      <c r="P56" s="79">
        <v>0</v>
      </c>
      <c r="Q56" s="79">
        <v>0</v>
      </c>
      <c r="R56" s="79">
        <v>0</v>
      </c>
      <c r="S56" s="79">
        <v>0</v>
      </c>
      <c r="T56" s="79">
        <v>0</v>
      </c>
      <c r="U56" s="79">
        <v>0</v>
      </c>
      <c r="V56" s="79">
        <v>0</v>
      </c>
      <c r="W56" s="61"/>
      <c r="X56" s="61"/>
      <c r="Y56" s="61"/>
      <c r="Z56" s="61"/>
      <c r="AA56" s="61"/>
      <c r="AB56" s="61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</row>
    <row r="57" spans="1:93" s="83" customFormat="1" ht="15" customHeight="1" thickBot="1">
      <c r="A57" s="62"/>
      <c r="B57" s="78" t="s">
        <v>261</v>
      </c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9">
        <v>0</v>
      </c>
      <c r="I57" s="79">
        <v>0</v>
      </c>
      <c r="J57" s="79">
        <f>20827</f>
        <v>20827</v>
      </c>
      <c r="K57" s="79">
        <f>24156</f>
        <v>24156</v>
      </c>
      <c r="L57" s="79">
        <v>20025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33</v>
      </c>
      <c r="T57" s="79">
        <v>11033</v>
      </c>
      <c r="U57" s="79">
        <v>11033</v>
      </c>
      <c r="V57" s="79">
        <v>49370</v>
      </c>
      <c r="W57" s="61"/>
      <c r="X57" s="61"/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  <c r="CM57" s="61"/>
      <c r="CN57" s="61"/>
      <c r="CO57" s="61"/>
    </row>
    <row r="58" spans="1:93" s="83" customFormat="1" ht="15" customHeight="1" thickBot="1">
      <c r="A58" s="62"/>
      <c r="B58" s="78" t="s">
        <v>220</v>
      </c>
      <c r="C58" s="79">
        <v>38567</v>
      </c>
      <c r="D58" s="79">
        <v>35542</v>
      </c>
      <c r="E58" s="79">
        <v>38768</v>
      </c>
      <c r="F58" s="79">
        <v>42861</v>
      </c>
      <c r="G58" s="79">
        <v>51238</v>
      </c>
      <c r="H58" s="79">
        <v>64209</v>
      </c>
      <c r="I58" s="79">
        <f>76696</f>
        <v>76696</v>
      </c>
      <c r="J58" s="79">
        <f>188931</f>
        <v>188931</v>
      </c>
      <c r="K58" s="79">
        <f>206877</f>
        <v>206877</v>
      </c>
      <c r="L58" s="79">
        <v>224054</v>
      </c>
      <c r="M58" s="79">
        <v>240283</v>
      </c>
      <c r="N58" s="79">
        <v>260324</v>
      </c>
      <c r="O58" s="79">
        <v>279399</v>
      </c>
      <c r="P58" s="79">
        <v>299138</v>
      </c>
      <c r="Q58" s="79">
        <v>318583</v>
      </c>
      <c r="R58" s="79">
        <v>337880</v>
      </c>
      <c r="S58" s="79">
        <v>367190</v>
      </c>
      <c r="T58" s="79">
        <v>384781</v>
      </c>
      <c r="U58" s="79">
        <v>412736</v>
      </c>
      <c r="V58" s="79">
        <v>420886</v>
      </c>
      <c r="W58" s="61"/>
      <c r="X58" s="61"/>
      <c r="Y58" s="61"/>
      <c r="Z58" s="61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  <c r="AX58" s="61"/>
      <c r="AY58" s="61"/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61"/>
      <c r="BW58" s="61"/>
      <c r="BX58" s="61"/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  <c r="CL58" s="61"/>
      <c r="CM58" s="61"/>
      <c r="CN58" s="61"/>
      <c r="CO58" s="61"/>
    </row>
    <row r="59" spans="1:93" ht="15" customHeight="1" thickBot="1">
      <c r="A59" s="58"/>
      <c r="B59" s="59" t="s">
        <v>345</v>
      </c>
      <c r="C59" s="79">
        <v>33469</v>
      </c>
      <c r="D59" s="79">
        <v>36043</v>
      </c>
      <c r="E59" s="79">
        <v>63692</v>
      </c>
      <c r="F59" s="79">
        <v>20954</v>
      </c>
      <c r="G59" s="79">
        <v>21130</v>
      </c>
      <c r="H59" s="79">
        <v>19039</v>
      </c>
      <c r="I59" s="79">
        <f>29277</f>
        <v>29277</v>
      </c>
      <c r="J59" s="79">
        <f>24253</f>
        <v>24253</v>
      </c>
      <c r="K59" s="79">
        <f>24976</f>
        <v>24976</v>
      </c>
      <c r="L59" s="79">
        <v>24142</v>
      </c>
      <c r="M59" s="79">
        <v>29067</v>
      </c>
      <c r="N59" s="79">
        <v>26745</v>
      </c>
      <c r="O59" s="79">
        <v>26214</v>
      </c>
      <c r="P59" s="79">
        <v>29841</v>
      </c>
      <c r="Q59" s="79">
        <v>31191</v>
      </c>
      <c r="R59" s="79">
        <v>33633</v>
      </c>
      <c r="S59" s="79">
        <v>39867</v>
      </c>
      <c r="T59" s="79">
        <v>40260</v>
      </c>
      <c r="U59" s="79">
        <v>43934</v>
      </c>
      <c r="V59" s="79">
        <v>46562</v>
      </c>
    </row>
    <row r="60" spans="1:93" s="83" customFormat="1" ht="15" customHeight="1" thickBot="1">
      <c r="A60" s="62"/>
      <c r="B60" s="78" t="s">
        <v>265</v>
      </c>
      <c r="C60" s="79">
        <f>8+684704</f>
        <v>684712</v>
      </c>
      <c r="D60" s="79">
        <f>684704+26</f>
        <v>684730</v>
      </c>
      <c r="E60" s="79">
        <f>45+684764</f>
        <v>684809</v>
      </c>
      <c r="F60" s="79">
        <f>63+684764</f>
        <v>684827</v>
      </c>
      <c r="G60" s="79">
        <v>684764</v>
      </c>
      <c r="H60" s="79">
        <v>790053.31891399994</v>
      </c>
      <c r="I60" s="79">
        <f>691640</f>
        <v>691640</v>
      </c>
      <c r="J60" s="79">
        <f>697460</f>
        <v>697460</v>
      </c>
      <c r="K60" s="79">
        <f>700682</f>
        <v>700682</v>
      </c>
      <c r="L60" s="79">
        <v>685844</v>
      </c>
      <c r="M60" s="79">
        <v>312061.95140200004</v>
      </c>
      <c r="N60" s="79">
        <v>319154.95140200004</v>
      </c>
      <c r="O60" s="79">
        <v>318484</v>
      </c>
      <c r="P60" s="79">
        <v>275237</v>
      </c>
      <c r="Q60" s="79">
        <v>227957.4</v>
      </c>
      <c r="R60" s="79">
        <v>242505</v>
      </c>
      <c r="S60" s="79">
        <v>241164</v>
      </c>
      <c r="T60" s="79">
        <v>237776</v>
      </c>
      <c r="U60" s="79">
        <v>253035</v>
      </c>
      <c r="V60" s="79">
        <v>246429</v>
      </c>
      <c r="W60" s="61"/>
      <c r="X60" s="61"/>
      <c r="Y60" s="61"/>
      <c r="Z60" s="61"/>
      <c r="AA60" s="61"/>
      <c r="AB60" s="61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  <c r="AX60" s="61"/>
      <c r="AY60" s="61"/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  <c r="BN60" s="61"/>
      <c r="BO60" s="61"/>
      <c r="BP60" s="61"/>
      <c r="BQ60" s="61"/>
      <c r="BR60" s="61"/>
      <c r="BS60" s="61"/>
      <c r="BT60" s="61"/>
      <c r="BU60" s="61"/>
      <c r="BV60" s="61"/>
      <c r="BW60" s="61"/>
      <c r="BX60" s="61"/>
      <c r="BY60" s="61"/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1"/>
      <c r="CL60" s="61"/>
      <c r="CM60" s="61"/>
      <c r="CN60" s="61"/>
      <c r="CO60" s="61"/>
    </row>
    <row r="61" spans="1:93" s="83" customFormat="1" ht="15" customHeight="1" thickBot="1">
      <c r="A61" s="62"/>
      <c r="B61" s="78" t="s">
        <v>72</v>
      </c>
      <c r="C61" s="79">
        <f>6090+23063</f>
        <v>29153</v>
      </c>
      <c r="D61" s="79">
        <v>6090</v>
      </c>
      <c r="E61" s="79">
        <v>17140</v>
      </c>
      <c r="F61" s="79">
        <v>20820</v>
      </c>
      <c r="G61" s="79">
        <v>33715</v>
      </c>
      <c r="H61" s="79">
        <v>40381</v>
      </c>
      <c r="I61" s="79">
        <f>14665+28442</f>
        <v>43107</v>
      </c>
      <c r="J61" s="79">
        <f>10001+13729+36636</f>
        <v>60366</v>
      </c>
      <c r="K61" s="79">
        <f>11067+225+13729+39454</f>
        <v>64475</v>
      </c>
      <c r="L61" s="79">
        <f>9562+464</f>
        <v>10026</v>
      </c>
      <c r="M61" s="79">
        <v>9562</v>
      </c>
      <c r="N61" s="79">
        <v>4762</v>
      </c>
      <c r="O61" s="79">
        <v>4760</v>
      </c>
      <c r="P61" s="79">
        <v>4747</v>
      </c>
      <c r="Q61" s="79">
        <v>4738.3999999999996</v>
      </c>
      <c r="R61" s="79">
        <v>4729</v>
      </c>
      <c r="S61" s="79">
        <v>4719</v>
      </c>
      <c r="T61" s="79">
        <v>0</v>
      </c>
      <c r="U61" s="79">
        <v>0</v>
      </c>
      <c r="V61" s="79">
        <v>0</v>
      </c>
      <c r="W61" s="61"/>
      <c r="X61" s="61"/>
      <c r="Y61" s="61"/>
      <c r="Z61" s="61"/>
      <c r="AA61" s="61"/>
      <c r="AB61" s="61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  <c r="AX61" s="61"/>
      <c r="AY61" s="61"/>
      <c r="AZ61" s="61"/>
      <c r="BA61" s="61"/>
      <c r="BB61" s="61"/>
      <c r="BC61" s="61"/>
      <c r="BD61" s="61"/>
      <c r="BE61" s="61"/>
      <c r="BF61" s="61"/>
      <c r="BG61" s="61"/>
      <c r="BH61" s="61"/>
      <c r="BI61" s="61"/>
      <c r="BJ61" s="61"/>
      <c r="BK61" s="61"/>
      <c r="BL61" s="61"/>
      <c r="BM61" s="61"/>
      <c r="BN61" s="61"/>
      <c r="BO61" s="61"/>
      <c r="BP61" s="61"/>
      <c r="BQ61" s="61"/>
      <c r="BR61" s="61"/>
      <c r="BS61" s="61"/>
      <c r="BT61" s="61"/>
      <c r="BU61" s="61"/>
      <c r="BV61" s="61"/>
      <c r="BW61" s="61"/>
      <c r="BX61" s="61"/>
      <c r="BY61" s="61"/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</row>
    <row r="62" spans="1:93" s="83" customFormat="1" ht="15" customHeight="1" thickBot="1">
      <c r="A62" s="62"/>
      <c r="B62" s="63"/>
      <c r="C62" s="64"/>
      <c r="D62" s="64"/>
      <c r="E62" s="64"/>
      <c r="F62" s="64"/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1"/>
      <c r="X62" s="61"/>
      <c r="Y62" s="61"/>
      <c r="Z62" s="61"/>
      <c r="AA62" s="61"/>
      <c r="AB62" s="61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  <c r="BW62" s="61"/>
      <c r="BX62" s="61"/>
      <c r="BY62" s="61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</row>
    <row r="63" spans="1:93" s="83" customFormat="1" ht="15" customHeight="1" thickBot="1">
      <c r="A63" s="62"/>
      <c r="B63" s="63" t="s">
        <v>73</v>
      </c>
      <c r="C63" s="64">
        <f t="shared" ref="C63:K63" si="7">SUM(C64:C67)</f>
        <v>3272481</v>
      </c>
      <c r="D63" s="64">
        <f t="shared" si="7"/>
        <v>3306840</v>
      </c>
      <c r="E63" s="64">
        <f t="shared" si="7"/>
        <v>3426909</v>
      </c>
      <c r="F63" s="64">
        <f t="shared" si="7"/>
        <v>3498281</v>
      </c>
      <c r="G63" s="64">
        <f t="shared" si="7"/>
        <v>3444146</v>
      </c>
      <c r="H63" s="64">
        <f t="shared" si="7"/>
        <v>2843533.084086</v>
      </c>
      <c r="I63" s="64">
        <f t="shared" si="7"/>
        <v>2517152</v>
      </c>
      <c r="J63" s="64">
        <f t="shared" si="7"/>
        <v>2430325</v>
      </c>
      <c r="K63" s="64">
        <f t="shared" si="7"/>
        <v>2348471</v>
      </c>
      <c r="L63" s="64">
        <f t="shared" ref="L63:V63" si="8">SUM(L64:L67)</f>
        <v>2294994.3594015203</v>
      </c>
      <c r="M63" s="64">
        <f t="shared" si="8"/>
        <v>998948.54344800021</v>
      </c>
      <c r="N63" s="64">
        <f t="shared" si="8"/>
        <v>935256.26459799986</v>
      </c>
      <c r="O63" s="64">
        <f t="shared" si="8"/>
        <v>831943</v>
      </c>
      <c r="P63" s="64">
        <f t="shared" si="8"/>
        <v>644420</v>
      </c>
      <c r="Q63" s="64">
        <f t="shared" si="8"/>
        <v>474963.5</v>
      </c>
      <c r="R63" s="64">
        <f t="shared" si="8"/>
        <v>437059</v>
      </c>
      <c r="S63" s="64">
        <f t="shared" si="8"/>
        <v>340239</v>
      </c>
      <c r="T63" s="64">
        <f t="shared" si="8"/>
        <v>328854</v>
      </c>
      <c r="U63" s="64">
        <f t="shared" si="8"/>
        <v>376930</v>
      </c>
      <c r="V63" s="64">
        <f t="shared" si="8"/>
        <v>-2562129</v>
      </c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</row>
    <row r="64" spans="1:93" s="83" customFormat="1" ht="15" customHeight="1" thickBot="1">
      <c r="A64" s="62"/>
      <c r="B64" s="78" t="s">
        <v>263</v>
      </c>
      <c r="C64" s="79">
        <v>901394</v>
      </c>
      <c r="D64" s="79">
        <v>901394</v>
      </c>
      <c r="E64" s="79">
        <v>901394</v>
      </c>
      <c r="F64" s="79">
        <v>901394</v>
      </c>
      <c r="G64" s="79">
        <v>1158029</v>
      </c>
      <c r="H64" s="79">
        <v>261394</v>
      </c>
      <c r="I64" s="79">
        <f>3741459</f>
        <v>3741459</v>
      </c>
      <c r="J64" s="79">
        <f>3909982</f>
        <v>3909982</v>
      </c>
      <c r="K64" s="79">
        <f>3798208</f>
        <v>3798208</v>
      </c>
      <c r="L64" s="79">
        <v>3678366.7972400002</v>
      </c>
      <c r="M64" s="79">
        <v>3573832.7158499998</v>
      </c>
      <c r="N64" s="79">
        <v>3514466.4369999999</v>
      </c>
      <c r="O64" s="79">
        <v>3465682</v>
      </c>
      <c r="P64" s="79">
        <v>3425756</v>
      </c>
      <c r="Q64" s="79">
        <v>3392328</v>
      </c>
      <c r="R64" s="79">
        <v>3359386</v>
      </c>
      <c r="S64" s="79">
        <v>3324350</v>
      </c>
      <c r="T64" s="79">
        <v>3283966</v>
      </c>
      <c r="U64" s="79">
        <v>3238121</v>
      </c>
      <c r="V64" s="79">
        <v>255120</v>
      </c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</row>
    <row r="65" spans="1:93" s="83" customFormat="1" ht="15" customHeight="1" thickBot="1">
      <c r="A65" s="62"/>
      <c r="B65" s="78" t="s">
        <v>264</v>
      </c>
      <c r="C65" s="79">
        <v>290699</v>
      </c>
      <c r="D65" s="79">
        <v>2392796</v>
      </c>
      <c r="E65" s="79">
        <f>2393617+290699</f>
        <v>2684316</v>
      </c>
      <c r="F65" s="79">
        <f>290699+2394285</f>
        <v>2684984</v>
      </c>
      <c r="G65" s="79">
        <v>2394942</v>
      </c>
      <c r="H65" s="79">
        <v>2395413.584086</v>
      </c>
      <c r="I65" s="79">
        <f>2056644</f>
        <v>2056644</v>
      </c>
      <c r="J65" s="79">
        <f>2057337.5</f>
        <v>2057337.5</v>
      </c>
      <c r="K65" s="79">
        <f>2058058</f>
        <v>2058058</v>
      </c>
      <c r="L65" s="79">
        <v>2058887.5621615201</v>
      </c>
      <c r="M65" s="79">
        <v>847836.82759800006</v>
      </c>
      <c r="N65" s="79">
        <v>848613.82759800006</v>
      </c>
      <c r="O65" s="79">
        <v>849393</v>
      </c>
      <c r="P65" s="79">
        <v>848865</v>
      </c>
      <c r="Q65" s="79">
        <v>697410.5</v>
      </c>
      <c r="R65" s="79">
        <v>713877</v>
      </c>
      <c r="S65" s="79">
        <v>737525</v>
      </c>
      <c r="T65" s="79">
        <v>726280</v>
      </c>
      <c r="U65" s="79">
        <v>731064</v>
      </c>
      <c r="V65" s="79">
        <v>736287</v>
      </c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</row>
    <row r="66" spans="1:93" s="83" customFormat="1" ht="15" customHeight="1" thickBot="1">
      <c r="A66" s="62"/>
      <c r="B66" s="78" t="s">
        <v>288</v>
      </c>
      <c r="C66" s="79">
        <v>2392148</v>
      </c>
      <c r="D66" s="79">
        <v>290699</v>
      </c>
      <c r="E66" s="79">
        <v>0</v>
      </c>
      <c r="F66" s="79">
        <v>0</v>
      </c>
      <c r="G66" s="79">
        <v>0</v>
      </c>
      <c r="H66" s="79">
        <v>0</v>
      </c>
      <c r="I66" s="79">
        <f>115084</f>
        <v>115084</v>
      </c>
      <c r="J66" s="79">
        <f>115083.5</f>
        <v>115083.5</v>
      </c>
      <c r="K66" s="79">
        <f>129539</f>
        <v>129539</v>
      </c>
      <c r="L66" s="79">
        <v>115084</v>
      </c>
      <c r="M66" s="79">
        <v>88555</v>
      </c>
      <c r="N66" s="79">
        <v>54566</v>
      </c>
      <c r="O66" s="79">
        <v>35044</v>
      </c>
      <c r="P66" s="79">
        <v>16484</v>
      </c>
      <c r="Q66" s="79">
        <v>0</v>
      </c>
      <c r="R66" s="79">
        <v>0</v>
      </c>
      <c r="S66" s="79">
        <v>0</v>
      </c>
      <c r="T66" s="79">
        <v>0</v>
      </c>
      <c r="U66" s="79">
        <v>0</v>
      </c>
      <c r="V66" s="79">
        <v>0</v>
      </c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</row>
    <row r="67" spans="1:93" s="83" customFormat="1" ht="15" customHeight="1" thickBot="1">
      <c r="A67" s="62"/>
      <c r="B67" s="78" t="s">
        <v>74</v>
      </c>
      <c r="C67" s="79">
        <v>-311760</v>
      </c>
      <c r="D67" s="79">
        <v>-278049</v>
      </c>
      <c r="E67" s="79">
        <v>-158801</v>
      </c>
      <c r="F67" s="79">
        <v>-88097</v>
      </c>
      <c r="G67" s="79">
        <f>-121649+12824</f>
        <v>-108825</v>
      </c>
      <c r="H67" s="79">
        <v>186725.5</v>
      </c>
      <c r="I67" s="79">
        <v>-3396035</v>
      </c>
      <c r="J67" s="79">
        <v>-3652078</v>
      </c>
      <c r="K67" s="79">
        <v>-3637334</v>
      </c>
      <c r="L67" s="79">
        <v>-3557344</v>
      </c>
      <c r="M67" s="79">
        <v>-3511276</v>
      </c>
      <c r="N67" s="79">
        <v>-3482390</v>
      </c>
      <c r="O67" s="79">
        <v>-3518176</v>
      </c>
      <c r="P67" s="79">
        <v>-3646685</v>
      </c>
      <c r="Q67" s="79">
        <v>-3614775</v>
      </c>
      <c r="R67" s="79">
        <v>-3636204</v>
      </c>
      <c r="S67" s="79">
        <v>-3721636</v>
      </c>
      <c r="T67" s="79">
        <v>-3681392</v>
      </c>
      <c r="U67" s="79">
        <v>-3592255</v>
      </c>
      <c r="V67" s="79">
        <v>-3553536</v>
      </c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</row>
    <row r="68" spans="1:93" s="83" customFormat="1" ht="15" customHeight="1" thickBot="1">
      <c r="A68" s="62"/>
      <c r="B68" s="63"/>
      <c r="C68" s="64"/>
      <c r="D68" s="64"/>
      <c r="E68" s="64"/>
      <c r="F68" s="64"/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</row>
    <row r="69" spans="1:93" s="83" customFormat="1" ht="15" customHeight="1" thickBot="1">
      <c r="A69" s="62"/>
      <c r="B69" s="63" t="s">
        <v>101</v>
      </c>
      <c r="C69" s="64">
        <f t="shared" ref="C69:V69" si="9">SUM(C63,C51,C37)</f>
        <v>7067294</v>
      </c>
      <c r="D69" s="64">
        <f t="shared" si="9"/>
        <v>6884180</v>
      </c>
      <c r="E69" s="64">
        <f t="shared" si="9"/>
        <v>6791860</v>
      </c>
      <c r="F69" s="64">
        <f t="shared" si="9"/>
        <v>6684879</v>
      </c>
      <c r="G69" s="64">
        <f t="shared" si="9"/>
        <v>6294080</v>
      </c>
      <c r="H69" s="64">
        <f t="shared" si="9"/>
        <v>5597271.4029999999</v>
      </c>
      <c r="I69" s="64">
        <f t="shared" si="9"/>
        <v>5098160</v>
      </c>
      <c r="J69" s="64">
        <f t="shared" si="9"/>
        <v>5044239</v>
      </c>
      <c r="K69" s="64">
        <f t="shared" si="9"/>
        <v>4641354</v>
      </c>
      <c r="L69" s="64">
        <f t="shared" si="9"/>
        <v>4473808.1594015202</v>
      </c>
      <c r="M69" s="64">
        <f t="shared" si="9"/>
        <v>2736723.7790000001</v>
      </c>
      <c r="N69" s="64">
        <f t="shared" si="9"/>
        <v>2732475.7790000001</v>
      </c>
      <c r="O69" s="64">
        <f t="shared" si="9"/>
        <v>2535835</v>
      </c>
      <c r="P69" s="64">
        <f t="shared" si="9"/>
        <v>2320463</v>
      </c>
      <c r="Q69" s="64">
        <f t="shared" si="9"/>
        <v>2075525.3</v>
      </c>
      <c r="R69" s="64">
        <f t="shared" si="9"/>
        <v>2066069</v>
      </c>
      <c r="S69" s="64">
        <f t="shared" si="9"/>
        <v>1967750</v>
      </c>
      <c r="T69" s="64">
        <f t="shared" si="9"/>
        <v>1878295</v>
      </c>
      <c r="U69" s="64">
        <f t="shared" si="9"/>
        <v>1892005</v>
      </c>
      <c r="V69" s="64">
        <f t="shared" si="9"/>
        <v>1696402</v>
      </c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</row>
    <row r="70" spans="1:93">
      <c r="B70" s="84" t="s">
        <v>258</v>
      </c>
    </row>
    <row r="71" spans="1:93">
      <c r="B71" s="71" t="s">
        <v>259</v>
      </c>
      <c r="C71" s="86"/>
      <c r="D71" s="86"/>
      <c r="E71" s="86"/>
      <c r="F71" s="86"/>
      <c r="G71" s="86"/>
      <c r="H71" s="86"/>
      <c r="I71" s="142"/>
      <c r="J71" s="142"/>
      <c r="K71" s="144"/>
      <c r="L71" s="86"/>
      <c r="M71" s="142"/>
      <c r="N71" s="142"/>
      <c r="O71" s="142"/>
      <c r="P71" s="144"/>
      <c r="Q71" s="86"/>
      <c r="R71" s="86"/>
      <c r="S71" s="86"/>
      <c r="T71" s="86"/>
      <c r="U71" s="86"/>
      <c r="V71" s="86"/>
    </row>
    <row r="72" spans="1:93" ht="32">
      <c r="B72" s="204" t="s">
        <v>352</v>
      </c>
      <c r="C72" s="86"/>
      <c r="D72" s="86"/>
      <c r="E72" s="86"/>
      <c r="F72" s="86"/>
      <c r="G72" s="86"/>
      <c r="H72" s="86"/>
      <c r="I72" s="142"/>
      <c r="J72" s="142"/>
      <c r="K72" s="144"/>
      <c r="L72" s="86"/>
      <c r="M72" s="142"/>
      <c r="N72" s="142"/>
      <c r="O72" s="142"/>
      <c r="P72" s="144"/>
      <c r="Q72" s="86"/>
      <c r="R72" s="86"/>
      <c r="S72" s="86"/>
      <c r="T72" s="86"/>
      <c r="U72" s="86"/>
      <c r="V72" s="86"/>
    </row>
    <row r="73" spans="1:93" s="81" customFormat="1" ht="12.5" customHeight="1">
      <c r="A73" s="177"/>
      <c r="B73" s="177"/>
      <c r="C73" s="86"/>
      <c r="D73" s="86"/>
      <c r="E73" s="86"/>
      <c r="F73" s="92"/>
      <c r="G73" s="92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86"/>
      <c r="T73" s="86"/>
      <c r="U73" s="86"/>
      <c r="V73" s="86"/>
      <c r="W73" s="177"/>
      <c r="X73" s="177"/>
      <c r="Y73" s="177"/>
      <c r="Z73" s="177"/>
    </row>
    <row r="74" spans="1:93" s="213" customFormat="1">
      <c r="B74" s="213" t="s">
        <v>281</v>
      </c>
      <c r="C74" s="218"/>
      <c r="D74" s="218"/>
      <c r="E74" s="218">
        <f>E69-E34</f>
        <v>0</v>
      </c>
      <c r="F74" s="219">
        <f>F69-F34</f>
        <v>9.7000000067055225E-2</v>
      </c>
      <c r="G74" s="218">
        <f>G69-G34</f>
        <v>0</v>
      </c>
      <c r="H74" s="218"/>
      <c r="I74" s="218">
        <f t="shared" ref="I74:V74" si="10">I69-I34</f>
        <v>-95386</v>
      </c>
      <c r="J74" s="218">
        <f t="shared" si="10"/>
        <v>0</v>
      </c>
      <c r="K74" s="218">
        <f t="shared" si="10"/>
        <v>0</v>
      </c>
      <c r="L74" s="218">
        <f t="shared" si="10"/>
        <v>-0.13844847958534956</v>
      </c>
      <c r="M74" s="218">
        <f t="shared" si="10"/>
        <v>0</v>
      </c>
      <c r="N74" s="218">
        <f t="shared" si="10"/>
        <v>0</v>
      </c>
      <c r="O74" s="218">
        <f t="shared" si="10"/>
        <v>0</v>
      </c>
      <c r="P74" s="218">
        <f t="shared" si="10"/>
        <v>0</v>
      </c>
      <c r="Q74" s="218">
        <f t="shared" si="10"/>
        <v>0.30000000004656613</v>
      </c>
      <c r="R74" s="218">
        <f t="shared" si="10"/>
        <v>0</v>
      </c>
      <c r="S74" s="218">
        <f t="shared" si="10"/>
        <v>0</v>
      </c>
      <c r="T74" s="218">
        <f t="shared" si="10"/>
        <v>0</v>
      </c>
      <c r="U74" s="218">
        <f t="shared" si="10"/>
        <v>0</v>
      </c>
      <c r="V74" s="218">
        <f t="shared" si="10"/>
        <v>0</v>
      </c>
    </row>
    <row r="75" spans="1:93" s="81" customFormat="1">
      <c r="A75" s="177"/>
      <c r="B75" s="177"/>
      <c r="C75" s="86"/>
      <c r="D75" s="86"/>
      <c r="E75" s="86"/>
      <c r="F75" s="86"/>
      <c r="G75" s="86"/>
      <c r="H75" s="86"/>
      <c r="I75" s="144"/>
      <c r="J75" s="144"/>
      <c r="K75" s="144"/>
      <c r="L75" s="86"/>
      <c r="M75" s="144"/>
      <c r="N75" s="144"/>
      <c r="O75" s="144"/>
      <c r="P75" s="144"/>
      <c r="Q75" s="86"/>
      <c r="R75" s="86"/>
      <c r="S75" s="86"/>
      <c r="T75" s="86"/>
      <c r="U75" s="86"/>
      <c r="V75" s="86"/>
      <c r="W75" s="177"/>
      <c r="X75" s="177"/>
      <c r="Y75" s="177"/>
      <c r="Z75" s="177"/>
    </row>
    <row r="76" spans="1:93" s="81" customFormat="1">
      <c r="A76" s="177"/>
      <c r="B76" s="177"/>
      <c r="C76" s="86"/>
      <c r="D76" s="86"/>
      <c r="E76" s="86"/>
      <c r="F76" s="86"/>
      <c r="G76" s="86"/>
      <c r="H76" s="86"/>
      <c r="I76" s="144"/>
      <c r="J76" s="144"/>
      <c r="K76" s="144"/>
      <c r="L76" s="86"/>
      <c r="M76" s="144"/>
      <c r="N76" s="144"/>
      <c r="O76" s="144"/>
      <c r="P76" s="144"/>
      <c r="Q76" s="86"/>
      <c r="R76" s="86"/>
      <c r="S76" s="86"/>
      <c r="T76" s="86"/>
      <c r="U76" s="86"/>
      <c r="V76" s="86"/>
      <c r="W76" s="177"/>
      <c r="X76" s="177"/>
      <c r="Y76" s="177"/>
      <c r="Z76" s="177"/>
    </row>
    <row r="77" spans="1:93">
      <c r="A77" s="177"/>
      <c r="B77" s="177"/>
      <c r="C77" s="86"/>
      <c r="D77" s="86"/>
      <c r="E77" s="86"/>
      <c r="F77" s="86"/>
      <c r="G77" s="86"/>
      <c r="H77" s="86"/>
      <c r="I77" s="144"/>
      <c r="J77" s="144"/>
      <c r="K77" s="144"/>
      <c r="L77" s="86"/>
      <c r="M77" s="144"/>
      <c r="N77" s="144"/>
      <c r="O77" s="144"/>
      <c r="P77" s="144"/>
      <c r="Q77" s="86"/>
      <c r="R77" s="86"/>
      <c r="S77" s="86"/>
      <c r="T77" s="86"/>
      <c r="U77" s="86"/>
      <c r="V77" s="86"/>
      <c r="W77" s="177"/>
      <c r="X77" s="177"/>
      <c r="Y77" s="177"/>
      <c r="Z77" s="177"/>
    </row>
    <row r="78" spans="1:93">
      <c r="C78" s="86"/>
      <c r="D78" s="86"/>
      <c r="E78" s="86"/>
      <c r="F78" s="86"/>
      <c r="G78" s="86"/>
      <c r="H78" s="86"/>
      <c r="I78" s="144"/>
      <c r="J78" s="144"/>
      <c r="K78" s="144"/>
      <c r="L78" s="86"/>
      <c r="M78" s="144"/>
      <c r="N78" s="144"/>
      <c r="O78" s="144"/>
      <c r="P78" s="144"/>
      <c r="Q78" s="86"/>
      <c r="R78" s="86"/>
      <c r="S78" s="86"/>
      <c r="T78" s="86"/>
      <c r="U78" s="86"/>
      <c r="V78" s="86"/>
    </row>
    <row r="79" spans="1:93">
      <c r="C79" s="86"/>
      <c r="D79" s="86"/>
      <c r="E79" s="86"/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</row>
    <row r="80" spans="1:93">
      <c r="C80" s="86"/>
      <c r="D80" s="86"/>
      <c r="E80" s="86"/>
      <c r="F80" s="86"/>
      <c r="G80" s="86"/>
      <c r="H80" s="86"/>
      <c r="I80" s="86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</row>
    <row r="81" spans="3:22">
      <c r="C81" s="86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86"/>
      <c r="P81" s="86"/>
      <c r="Q81" s="86"/>
      <c r="R81" s="86"/>
      <c r="S81" s="86"/>
      <c r="T81" s="86"/>
      <c r="U81" s="86"/>
      <c r="V81" s="86"/>
    </row>
    <row r="82" spans="3:22">
      <c r="C82" s="86"/>
      <c r="D82" s="86"/>
      <c r="E82" s="86"/>
      <c r="F82" s="86"/>
      <c r="G82" s="86"/>
      <c r="H82" s="86"/>
      <c r="I82" s="86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</row>
    <row r="83" spans="3:22"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</row>
    <row r="84" spans="3:22">
      <c r="C84" s="86"/>
      <c r="D84" s="86"/>
      <c r="E84" s="86"/>
      <c r="F84" s="86"/>
      <c r="G84" s="86"/>
      <c r="H84" s="86"/>
      <c r="I84" s="86"/>
      <c r="J84" s="8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86"/>
    </row>
    <row r="85" spans="3:22">
      <c r="C85" s="86"/>
      <c r="D85" s="86"/>
      <c r="E85" s="86"/>
      <c r="F85" s="86"/>
      <c r="G85" s="86"/>
      <c r="H85" s="86"/>
      <c r="I85" s="86"/>
      <c r="J85" s="86"/>
      <c r="K85" s="86"/>
      <c r="L85" s="86"/>
      <c r="M85" s="86"/>
      <c r="N85" s="86"/>
      <c r="O85" s="86"/>
      <c r="P85" s="86"/>
      <c r="Q85" s="86"/>
      <c r="R85" s="86"/>
      <c r="S85" s="86"/>
      <c r="T85" s="86"/>
      <c r="U85" s="86"/>
      <c r="V85" s="86"/>
    </row>
    <row r="86" spans="3:22"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  <c r="N86" s="86"/>
      <c r="O86" s="86"/>
      <c r="P86" s="86"/>
      <c r="Q86" s="86"/>
      <c r="R86" s="86"/>
      <c r="S86" s="86"/>
      <c r="T86" s="86"/>
      <c r="U86" s="86"/>
      <c r="V86" s="86"/>
    </row>
    <row r="87" spans="3:22">
      <c r="C87" s="86"/>
      <c r="D87" s="86"/>
      <c r="E87" s="86"/>
      <c r="F87" s="86"/>
      <c r="G87" s="86"/>
      <c r="H87" s="86"/>
      <c r="I87" s="86"/>
      <c r="J87" s="86"/>
      <c r="K87" s="86"/>
      <c r="L87" s="86"/>
      <c r="M87" s="86"/>
      <c r="N87" s="86"/>
      <c r="O87" s="86"/>
      <c r="P87" s="86"/>
      <c r="Q87" s="86"/>
      <c r="R87" s="86"/>
      <c r="S87" s="86"/>
      <c r="T87" s="86"/>
      <c r="U87" s="86"/>
      <c r="V87" s="86"/>
    </row>
    <row r="88" spans="3:22">
      <c r="C88" s="86"/>
      <c r="D88" s="86"/>
      <c r="E88" s="86"/>
      <c r="F88" s="86"/>
      <c r="G88" s="86"/>
      <c r="H88" s="86"/>
      <c r="I88" s="86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  <c r="V88" s="86"/>
    </row>
    <row r="89" spans="3:22">
      <c r="C89" s="86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</row>
    <row r="90" spans="3:22"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</row>
    <row r="91" spans="3:22">
      <c r="C91" s="86"/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6"/>
      <c r="O91" s="86"/>
      <c r="P91" s="86"/>
      <c r="Q91" s="86"/>
      <c r="R91" s="86"/>
      <c r="S91" s="86"/>
      <c r="T91" s="86"/>
      <c r="U91" s="86"/>
      <c r="V91" s="86"/>
    </row>
    <row r="92" spans="3:22"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86"/>
    </row>
    <row r="93" spans="3:22">
      <c r="C93" s="86"/>
      <c r="D93" s="86"/>
      <c r="E93" s="86"/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</row>
    <row r="94" spans="3:22">
      <c r="C94" s="86"/>
      <c r="D94" s="86"/>
      <c r="E94" s="86"/>
      <c r="F94" s="86"/>
      <c r="G94" s="86"/>
      <c r="H94" s="86"/>
      <c r="I94" s="86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</row>
    <row r="95" spans="3:22"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6"/>
      <c r="O95" s="86"/>
      <c r="P95" s="86"/>
      <c r="Q95" s="86"/>
      <c r="R95" s="86"/>
      <c r="S95" s="86"/>
      <c r="T95" s="86"/>
      <c r="U95" s="86"/>
      <c r="V95" s="86"/>
    </row>
    <row r="96" spans="3:22"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6"/>
      <c r="O96" s="86"/>
      <c r="P96" s="86"/>
      <c r="Q96" s="86"/>
      <c r="R96" s="86"/>
      <c r="S96" s="86"/>
      <c r="T96" s="86"/>
      <c r="U96" s="86"/>
      <c r="V96" s="86"/>
    </row>
  </sheetData>
  <sheetProtection algorithmName="SHA-512" hashValue="pSTtmM1gggR8t9ReGJCHisalYxme3MOlNaxMGgrvYU6ylIZ3FG+rddw+NCQfLSE22Xjr4KvivmHT16i/QVHTIg==" saltValue="54MHDy1FDxaMWM3hEw+y8Q==" spinCount="100000" sheet="1" selectLockedCells="1"/>
  <mergeCells count="1">
    <mergeCell ref="B3:S4"/>
  </mergeCells>
  <phoneticPr fontId="5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1463E-4733-4D25-8F43-F10EB9F637D0}">
  <sheetPr codeName="Planilha5"/>
  <dimension ref="A1:XFC99"/>
  <sheetViews>
    <sheetView showGridLines="0" zoomScaleNormal="100" workbookViewId="0">
      <pane xSplit="2" ySplit="8" topLeftCell="C72" activePane="bottomRight" state="frozen"/>
      <selection activeCell="F27" sqref="F27"/>
      <selection pane="topRight" activeCell="F27" sqref="F27"/>
      <selection pane="bottomLeft" activeCell="F27" sqref="F27"/>
      <selection pane="bottomRight" activeCell="C75" sqref="C75"/>
    </sheetView>
  </sheetViews>
  <sheetFormatPr defaultColWidth="8.81640625" defaultRowHeight="13"/>
  <cols>
    <col min="1" max="1" width="2.54296875" style="61" customWidth="1"/>
    <col min="2" max="2" width="61.54296875" style="94" customWidth="1"/>
    <col min="3" max="3" width="11.453125" style="61" customWidth="1"/>
    <col min="4" max="6" width="11.453125" style="61" hidden="1" customWidth="1"/>
    <col min="7" max="8" width="11.453125" style="61" customWidth="1"/>
    <col min="9" max="11" width="10.54296875" style="61" customWidth="1"/>
    <col min="12" max="12" width="11.54296875" style="61" bestFit="1" customWidth="1"/>
    <col min="13" max="15" width="10.54296875" style="61" customWidth="1"/>
    <col min="16" max="16" width="12.81640625" style="61" customWidth="1"/>
    <col min="17" max="19" width="10.54296875" style="61" customWidth="1"/>
    <col min="20" max="20" width="11.54296875" style="61" customWidth="1"/>
    <col min="21" max="21" width="10.54296875" style="61" customWidth="1"/>
    <col min="22" max="22" width="11.54296875" style="61" bestFit="1" customWidth="1"/>
    <col min="23" max="23" width="9.54296875" style="61" bestFit="1" customWidth="1"/>
    <col min="24" max="16384" width="8.81640625" style="61"/>
  </cols>
  <sheetData>
    <row r="1" spans="1:1023 1030:2047 2054:3071 3078:4095 4102:5119 5126:6143 6150:7167 7174:8191 8198:9215 9222:10239 10246:11263 11270:12287 12294:13311 13318:14335 14342:15359 15366:16383" s="4" customFormat="1">
      <c r="B1" s="10"/>
    </row>
    <row r="2" spans="1:1023 1030:2047 2054:3071 3078:4095 4102:5119 5126:6143 6150:7167 7174:8191 8198:9215 9222:10239 10246:11263 11270:12287 12294:13311 13318:14335 14342:15359 15366:16383" s="4" customFormat="1">
      <c r="A2" s="25"/>
      <c r="B2" s="10"/>
    </row>
    <row r="3" spans="1:1023 1030:2047 2054:3071 3078:4095 4102:5119 5126:6143 6150:7167 7174:8191 8198:9215 9222:10239 10246:11263 11270:12287 12294:13311 13318:14335 14342:15359 15366:16383" s="4" customFormat="1" ht="14.5" customHeight="1">
      <c r="A3" s="25"/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</row>
    <row r="4" spans="1:1023 1030:2047 2054:3071 3078:4095 4102:5119 5126:6143 6150:7167 7174:8191 8198:9215 9222:10239 10246:11263 11270:12287 12294:13311 13318:14335 14342:15359 15366:16383" s="4" customFormat="1" ht="14.5" customHeight="1">
      <c r="A4" s="25"/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84"/>
      <c r="O4" s="184"/>
    </row>
    <row r="5" spans="1:1023 1030:2047 2054:3071 3078:4095 4102:5119 5126:6143 6150:7167 7174:8191 8198:9215 9222:10239 10246:11263 11270:12287 12294:13311 13318:14335 14342:15359 15366:16383" s="4" customFormat="1" ht="14.5" customHeight="1">
      <c r="A5" s="25"/>
      <c r="B5" s="185"/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</row>
    <row r="6" spans="1:1023 1030:2047 2054:3071 3078:4095 4102:5119 5126:6143 6150:7167 7174:8191 8198:9215 9222:10239 10246:11263 11270:12287 12294:13311 13318:14335 14342:15359 15366:16383" s="4" customFormat="1">
      <c r="A6" s="25"/>
      <c r="B6" s="181" t="s">
        <v>333</v>
      </c>
    </row>
    <row r="7" spans="1:1023 1030:2047 2054:3071 3078:4095 4102:5119 5126:6143 6150:7167 7174:8191 8198:9215 9222:10239 10246:11263 11270:12287 12294:13311 13318:14335 14342:15359 15366:16383" s="4" customFormat="1">
      <c r="A7" s="25"/>
      <c r="B7" s="181"/>
    </row>
    <row r="8" spans="1:1023 1030:2047 2054:3071 3078:4095 4102:5119 5126:6143 6150:7167 7174:8191 8198:9215 9222:10239 10246:11263 11270:12287 12294:13311 13318:14335 14342:15359 15366:16383" s="73" customFormat="1" ht="20.149999999999999" customHeight="1" thickBot="1">
      <c r="A8" s="61"/>
      <c r="B8" s="52" t="s">
        <v>338</v>
      </c>
      <c r="C8" s="54" t="s">
        <v>377</v>
      </c>
      <c r="D8" s="53" t="s">
        <v>366</v>
      </c>
      <c r="E8" s="54" t="s">
        <v>368</v>
      </c>
      <c r="F8" s="54" t="s">
        <v>365</v>
      </c>
      <c r="G8" s="54" t="s">
        <v>347</v>
      </c>
      <c r="H8" s="53" t="s">
        <v>312</v>
      </c>
      <c r="I8" s="54" t="s">
        <v>313</v>
      </c>
      <c r="J8" s="54" t="s">
        <v>314</v>
      </c>
      <c r="K8" s="54" t="s">
        <v>311</v>
      </c>
      <c r="L8" s="53" t="s">
        <v>172</v>
      </c>
      <c r="M8" s="54" t="s">
        <v>300</v>
      </c>
      <c r="N8" s="55" t="s">
        <v>299</v>
      </c>
      <c r="O8" s="55" t="s">
        <v>175</v>
      </c>
      <c r="P8" s="53" t="s">
        <v>171</v>
      </c>
      <c r="Q8" s="54" t="s">
        <v>291</v>
      </c>
      <c r="R8" s="54" t="s">
        <v>290</v>
      </c>
      <c r="S8" s="54" t="s">
        <v>91</v>
      </c>
      <c r="T8" s="53" t="s">
        <v>173</v>
      </c>
      <c r="U8" s="54" t="s">
        <v>174</v>
      </c>
      <c r="V8" s="53" t="s">
        <v>180</v>
      </c>
      <c r="W8" s="72"/>
      <c r="AD8" s="74"/>
      <c r="AE8" s="72"/>
      <c r="AL8" s="74"/>
      <c r="AM8" s="72"/>
      <c r="AT8" s="74"/>
      <c r="AU8" s="72"/>
      <c r="BB8" s="74"/>
      <c r="BC8" s="72"/>
      <c r="BJ8" s="74"/>
      <c r="BK8" s="72"/>
      <c r="BR8" s="74"/>
      <c r="BS8" s="72"/>
      <c r="BZ8" s="74"/>
      <c r="CA8" s="72"/>
      <c r="CH8" s="74"/>
      <c r="CI8" s="72"/>
      <c r="CP8" s="74"/>
      <c r="CQ8" s="72"/>
      <c r="CX8" s="74"/>
      <c r="CY8" s="72"/>
      <c r="DF8" s="74"/>
      <c r="DG8" s="72"/>
      <c r="DN8" s="74"/>
      <c r="DO8" s="72"/>
      <c r="DV8" s="74"/>
      <c r="DW8" s="72"/>
      <c r="ED8" s="74"/>
      <c r="EE8" s="72"/>
      <c r="EL8" s="74"/>
      <c r="EM8" s="72"/>
      <c r="ET8" s="74"/>
      <c r="EU8" s="72"/>
      <c r="FB8" s="74"/>
      <c r="FC8" s="72"/>
      <c r="FJ8" s="74"/>
      <c r="FK8" s="72"/>
      <c r="FR8" s="74"/>
      <c r="FS8" s="72"/>
      <c r="FZ8" s="74"/>
      <c r="GA8" s="72"/>
      <c r="GH8" s="74"/>
      <c r="GI8" s="72"/>
      <c r="GP8" s="74"/>
      <c r="GQ8" s="72"/>
      <c r="GX8" s="74"/>
      <c r="GY8" s="72"/>
      <c r="HF8" s="74"/>
      <c r="HG8" s="72"/>
      <c r="HN8" s="74"/>
      <c r="HO8" s="72"/>
      <c r="HV8" s="74"/>
      <c r="HW8" s="72"/>
      <c r="ID8" s="74"/>
      <c r="IE8" s="72"/>
      <c r="IL8" s="74"/>
      <c r="IM8" s="72"/>
      <c r="IT8" s="74"/>
      <c r="IU8" s="72"/>
      <c r="JB8" s="74"/>
      <c r="JC8" s="72"/>
      <c r="JJ8" s="74"/>
      <c r="JK8" s="72"/>
      <c r="JR8" s="74"/>
      <c r="JS8" s="72"/>
      <c r="JZ8" s="74"/>
      <c r="KA8" s="72"/>
      <c r="KH8" s="74"/>
      <c r="KI8" s="72"/>
      <c r="KP8" s="74"/>
      <c r="KQ8" s="72"/>
      <c r="KX8" s="74"/>
      <c r="KY8" s="72"/>
      <c r="LF8" s="74"/>
      <c r="LG8" s="72"/>
      <c r="LN8" s="74"/>
      <c r="LO8" s="72"/>
      <c r="LV8" s="74"/>
      <c r="LW8" s="72"/>
      <c r="MD8" s="74"/>
      <c r="ME8" s="72"/>
      <c r="ML8" s="74"/>
      <c r="MM8" s="72"/>
      <c r="MT8" s="74"/>
      <c r="MU8" s="72"/>
      <c r="NB8" s="74"/>
      <c r="NC8" s="72"/>
      <c r="NJ8" s="74"/>
      <c r="NK8" s="72"/>
      <c r="NR8" s="74"/>
      <c r="NS8" s="72"/>
      <c r="NZ8" s="74"/>
      <c r="OA8" s="72"/>
      <c r="OH8" s="74"/>
      <c r="OI8" s="72"/>
      <c r="OP8" s="74"/>
      <c r="OQ8" s="72"/>
      <c r="OX8" s="74"/>
      <c r="OY8" s="72"/>
      <c r="PF8" s="74"/>
      <c r="PG8" s="72"/>
      <c r="PN8" s="74"/>
      <c r="PO8" s="72"/>
      <c r="PV8" s="74"/>
      <c r="PW8" s="72"/>
      <c r="QD8" s="74"/>
      <c r="QE8" s="72"/>
      <c r="QL8" s="74"/>
      <c r="QM8" s="72"/>
      <c r="QT8" s="74"/>
      <c r="QU8" s="72"/>
      <c r="RB8" s="74"/>
      <c r="RC8" s="72"/>
      <c r="RJ8" s="74"/>
      <c r="RK8" s="72"/>
      <c r="RR8" s="74"/>
      <c r="RS8" s="72"/>
      <c r="RZ8" s="74"/>
      <c r="SA8" s="72"/>
      <c r="SH8" s="74"/>
      <c r="SI8" s="72"/>
      <c r="SP8" s="74"/>
      <c r="SQ8" s="72"/>
      <c r="SX8" s="74"/>
      <c r="SY8" s="72"/>
      <c r="TF8" s="74"/>
      <c r="TG8" s="72"/>
      <c r="TN8" s="74"/>
      <c r="TO8" s="72"/>
      <c r="TV8" s="74"/>
      <c r="TW8" s="72"/>
      <c r="UD8" s="74"/>
      <c r="UE8" s="72"/>
      <c r="UL8" s="74"/>
      <c r="UM8" s="72"/>
      <c r="UT8" s="74"/>
      <c r="UU8" s="72"/>
      <c r="VB8" s="74"/>
      <c r="VC8" s="72"/>
      <c r="VJ8" s="74"/>
      <c r="VK8" s="72"/>
      <c r="VR8" s="74"/>
      <c r="VS8" s="72"/>
      <c r="VZ8" s="74"/>
      <c r="WA8" s="72"/>
      <c r="WH8" s="74"/>
      <c r="WI8" s="72"/>
      <c r="WP8" s="74"/>
      <c r="WQ8" s="72"/>
      <c r="WX8" s="74"/>
      <c r="WY8" s="72"/>
      <c r="XF8" s="74"/>
      <c r="XG8" s="72"/>
      <c r="XN8" s="74"/>
      <c r="XO8" s="72"/>
      <c r="XV8" s="74"/>
      <c r="XW8" s="72"/>
      <c r="YD8" s="74"/>
      <c r="YE8" s="72"/>
      <c r="YL8" s="74"/>
      <c r="YM8" s="72"/>
      <c r="YT8" s="74"/>
      <c r="YU8" s="72"/>
      <c r="ZB8" s="74"/>
      <c r="ZC8" s="72"/>
      <c r="ZJ8" s="74"/>
      <c r="ZK8" s="72"/>
      <c r="ZR8" s="74"/>
      <c r="ZS8" s="72"/>
      <c r="ZZ8" s="74"/>
      <c r="AAA8" s="72"/>
      <c r="AAH8" s="74"/>
      <c r="AAI8" s="72"/>
      <c r="AAP8" s="74"/>
      <c r="AAQ8" s="72"/>
      <c r="AAX8" s="74"/>
      <c r="AAY8" s="72"/>
      <c r="ABF8" s="74"/>
      <c r="ABG8" s="72"/>
      <c r="ABN8" s="74"/>
      <c r="ABO8" s="72"/>
      <c r="ABV8" s="74"/>
      <c r="ABW8" s="72"/>
      <c r="ACD8" s="74"/>
      <c r="ACE8" s="72"/>
      <c r="ACL8" s="74"/>
      <c r="ACM8" s="72"/>
      <c r="ACT8" s="74"/>
      <c r="ACU8" s="72"/>
      <c r="ADB8" s="74"/>
      <c r="ADC8" s="72"/>
      <c r="ADJ8" s="74"/>
      <c r="ADK8" s="72"/>
      <c r="ADR8" s="74"/>
      <c r="ADS8" s="72"/>
      <c r="ADZ8" s="74"/>
      <c r="AEA8" s="72"/>
      <c r="AEH8" s="74"/>
      <c r="AEI8" s="72"/>
      <c r="AEP8" s="74"/>
      <c r="AEQ8" s="72"/>
      <c r="AEX8" s="74"/>
      <c r="AEY8" s="72"/>
      <c r="AFF8" s="74"/>
      <c r="AFG8" s="72"/>
      <c r="AFN8" s="74"/>
      <c r="AFO8" s="72"/>
      <c r="AFV8" s="74"/>
      <c r="AFW8" s="72"/>
      <c r="AGD8" s="74"/>
      <c r="AGE8" s="72"/>
      <c r="AGL8" s="74"/>
      <c r="AGM8" s="72"/>
      <c r="AGT8" s="74"/>
      <c r="AGU8" s="72"/>
      <c r="AHB8" s="74"/>
      <c r="AHC8" s="72"/>
      <c r="AHJ8" s="74"/>
      <c r="AHK8" s="72"/>
      <c r="AHR8" s="74"/>
      <c r="AHS8" s="72"/>
      <c r="AHZ8" s="74"/>
      <c r="AIA8" s="72"/>
      <c r="AIH8" s="74"/>
      <c r="AII8" s="72"/>
      <c r="AIP8" s="74"/>
      <c r="AIQ8" s="72"/>
      <c r="AIX8" s="74"/>
      <c r="AIY8" s="72"/>
      <c r="AJF8" s="74"/>
      <c r="AJG8" s="72"/>
      <c r="AJN8" s="74"/>
      <c r="AJO8" s="72"/>
      <c r="AJV8" s="74"/>
      <c r="AJW8" s="72"/>
      <c r="AKD8" s="74"/>
      <c r="AKE8" s="72"/>
      <c r="AKL8" s="74"/>
      <c r="AKM8" s="72"/>
      <c r="AKT8" s="74"/>
      <c r="AKU8" s="72"/>
      <c r="ALB8" s="74"/>
      <c r="ALC8" s="72"/>
      <c r="ALJ8" s="74"/>
      <c r="ALK8" s="72"/>
      <c r="ALR8" s="74"/>
      <c r="ALS8" s="72"/>
      <c r="ALZ8" s="74"/>
      <c r="AMA8" s="72"/>
      <c r="AMH8" s="74"/>
      <c r="AMI8" s="72"/>
      <c r="AMP8" s="74"/>
      <c r="AMQ8" s="72"/>
      <c r="AMX8" s="74"/>
      <c r="AMY8" s="72"/>
      <c r="ANF8" s="74"/>
      <c r="ANG8" s="72"/>
      <c r="ANN8" s="74"/>
      <c r="ANO8" s="72"/>
      <c r="ANV8" s="74"/>
      <c r="ANW8" s="72"/>
      <c r="AOD8" s="74"/>
      <c r="AOE8" s="72"/>
      <c r="AOL8" s="74"/>
      <c r="AOM8" s="72"/>
      <c r="AOT8" s="74"/>
      <c r="AOU8" s="72"/>
      <c r="APB8" s="74"/>
      <c r="APC8" s="72"/>
      <c r="APJ8" s="74"/>
      <c r="APK8" s="72"/>
      <c r="APR8" s="74"/>
      <c r="APS8" s="72"/>
      <c r="APZ8" s="74"/>
      <c r="AQA8" s="72"/>
      <c r="AQH8" s="74"/>
      <c r="AQI8" s="72"/>
      <c r="AQP8" s="74"/>
      <c r="AQQ8" s="72"/>
      <c r="AQX8" s="74"/>
      <c r="AQY8" s="72"/>
      <c r="ARF8" s="74"/>
      <c r="ARG8" s="72"/>
      <c r="ARN8" s="74"/>
      <c r="ARO8" s="72"/>
      <c r="ARV8" s="74"/>
      <c r="ARW8" s="72"/>
      <c r="ASD8" s="74"/>
      <c r="ASE8" s="72"/>
      <c r="ASL8" s="74"/>
      <c r="ASM8" s="72"/>
      <c r="AST8" s="74"/>
      <c r="ASU8" s="72"/>
      <c r="ATB8" s="74"/>
      <c r="ATC8" s="72"/>
      <c r="ATJ8" s="74"/>
      <c r="ATK8" s="72"/>
      <c r="ATR8" s="74"/>
      <c r="ATS8" s="72"/>
      <c r="ATZ8" s="74"/>
      <c r="AUA8" s="72"/>
      <c r="AUH8" s="74"/>
      <c r="AUI8" s="72"/>
      <c r="AUP8" s="74"/>
      <c r="AUQ8" s="72"/>
      <c r="AUX8" s="74"/>
      <c r="AUY8" s="72"/>
      <c r="AVF8" s="74"/>
      <c r="AVG8" s="72"/>
      <c r="AVN8" s="74"/>
      <c r="AVO8" s="72"/>
      <c r="AVV8" s="74"/>
      <c r="AVW8" s="72"/>
      <c r="AWD8" s="74"/>
      <c r="AWE8" s="72"/>
      <c r="AWL8" s="74"/>
      <c r="AWM8" s="72"/>
      <c r="AWT8" s="74"/>
      <c r="AWU8" s="72"/>
      <c r="AXB8" s="74"/>
      <c r="AXC8" s="72"/>
      <c r="AXJ8" s="74"/>
      <c r="AXK8" s="72"/>
      <c r="AXR8" s="74"/>
      <c r="AXS8" s="72"/>
      <c r="AXZ8" s="74"/>
      <c r="AYA8" s="72"/>
      <c r="AYH8" s="74"/>
      <c r="AYI8" s="72"/>
      <c r="AYP8" s="74"/>
      <c r="AYQ8" s="72"/>
      <c r="AYX8" s="74"/>
      <c r="AYY8" s="72"/>
      <c r="AZF8" s="74"/>
      <c r="AZG8" s="72"/>
      <c r="AZN8" s="74"/>
      <c r="AZO8" s="72"/>
      <c r="AZV8" s="74"/>
      <c r="AZW8" s="72"/>
      <c r="BAD8" s="74"/>
      <c r="BAE8" s="72"/>
      <c r="BAL8" s="74"/>
      <c r="BAM8" s="72"/>
      <c r="BAT8" s="74"/>
      <c r="BAU8" s="72"/>
      <c r="BBB8" s="74"/>
      <c r="BBC8" s="72"/>
      <c r="BBJ8" s="74"/>
      <c r="BBK8" s="72"/>
      <c r="BBR8" s="74"/>
      <c r="BBS8" s="72"/>
      <c r="BBZ8" s="74"/>
      <c r="BCA8" s="72"/>
      <c r="BCH8" s="74"/>
      <c r="BCI8" s="72"/>
      <c r="BCP8" s="74"/>
      <c r="BCQ8" s="72"/>
      <c r="BCX8" s="74"/>
      <c r="BCY8" s="72"/>
      <c r="BDF8" s="74"/>
      <c r="BDG8" s="72"/>
      <c r="BDN8" s="74"/>
      <c r="BDO8" s="72"/>
      <c r="BDV8" s="74"/>
      <c r="BDW8" s="72"/>
      <c r="BED8" s="74"/>
      <c r="BEE8" s="72"/>
      <c r="BEL8" s="74"/>
      <c r="BEM8" s="72"/>
      <c r="BET8" s="74"/>
      <c r="BEU8" s="72"/>
      <c r="BFB8" s="74"/>
      <c r="BFC8" s="72"/>
      <c r="BFJ8" s="74"/>
      <c r="BFK8" s="72"/>
      <c r="BFR8" s="74"/>
      <c r="BFS8" s="72"/>
      <c r="BFZ8" s="74"/>
      <c r="BGA8" s="72"/>
      <c r="BGH8" s="74"/>
      <c r="BGI8" s="72"/>
      <c r="BGP8" s="74"/>
      <c r="BGQ8" s="72"/>
      <c r="BGX8" s="74"/>
      <c r="BGY8" s="72"/>
      <c r="BHF8" s="74"/>
      <c r="BHG8" s="72"/>
      <c r="BHN8" s="74"/>
      <c r="BHO8" s="72"/>
      <c r="BHV8" s="74"/>
      <c r="BHW8" s="72"/>
      <c r="BID8" s="74"/>
      <c r="BIE8" s="72"/>
      <c r="BIL8" s="74"/>
      <c r="BIM8" s="72"/>
      <c r="BIT8" s="74"/>
      <c r="BIU8" s="72"/>
      <c r="BJB8" s="74"/>
      <c r="BJC8" s="72"/>
      <c r="BJJ8" s="74"/>
      <c r="BJK8" s="72"/>
      <c r="BJR8" s="74"/>
      <c r="BJS8" s="72"/>
      <c r="BJZ8" s="74"/>
      <c r="BKA8" s="72"/>
      <c r="BKH8" s="74"/>
      <c r="BKI8" s="72"/>
      <c r="BKP8" s="74"/>
      <c r="BKQ8" s="72"/>
      <c r="BKX8" s="74"/>
      <c r="BKY8" s="72"/>
      <c r="BLF8" s="74"/>
      <c r="BLG8" s="72"/>
      <c r="BLN8" s="74"/>
      <c r="BLO8" s="72"/>
      <c r="BLV8" s="74"/>
      <c r="BLW8" s="72"/>
      <c r="BMD8" s="74"/>
      <c r="BME8" s="72"/>
      <c r="BML8" s="74"/>
      <c r="BMM8" s="72"/>
      <c r="BMT8" s="74"/>
      <c r="BMU8" s="72"/>
      <c r="BNB8" s="74"/>
      <c r="BNC8" s="72"/>
      <c r="BNJ8" s="74"/>
      <c r="BNK8" s="72"/>
      <c r="BNR8" s="74"/>
      <c r="BNS8" s="72"/>
      <c r="BNZ8" s="74"/>
      <c r="BOA8" s="72"/>
      <c r="BOH8" s="74"/>
      <c r="BOI8" s="72"/>
      <c r="BOP8" s="74"/>
      <c r="BOQ8" s="72"/>
      <c r="BOX8" s="74"/>
      <c r="BOY8" s="72"/>
      <c r="BPF8" s="74"/>
      <c r="BPG8" s="72"/>
      <c r="BPN8" s="74"/>
      <c r="BPO8" s="72"/>
      <c r="BPV8" s="74"/>
      <c r="BPW8" s="72"/>
      <c r="BQD8" s="74"/>
      <c r="BQE8" s="72"/>
      <c r="BQL8" s="74"/>
      <c r="BQM8" s="72"/>
      <c r="BQT8" s="74"/>
      <c r="BQU8" s="72"/>
      <c r="BRB8" s="74"/>
      <c r="BRC8" s="72"/>
      <c r="BRJ8" s="74"/>
      <c r="BRK8" s="72"/>
      <c r="BRR8" s="74"/>
      <c r="BRS8" s="72"/>
      <c r="BRZ8" s="74"/>
      <c r="BSA8" s="72"/>
      <c r="BSH8" s="74"/>
      <c r="BSI8" s="72"/>
      <c r="BSP8" s="74"/>
      <c r="BSQ8" s="72"/>
      <c r="BSX8" s="74"/>
      <c r="BSY8" s="72"/>
      <c r="BTF8" s="74"/>
      <c r="BTG8" s="72"/>
      <c r="BTN8" s="74"/>
      <c r="BTO8" s="72"/>
      <c r="BTV8" s="74"/>
      <c r="BTW8" s="72"/>
      <c r="BUD8" s="74"/>
      <c r="BUE8" s="72"/>
      <c r="BUL8" s="74"/>
      <c r="BUM8" s="72"/>
      <c r="BUT8" s="74"/>
      <c r="BUU8" s="72"/>
      <c r="BVB8" s="74"/>
      <c r="BVC8" s="72"/>
      <c r="BVJ8" s="74"/>
      <c r="BVK8" s="72"/>
      <c r="BVR8" s="74"/>
      <c r="BVS8" s="72"/>
      <c r="BVZ8" s="74"/>
      <c r="BWA8" s="72"/>
      <c r="BWH8" s="74"/>
      <c r="BWI8" s="72"/>
      <c r="BWP8" s="74"/>
      <c r="BWQ8" s="72"/>
      <c r="BWX8" s="74"/>
      <c r="BWY8" s="72"/>
      <c r="BXF8" s="74"/>
      <c r="BXG8" s="72"/>
      <c r="BXN8" s="74"/>
      <c r="BXO8" s="72"/>
      <c r="BXV8" s="74"/>
      <c r="BXW8" s="72"/>
      <c r="BYD8" s="74"/>
      <c r="BYE8" s="72"/>
      <c r="BYL8" s="74"/>
      <c r="BYM8" s="72"/>
      <c r="BYT8" s="74"/>
      <c r="BYU8" s="72"/>
      <c r="BZB8" s="74"/>
      <c r="BZC8" s="72"/>
      <c r="BZJ8" s="74"/>
      <c r="BZK8" s="72"/>
      <c r="BZR8" s="74"/>
      <c r="BZS8" s="72"/>
      <c r="BZZ8" s="74"/>
      <c r="CAA8" s="72"/>
      <c r="CAH8" s="74"/>
      <c r="CAI8" s="72"/>
      <c r="CAP8" s="74"/>
      <c r="CAQ8" s="72"/>
      <c r="CAX8" s="74"/>
      <c r="CAY8" s="72"/>
      <c r="CBF8" s="74"/>
      <c r="CBG8" s="72"/>
      <c r="CBN8" s="74"/>
      <c r="CBO8" s="72"/>
      <c r="CBV8" s="74"/>
      <c r="CBW8" s="72"/>
      <c r="CCD8" s="74"/>
      <c r="CCE8" s="72"/>
      <c r="CCL8" s="74"/>
      <c r="CCM8" s="72"/>
      <c r="CCT8" s="74"/>
      <c r="CCU8" s="72"/>
      <c r="CDB8" s="74"/>
      <c r="CDC8" s="72"/>
      <c r="CDJ8" s="74"/>
      <c r="CDK8" s="72"/>
      <c r="CDR8" s="74"/>
      <c r="CDS8" s="72"/>
      <c r="CDZ8" s="74"/>
      <c r="CEA8" s="72"/>
      <c r="CEH8" s="74"/>
      <c r="CEI8" s="72"/>
      <c r="CEP8" s="74"/>
      <c r="CEQ8" s="72"/>
      <c r="CEX8" s="74"/>
      <c r="CEY8" s="72"/>
      <c r="CFF8" s="74"/>
      <c r="CFG8" s="72"/>
      <c r="CFN8" s="74"/>
      <c r="CFO8" s="72"/>
      <c r="CFV8" s="74"/>
      <c r="CFW8" s="72"/>
      <c r="CGD8" s="74"/>
      <c r="CGE8" s="72"/>
      <c r="CGL8" s="74"/>
      <c r="CGM8" s="72"/>
      <c r="CGT8" s="74"/>
      <c r="CGU8" s="72"/>
      <c r="CHB8" s="74"/>
      <c r="CHC8" s="72"/>
      <c r="CHJ8" s="74"/>
      <c r="CHK8" s="72"/>
      <c r="CHR8" s="74"/>
      <c r="CHS8" s="72"/>
      <c r="CHZ8" s="74"/>
      <c r="CIA8" s="72"/>
      <c r="CIH8" s="74"/>
      <c r="CII8" s="72"/>
      <c r="CIP8" s="74"/>
      <c r="CIQ8" s="72"/>
      <c r="CIX8" s="74"/>
      <c r="CIY8" s="72"/>
      <c r="CJF8" s="74"/>
      <c r="CJG8" s="72"/>
      <c r="CJN8" s="74"/>
      <c r="CJO8" s="72"/>
      <c r="CJV8" s="74"/>
      <c r="CJW8" s="72"/>
      <c r="CKD8" s="74"/>
      <c r="CKE8" s="72"/>
      <c r="CKL8" s="74"/>
      <c r="CKM8" s="72"/>
      <c r="CKT8" s="74"/>
      <c r="CKU8" s="72"/>
      <c r="CLB8" s="74"/>
      <c r="CLC8" s="72"/>
      <c r="CLJ8" s="74"/>
      <c r="CLK8" s="72"/>
      <c r="CLR8" s="74"/>
      <c r="CLS8" s="72"/>
      <c r="CLZ8" s="74"/>
      <c r="CMA8" s="72"/>
      <c r="CMH8" s="74"/>
      <c r="CMI8" s="72"/>
      <c r="CMP8" s="74"/>
      <c r="CMQ8" s="72"/>
      <c r="CMX8" s="74"/>
      <c r="CMY8" s="72"/>
      <c r="CNF8" s="74"/>
      <c r="CNG8" s="72"/>
      <c r="CNN8" s="74"/>
      <c r="CNO8" s="72"/>
      <c r="CNV8" s="74"/>
      <c r="CNW8" s="72"/>
      <c r="COD8" s="74"/>
      <c r="COE8" s="72"/>
      <c r="COL8" s="74"/>
      <c r="COM8" s="72"/>
      <c r="COT8" s="74"/>
      <c r="COU8" s="72"/>
      <c r="CPB8" s="74"/>
      <c r="CPC8" s="72"/>
      <c r="CPJ8" s="74"/>
      <c r="CPK8" s="72"/>
      <c r="CPR8" s="74"/>
      <c r="CPS8" s="72"/>
      <c r="CPZ8" s="74"/>
      <c r="CQA8" s="72"/>
      <c r="CQH8" s="74"/>
      <c r="CQI8" s="72"/>
      <c r="CQP8" s="74"/>
      <c r="CQQ8" s="72"/>
      <c r="CQX8" s="74"/>
      <c r="CQY8" s="72"/>
      <c r="CRF8" s="74"/>
      <c r="CRG8" s="72"/>
      <c r="CRN8" s="74"/>
      <c r="CRO8" s="72"/>
      <c r="CRV8" s="74"/>
      <c r="CRW8" s="72"/>
      <c r="CSD8" s="74"/>
      <c r="CSE8" s="72"/>
      <c r="CSL8" s="74"/>
      <c r="CSM8" s="72"/>
      <c r="CST8" s="74"/>
      <c r="CSU8" s="72"/>
      <c r="CTB8" s="74"/>
      <c r="CTC8" s="72"/>
      <c r="CTJ8" s="74"/>
      <c r="CTK8" s="72"/>
      <c r="CTR8" s="74"/>
      <c r="CTS8" s="72"/>
      <c r="CTZ8" s="74"/>
      <c r="CUA8" s="72"/>
      <c r="CUH8" s="74"/>
      <c r="CUI8" s="72"/>
      <c r="CUP8" s="74"/>
      <c r="CUQ8" s="72"/>
      <c r="CUX8" s="74"/>
      <c r="CUY8" s="72"/>
      <c r="CVF8" s="74"/>
      <c r="CVG8" s="72"/>
      <c r="CVN8" s="74"/>
      <c r="CVO8" s="72"/>
      <c r="CVV8" s="74"/>
      <c r="CVW8" s="72"/>
      <c r="CWD8" s="74"/>
      <c r="CWE8" s="72"/>
      <c r="CWL8" s="74"/>
      <c r="CWM8" s="72"/>
      <c r="CWT8" s="74"/>
      <c r="CWU8" s="72"/>
      <c r="CXB8" s="74"/>
      <c r="CXC8" s="72"/>
      <c r="CXJ8" s="74"/>
      <c r="CXK8" s="72"/>
      <c r="CXR8" s="74"/>
      <c r="CXS8" s="72"/>
      <c r="CXZ8" s="74"/>
      <c r="CYA8" s="72"/>
      <c r="CYH8" s="74"/>
      <c r="CYI8" s="72"/>
      <c r="CYP8" s="74"/>
      <c r="CYQ8" s="72"/>
      <c r="CYX8" s="74"/>
      <c r="CYY8" s="72"/>
      <c r="CZF8" s="74"/>
      <c r="CZG8" s="72"/>
      <c r="CZN8" s="74"/>
      <c r="CZO8" s="72"/>
      <c r="CZV8" s="74"/>
      <c r="CZW8" s="72"/>
      <c r="DAD8" s="74"/>
      <c r="DAE8" s="72"/>
      <c r="DAL8" s="74"/>
      <c r="DAM8" s="72"/>
      <c r="DAT8" s="74"/>
      <c r="DAU8" s="72"/>
      <c r="DBB8" s="74"/>
      <c r="DBC8" s="72"/>
      <c r="DBJ8" s="74"/>
      <c r="DBK8" s="72"/>
      <c r="DBR8" s="74"/>
      <c r="DBS8" s="72"/>
      <c r="DBZ8" s="74"/>
      <c r="DCA8" s="72"/>
      <c r="DCH8" s="74"/>
      <c r="DCI8" s="72"/>
      <c r="DCP8" s="74"/>
      <c r="DCQ8" s="72"/>
      <c r="DCX8" s="74"/>
      <c r="DCY8" s="72"/>
      <c r="DDF8" s="74"/>
      <c r="DDG8" s="72"/>
      <c r="DDN8" s="74"/>
      <c r="DDO8" s="72"/>
      <c r="DDV8" s="74"/>
      <c r="DDW8" s="72"/>
      <c r="DED8" s="74"/>
      <c r="DEE8" s="72"/>
      <c r="DEL8" s="74"/>
      <c r="DEM8" s="72"/>
      <c r="DET8" s="74"/>
      <c r="DEU8" s="72"/>
      <c r="DFB8" s="74"/>
      <c r="DFC8" s="72"/>
      <c r="DFJ8" s="74"/>
      <c r="DFK8" s="72"/>
      <c r="DFR8" s="74"/>
      <c r="DFS8" s="72"/>
      <c r="DFZ8" s="74"/>
      <c r="DGA8" s="72"/>
      <c r="DGH8" s="74"/>
      <c r="DGI8" s="72"/>
      <c r="DGP8" s="74"/>
      <c r="DGQ8" s="72"/>
      <c r="DGX8" s="74"/>
      <c r="DGY8" s="72"/>
      <c r="DHF8" s="74"/>
      <c r="DHG8" s="72"/>
      <c r="DHN8" s="74"/>
      <c r="DHO8" s="72"/>
      <c r="DHV8" s="74"/>
      <c r="DHW8" s="72"/>
      <c r="DID8" s="74"/>
      <c r="DIE8" s="72"/>
      <c r="DIL8" s="74"/>
      <c r="DIM8" s="72"/>
      <c r="DIT8" s="74"/>
      <c r="DIU8" s="72"/>
      <c r="DJB8" s="74"/>
      <c r="DJC8" s="72"/>
      <c r="DJJ8" s="74"/>
      <c r="DJK8" s="72"/>
      <c r="DJR8" s="74"/>
      <c r="DJS8" s="72"/>
      <c r="DJZ8" s="74"/>
      <c r="DKA8" s="72"/>
      <c r="DKH8" s="74"/>
      <c r="DKI8" s="72"/>
      <c r="DKP8" s="74"/>
      <c r="DKQ8" s="72"/>
      <c r="DKX8" s="74"/>
      <c r="DKY8" s="72"/>
      <c r="DLF8" s="74"/>
      <c r="DLG8" s="72"/>
      <c r="DLN8" s="74"/>
      <c r="DLO8" s="72"/>
      <c r="DLV8" s="74"/>
      <c r="DLW8" s="72"/>
      <c r="DMD8" s="74"/>
      <c r="DME8" s="72"/>
      <c r="DML8" s="74"/>
      <c r="DMM8" s="72"/>
      <c r="DMT8" s="74"/>
      <c r="DMU8" s="72"/>
      <c r="DNB8" s="74"/>
      <c r="DNC8" s="72"/>
      <c r="DNJ8" s="74"/>
      <c r="DNK8" s="72"/>
      <c r="DNR8" s="74"/>
      <c r="DNS8" s="72"/>
      <c r="DNZ8" s="74"/>
      <c r="DOA8" s="72"/>
      <c r="DOH8" s="74"/>
      <c r="DOI8" s="72"/>
      <c r="DOP8" s="74"/>
      <c r="DOQ8" s="72"/>
      <c r="DOX8" s="74"/>
      <c r="DOY8" s="72"/>
      <c r="DPF8" s="74"/>
      <c r="DPG8" s="72"/>
      <c r="DPN8" s="74"/>
      <c r="DPO8" s="72"/>
      <c r="DPV8" s="74"/>
      <c r="DPW8" s="72"/>
      <c r="DQD8" s="74"/>
      <c r="DQE8" s="72"/>
      <c r="DQL8" s="74"/>
      <c r="DQM8" s="72"/>
      <c r="DQT8" s="74"/>
      <c r="DQU8" s="72"/>
      <c r="DRB8" s="74"/>
      <c r="DRC8" s="72"/>
      <c r="DRJ8" s="74"/>
      <c r="DRK8" s="72"/>
      <c r="DRR8" s="74"/>
      <c r="DRS8" s="72"/>
      <c r="DRZ8" s="74"/>
      <c r="DSA8" s="72"/>
      <c r="DSH8" s="74"/>
      <c r="DSI8" s="72"/>
      <c r="DSP8" s="74"/>
      <c r="DSQ8" s="72"/>
      <c r="DSX8" s="74"/>
      <c r="DSY8" s="72"/>
      <c r="DTF8" s="74"/>
      <c r="DTG8" s="72"/>
      <c r="DTN8" s="74"/>
      <c r="DTO8" s="72"/>
      <c r="DTV8" s="74"/>
      <c r="DTW8" s="72"/>
      <c r="DUD8" s="74"/>
      <c r="DUE8" s="72"/>
      <c r="DUL8" s="74"/>
      <c r="DUM8" s="72"/>
      <c r="DUT8" s="74"/>
      <c r="DUU8" s="72"/>
      <c r="DVB8" s="74"/>
      <c r="DVC8" s="72"/>
      <c r="DVJ8" s="74"/>
      <c r="DVK8" s="72"/>
      <c r="DVR8" s="74"/>
      <c r="DVS8" s="72"/>
      <c r="DVZ8" s="74"/>
      <c r="DWA8" s="72"/>
      <c r="DWH8" s="74"/>
      <c r="DWI8" s="72"/>
      <c r="DWP8" s="74"/>
      <c r="DWQ8" s="72"/>
      <c r="DWX8" s="74"/>
      <c r="DWY8" s="72"/>
      <c r="DXF8" s="74"/>
      <c r="DXG8" s="72"/>
      <c r="DXN8" s="74"/>
      <c r="DXO8" s="72"/>
      <c r="DXV8" s="74"/>
      <c r="DXW8" s="72"/>
      <c r="DYD8" s="74"/>
      <c r="DYE8" s="72"/>
      <c r="DYL8" s="74"/>
      <c r="DYM8" s="72"/>
      <c r="DYT8" s="74"/>
      <c r="DYU8" s="72"/>
      <c r="DZB8" s="74"/>
      <c r="DZC8" s="72"/>
      <c r="DZJ8" s="74"/>
      <c r="DZK8" s="72"/>
      <c r="DZR8" s="74"/>
      <c r="DZS8" s="72"/>
      <c r="DZZ8" s="74"/>
      <c r="EAA8" s="72"/>
      <c r="EAH8" s="74"/>
      <c r="EAI8" s="72"/>
      <c r="EAP8" s="74"/>
      <c r="EAQ8" s="72"/>
      <c r="EAX8" s="74"/>
      <c r="EAY8" s="72"/>
      <c r="EBF8" s="74"/>
      <c r="EBG8" s="72"/>
      <c r="EBN8" s="74"/>
      <c r="EBO8" s="72"/>
      <c r="EBV8" s="74"/>
      <c r="EBW8" s="72"/>
      <c r="ECD8" s="74"/>
      <c r="ECE8" s="72"/>
      <c r="ECL8" s="74"/>
      <c r="ECM8" s="72"/>
      <c r="ECT8" s="74"/>
      <c r="ECU8" s="72"/>
      <c r="EDB8" s="74"/>
      <c r="EDC8" s="72"/>
      <c r="EDJ8" s="74"/>
      <c r="EDK8" s="72"/>
      <c r="EDR8" s="74"/>
      <c r="EDS8" s="72"/>
      <c r="EDZ8" s="74"/>
      <c r="EEA8" s="72"/>
      <c r="EEH8" s="74"/>
      <c r="EEI8" s="72"/>
      <c r="EEP8" s="74"/>
      <c r="EEQ8" s="72"/>
      <c r="EEX8" s="74"/>
      <c r="EEY8" s="72"/>
      <c r="EFF8" s="74"/>
      <c r="EFG8" s="72"/>
      <c r="EFN8" s="74"/>
      <c r="EFO8" s="72"/>
      <c r="EFV8" s="74"/>
      <c r="EFW8" s="72"/>
      <c r="EGD8" s="74"/>
      <c r="EGE8" s="72"/>
      <c r="EGL8" s="74"/>
      <c r="EGM8" s="72"/>
      <c r="EGT8" s="74"/>
      <c r="EGU8" s="72"/>
      <c r="EHB8" s="74"/>
      <c r="EHC8" s="72"/>
      <c r="EHJ8" s="74"/>
      <c r="EHK8" s="72"/>
      <c r="EHR8" s="74"/>
      <c r="EHS8" s="72"/>
      <c r="EHZ8" s="74"/>
      <c r="EIA8" s="72"/>
      <c r="EIH8" s="74"/>
      <c r="EII8" s="72"/>
      <c r="EIP8" s="74"/>
      <c r="EIQ8" s="72"/>
      <c r="EIX8" s="74"/>
      <c r="EIY8" s="72"/>
      <c r="EJF8" s="74"/>
      <c r="EJG8" s="72"/>
      <c r="EJN8" s="74"/>
      <c r="EJO8" s="72"/>
      <c r="EJV8" s="74"/>
      <c r="EJW8" s="72"/>
      <c r="EKD8" s="74"/>
      <c r="EKE8" s="72"/>
      <c r="EKL8" s="74"/>
      <c r="EKM8" s="72"/>
      <c r="EKT8" s="74"/>
      <c r="EKU8" s="72"/>
      <c r="ELB8" s="74"/>
      <c r="ELC8" s="72"/>
      <c r="ELJ8" s="74"/>
      <c r="ELK8" s="72"/>
      <c r="ELR8" s="74"/>
      <c r="ELS8" s="72"/>
      <c r="ELZ8" s="74"/>
      <c r="EMA8" s="72"/>
      <c r="EMH8" s="74"/>
      <c r="EMI8" s="72"/>
      <c r="EMP8" s="74"/>
      <c r="EMQ8" s="72"/>
      <c r="EMX8" s="74"/>
      <c r="EMY8" s="72"/>
      <c r="ENF8" s="74"/>
      <c r="ENG8" s="72"/>
      <c r="ENN8" s="74"/>
      <c r="ENO8" s="72"/>
      <c r="ENV8" s="74"/>
      <c r="ENW8" s="72"/>
      <c r="EOD8" s="74"/>
      <c r="EOE8" s="72"/>
      <c r="EOL8" s="74"/>
      <c r="EOM8" s="72"/>
      <c r="EOT8" s="74"/>
      <c r="EOU8" s="72"/>
      <c r="EPB8" s="74"/>
      <c r="EPC8" s="72"/>
      <c r="EPJ8" s="74"/>
      <c r="EPK8" s="72"/>
      <c r="EPR8" s="74"/>
      <c r="EPS8" s="72"/>
      <c r="EPZ8" s="74"/>
      <c r="EQA8" s="72"/>
      <c r="EQH8" s="74"/>
      <c r="EQI8" s="72"/>
      <c r="EQP8" s="74"/>
      <c r="EQQ8" s="72"/>
      <c r="EQX8" s="74"/>
      <c r="EQY8" s="72"/>
      <c r="ERF8" s="74"/>
      <c r="ERG8" s="72"/>
      <c r="ERN8" s="74"/>
      <c r="ERO8" s="72"/>
      <c r="ERV8" s="74"/>
      <c r="ERW8" s="72"/>
      <c r="ESD8" s="74"/>
      <c r="ESE8" s="72"/>
      <c r="ESL8" s="74"/>
      <c r="ESM8" s="72"/>
      <c r="EST8" s="74"/>
      <c r="ESU8" s="72"/>
      <c r="ETB8" s="74"/>
      <c r="ETC8" s="72"/>
      <c r="ETJ8" s="74"/>
      <c r="ETK8" s="72"/>
      <c r="ETR8" s="74"/>
      <c r="ETS8" s="72"/>
      <c r="ETZ8" s="74"/>
      <c r="EUA8" s="72"/>
      <c r="EUH8" s="74"/>
      <c r="EUI8" s="72"/>
      <c r="EUP8" s="74"/>
      <c r="EUQ8" s="72"/>
      <c r="EUX8" s="74"/>
      <c r="EUY8" s="72"/>
      <c r="EVF8" s="74"/>
      <c r="EVG8" s="72"/>
      <c r="EVN8" s="74"/>
      <c r="EVO8" s="72"/>
      <c r="EVV8" s="74"/>
      <c r="EVW8" s="72"/>
      <c r="EWD8" s="74"/>
      <c r="EWE8" s="72"/>
      <c r="EWL8" s="74"/>
      <c r="EWM8" s="72"/>
      <c r="EWT8" s="74"/>
      <c r="EWU8" s="72"/>
      <c r="EXB8" s="74"/>
      <c r="EXC8" s="72"/>
      <c r="EXJ8" s="74"/>
      <c r="EXK8" s="72"/>
      <c r="EXR8" s="74"/>
      <c r="EXS8" s="72"/>
      <c r="EXZ8" s="74"/>
      <c r="EYA8" s="72"/>
      <c r="EYH8" s="74"/>
      <c r="EYI8" s="72"/>
      <c r="EYP8" s="74"/>
      <c r="EYQ8" s="72"/>
      <c r="EYX8" s="74"/>
      <c r="EYY8" s="72"/>
      <c r="EZF8" s="74"/>
      <c r="EZG8" s="72"/>
      <c r="EZN8" s="74"/>
      <c r="EZO8" s="72"/>
      <c r="EZV8" s="74"/>
      <c r="EZW8" s="72"/>
      <c r="FAD8" s="74"/>
      <c r="FAE8" s="72"/>
      <c r="FAL8" s="74"/>
      <c r="FAM8" s="72"/>
      <c r="FAT8" s="74"/>
      <c r="FAU8" s="72"/>
      <c r="FBB8" s="74"/>
      <c r="FBC8" s="72"/>
      <c r="FBJ8" s="74"/>
      <c r="FBK8" s="72"/>
      <c r="FBR8" s="74"/>
      <c r="FBS8" s="72"/>
      <c r="FBZ8" s="74"/>
      <c r="FCA8" s="72"/>
      <c r="FCH8" s="74"/>
      <c r="FCI8" s="72"/>
      <c r="FCP8" s="74"/>
      <c r="FCQ8" s="72"/>
      <c r="FCX8" s="74"/>
      <c r="FCY8" s="72"/>
      <c r="FDF8" s="74"/>
      <c r="FDG8" s="72"/>
      <c r="FDN8" s="74"/>
      <c r="FDO8" s="72"/>
      <c r="FDV8" s="74"/>
      <c r="FDW8" s="72"/>
      <c r="FED8" s="74"/>
      <c r="FEE8" s="72"/>
      <c r="FEL8" s="74"/>
      <c r="FEM8" s="72"/>
      <c r="FET8" s="74"/>
      <c r="FEU8" s="72"/>
      <c r="FFB8" s="74"/>
      <c r="FFC8" s="72"/>
      <c r="FFJ8" s="74"/>
      <c r="FFK8" s="72"/>
      <c r="FFR8" s="74"/>
      <c r="FFS8" s="72"/>
      <c r="FFZ8" s="74"/>
      <c r="FGA8" s="72"/>
      <c r="FGH8" s="74"/>
      <c r="FGI8" s="72"/>
      <c r="FGP8" s="74"/>
      <c r="FGQ8" s="72"/>
      <c r="FGX8" s="74"/>
      <c r="FGY8" s="72"/>
      <c r="FHF8" s="74"/>
      <c r="FHG8" s="72"/>
      <c r="FHN8" s="74"/>
      <c r="FHO8" s="72"/>
      <c r="FHV8" s="74"/>
      <c r="FHW8" s="72"/>
      <c r="FID8" s="74"/>
      <c r="FIE8" s="72"/>
      <c r="FIL8" s="74"/>
      <c r="FIM8" s="72"/>
      <c r="FIT8" s="74"/>
      <c r="FIU8" s="72"/>
      <c r="FJB8" s="74"/>
      <c r="FJC8" s="72"/>
      <c r="FJJ8" s="74"/>
      <c r="FJK8" s="72"/>
      <c r="FJR8" s="74"/>
      <c r="FJS8" s="72"/>
      <c r="FJZ8" s="74"/>
      <c r="FKA8" s="72"/>
      <c r="FKH8" s="74"/>
      <c r="FKI8" s="72"/>
      <c r="FKP8" s="74"/>
      <c r="FKQ8" s="72"/>
      <c r="FKX8" s="74"/>
      <c r="FKY8" s="72"/>
      <c r="FLF8" s="74"/>
      <c r="FLG8" s="72"/>
      <c r="FLN8" s="74"/>
      <c r="FLO8" s="72"/>
      <c r="FLV8" s="74"/>
      <c r="FLW8" s="72"/>
      <c r="FMD8" s="74"/>
      <c r="FME8" s="72"/>
      <c r="FML8" s="74"/>
      <c r="FMM8" s="72"/>
      <c r="FMT8" s="74"/>
      <c r="FMU8" s="72"/>
      <c r="FNB8" s="74"/>
      <c r="FNC8" s="72"/>
      <c r="FNJ8" s="74"/>
      <c r="FNK8" s="72"/>
      <c r="FNR8" s="74"/>
      <c r="FNS8" s="72"/>
      <c r="FNZ8" s="74"/>
      <c r="FOA8" s="72"/>
      <c r="FOH8" s="74"/>
      <c r="FOI8" s="72"/>
      <c r="FOP8" s="74"/>
      <c r="FOQ8" s="72"/>
      <c r="FOX8" s="74"/>
      <c r="FOY8" s="72"/>
      <c r="FPF8" s="74"/>
      <c r="FPG8" s="72"/>
      <c r="FPN8" s="74"/>
      <c r="FPO8" s="72"/>
      <c r="FPV8" s="74"/>
      <c r="FPW8" s="72"/>
      <c r="FQD8" s="74"/>
      <c r="FQE8" s="72"/>
      <c r="FQL8" s="74"/>
      <c r="FQM8" s="72"/>
      <c r="FQT8" s="74"/>
      <c r="FQU8" s="72"/>
      <c r="FRB8" s="74"/>
      <c r="FRC8" s="72"/>
      <c r="FRJ8" s="74"/>
      <c r="FRK8" s="72"/>
      <c r="FRR8" s="74"/>
      <c r="FRS8" s="72"/>
      <c r="FRZ8" s="74"/>
      <c r="FSA8" s="72"/>
      <c r="FSH8" s="74"/>
      <c r="FSI8" s="72"/>
      <c r="FSP8" s="74"/>
      <c r="FSQ8" s="72"/>
      <c r="FSX8" s="74"/>
      <c r="FSY8" s="72"/>
      <c r="FTF8" s="74"/>
      <c r="FTG8" s="72"/>
      <c r="FTN8" s="74"/>
      <c r="FTO8" s="72"/>
      <c r="FTV8" s="74"/>
      <c r="FTW8" s="72"/>
      <c r="FUD8" s="74"/>
      <c r="FUE8" s="72"/>
      <c r="FUL8" s="74"/>
      <c r="FUM8" s="72"/>
      <c r="FUT8" s="74"/>
      <c r="FUU8" s="72"/>
      <c r="FVB8" s="74"/>
      <c r="FVC8" s="72"/>
      <c r="FVJ8" s="74"/>
      <c r="FVK8" s="72"/>
      <c r="FVR8" s="74"/>
      <c r="FVS8" s="72"/>
      <c r="FVZ8" s="74"/>
      <c r="FWA8" s="72"/>
      <c r="FWH8" s="74"/>
      <c r="FWI8" s="72"/>
      <c r="FWP8" s="74"/>
      <c r="FWQ8" s="72"/>
      <c r="FWX8" s="74"/>
      <c r="FWY8" s="72"/>
      <c r="FXF8" s="74"/>
      <c r="FXG8" s="72"/>
      <c r="FXN8" s="74"/>
      <c r="FXO8" s="72"/>
      <c r="FXV8" s="74"/>
      <c r="FXW8" s="72"/>
      <c r="FYD8" s="74"/>
      <c r="FYE8" s="72"/>
      <c r="FYL8" s="74"/>
      <c r="FYM8" s="72"/>
      <c r="FYT8" s="74"/>
      <c r="FYU8" s="72"/>
      <c r="FZB8" s="74"/>
      <c r="FZC8" s="72"/>
      <c r="FZJ8" s="74"/>
      <c r="FZK8" s="72"/>
      <c r="FZR8" s="74"/>
      <c r="FZS8" s="72"/>
      <c r="FZZ8" s="74"/>
      <c r="GAA8" s="72"/>
      <c r="GAH8" s="74"/>
      <c r="GAI8" s="72"/>
      <c r="GAP8" s="74"/>
      <c r="GAQ8" s="72"/>
      <c r="GAX8" s="74"/>
      <c r="GAY8" s="72"/>
      <c r="GBF8" s="74"/>
      <c r="GBG8" s="72"/>
      <c r="GBN8" s="74"/>
      <c r="GBO8" s="72"/>
      <c r="GBV8" s="74"/>
      <c r="GBW8" s="72"/>
      <c r="GCD8" s="74"/>
      <c r="GCE8" s="72"/>
      <c r="GCL8" s="74"/>
      <c r="GCM8" s="72"/>
      <c r="GCT8" s="74"/>
      <c r="GCU8" s="72"/>
      <c r="GDB8" s="74"/>
      <c r="GDC8" s="72"/>
      <c r="GDJ8" s="74"/>
      <c r="GDK8" s="72"/>
      <c r="GDR8" s="74"/>
      <c r="GDS8" s="72"/>
      <c r="GDZ8" s="74"/>
      <c r="GEA8" s="72"/>
      <c r="GEH8" s="74"/>
      <c r="GEI8" s="72"/>
      <c r="GEP8" s="74"/>
      <c r="GEQ8" s="72"/>
      <c r="GEX8" s="74"/>
      <c r="GEY8" s="72"/>
      <c r="GFF8" s="74"/>
      <c r="GFG8" s="72"/>
      <c r="GFN8" s="74"/>
      <c r="GFO8" s="72"/>
      <c r="GFV8" s="74"/>
      <c r="GFW8" s="72"/>
      <c r="GGD8" s="74"/>
      <c r="GGE8" s="72"/>
      <c r="GGL8" s="74"/>
      <c r="GGM8" s="72"/>
      <c r="GGT8" s="74"/>
      <c r="GGU8" s="72"/>
      <c r="GHB8" s="74"/>
      <c r="GHC8" s="72"/>
      <c r="GHJ8" s="74"/>
      <c r="GHK8" s="72"/>
      <c r="GHR8" s="74"/>
      <c r="GHS8" s="72"/>
      <c r="GHZ8" s="74"/>
      <c r="GIA8" s="72"/>
      <c r="GIH8" s="74"/>
      <c r="GII8" s="72"/>
      <c r="GIP8" s="74"/>
      <c r="GIQ8" s="72"/>
      <c r="GIX8" s="74"/>
      <c r="GIY8" s="72"/>
      <c r="GJF8" s="74"/>
      <c r="GJG8" s="72"/>
      <c r="GJN8" s="74"/>
      <c r="GJO8" s="72"/>
      <c r="GJV8" s="74"/>
      <c r="GJW8" s="72"/>
      <c r="GKD8" s="74"/>
      <c r="GKE8" s="72"/>
      <c r="GKL8" s="74"/>
      <c r="GKM8" s="72"/>
      <c r="GKT8" s="74"/>
      <c r="GKU8" s="72"/>
      <c r="GLB8" s="74"/>
      <c r="GLC8" s="72"/>
      <c r="GLJ8" s="74"/>
      <c r="GLK8" s="72"/>
      <c r="GLR8" s="74"/>
      <c r="GLS8" s="72"/>
      <c r="GLZ8" s="74"/>
      <c r="GMA8" s="72"/>
      <c r="GMH8" s="74"/>
      <c r="GMI8" s="72"/>
      <c r="GMP8" s="74"/>
      <c r="GMQ8" s="72"/>
      <c r="GMX8" s="74"/>
      <c r="GMY8" s="72"/>
      <c r="GNF8" s="74"/>
      <c r="GNG8" s="72"/>
      <c r="GNN8" s="74"/>
      <c r="GNO8" s="72"/>
      <c r="GNV8" s="74"/>
      <c r="GNW8" s="72"/>
      <c r="GOD8" s="74"/>
      <c r="GOE8" s="72"/>
      <c r="GOL8" s="74"/>
      <c r="GOM8" s="72"/>
      <c r="GOT8" s="74"/>
      <c r="GOU8" s="72"/>
      <c r="GPB8" s="74"/>
      <c r="GPC8" s="72"/>
      <c r="GPJ8" s="74"/>
      <c r="GPK8" s="72"/>
      <c r="GPR8" s="74"/>
      <c r="GPS8" s="72"/>
      <c r="GPZ8" s="74"/>
      <c r="GQA8" s="72"/>
      <c r="GQH8" s="74"/>
      <c r="GQI8" s="72"/>
      <c r="GQP8" s="74"/>
      <c r="GQQ8" s="72"/>
      <c r="GQX8" s="74"/>
      <c r="GQY8" s="72"/>
      <c r="GRF8" s="74"/>
      <c r="GRG8" s="72"/>
      <c r="GRN8" s="74"/>
      <c r="GRO8" s="72"/>
      <c r="GRV8" s="74"/>
      <c r="GRW8" s="72"/>
      <c r="GSD8" s="74"/>
      <c r="GSE8" s="72"/>
      <c r="GSL8" s="74"/>
      <c r="GSM8" s="72"/>
      <c r="GST8" s="74"/>
      <c r="GSU8" s="72"/>
      <c r="GTB8" s="74"/>
      <c r="GTC8" s="72"/>
      <c r="GTJ8" s="74"/>
      <c r="GTK8" s="72"/>
      <c r="GTR8" s="74"/>
      <c r="GTS8" s="72"/>
      <c r="GTZ8" s="74"/>
      <c r="GUA8" s="72"/>
      <c r="GUH8" s="74"/>
      <c r="GUI8" s="72"/>
      <c r="GUP8" s="74"/>
      <c r="GUQ8" s="72"/>
      <c r="GUX8" s="74"/>
      <c r="GUY8" s="72"/>
      <c r="GVF8" s="74"/>
      <c r="GVG8" s="72"/>
      <c r="GVN8" s="74"/>
      <c r="GVO8" s="72"/>
      <c r="GVV8" s="74"/>
      <c r="GVW8" s="72"/>
      <c r="GWD8" s="74"/>
      <c r="GWE8" s="72"/>
      <c r="GWL8" s="74"/>
      <c r="GWM8" s="72"/>
      <c r="GWT8" s="74"/>
      <c r="GWU8" s="72"/>
      <c r="GXB8" s="74"/>
      <c r="GXC8" s="72"/>
      <c r="GXJ8" s="74"/>
      <c r="GXK8" s="72"/>
      <c r="GXR8" s="74"/>
      <c r="GXS8" s="72"/>
      <c r="GXZ8" s="74"/>
      <c r="GYA8" s="72"/>
      <c r="GYH8" s="74"/>
      <c r="GYI8" s="72"/>
      <c r="GYP8" s="74"/>
      <c r="GYQ8" s="72"/>
      <c r="GYX8" s="74"/>
      <c r="GYY8" s="72"/>
      <c r="GZF8" s="74"/>
      <c r="GZG8" s="72"/>
      <c r="GZN8" s="74"/>
      <c r="GZO8" s="72"/>
      <c r="GZV8" s="74"/>
      <c r="GZW8" s="72"/>
      <c r="HAD8" s="74"/>
      <c r="HAE8" s="72"/>
      <c r="HAL8" s="74"/>
      <c r="HAM8" s="72"/>
      <c r="HAT8" s="74"/>
      <c r="HAU8" s="72"/>
      <c r="HBB8" s="74"/>
      <c r="HBC8" s="72"/>
      <c r="HBJ8" s="74"/>
      <c r="HBK8" s="72"/>
      <c r="HBR8" s="74"/>
      <c r="HBS8" s="72"/>
      <c r="HBZ8" s="74"/>
      <c r="HCA8" s="72"/>
      <c r="HCH8" s="74"/>
      <c r="HCI8" s="72"/>
      <c r="HCP8" s="74"/>
      <c r="HCQ8" s="72"/>
      <c r="HCX8" s="74"/>
      <c r="HCY8" s="72"/>
      <c r="HDF8" s="74"/>
      <c r="HDG8" s="72"/>
      <c r="HDN8" s="74"/>
      <c r="HDO8" s="72"/>
      <c r="HDV8" s="74"/>
      <c r="HDW8" s="72"/>
      <c r="HED8" s="74"/>
      <c r="HEE8" s="72"/>
      <c r="HEL8" s="74"/>
      <c r="HEM8" s="72"/>
      <c r="HET8" s="74"/>
      <c r="HEU8" s="72"/>
      <c r="HFB8" s="74"/>
      <c r="HFC8" s="72"/>
      <c r="HFJ8" s="74"/>
      <c r="HFK8" s="72"/>
      <c r="HFR8" s="74"/>
      <c r="HFS8" s="72"/>
      <c r="HFZ8" s="74"/>
      <c r="HGA8" s="72"/>
      <c r="HGH8" s="74"/>
      <c r="HGI8" s="72"/>
      <c r="HGP8" s="74"/>
      <c r="HGQ8" s="72"/>
      <c r="HGX8" s="74"/>
      <c r="HGY8" s="72"/>
      <c r="HHF8" s="74"/>
      <c r="HHG8" s="72"/>
      <c r="HHN8" s="74"/>
      <c r="HHO8" s="72"/>
      <c r="HHV8" s="74"/>
      <c r="HHW8" s="72"/>
      <c r="HID8" s="74"/>
      <c r="HIE8" s="72"/>
      <c r="HIL8" s="74"/>
      <c r="HIM8" s="72"/>
      <c r="HIT8" s="74"/>
      <c r="HIU8" s="72"/>
      <c r="HJB8" s="74"/>
      <c r="HJC8" s="72"/>
      <c r="HJJ8" s="74"/>
      <c r="HJK8" s="72"/>
      <c r="HJR8" s="74"/>
      <c r="HJS8" s="72"/>
      <c r="HJZ8" s="74"/>
      <c r="HKA8" s="72"/>
      <c r="HKH8" s="74"/>
      <c r="HKI8" s="72"/>
      <c r="HKP8" s="74"/>
      <c r="HKQ8" s="72"/>
      <c r="HKX8" s="74"/>
      <c r="HKY8" s="72"/>
      <c r="HLF8" s="74"/>
      <c r="HLG8" s="72"/>
      <c r="HLN8" s="74"/>
      <c r="HLO8" s="72"/>
      <c r="HLV8" s="74"/>
      <c r="HLW8" s="72"/>
      <c r="HMD8" s="74"/>
      <c r="HME8" s="72"/>
      <c r="HML8" s="74"/>
      <c r="HMM8" s="72"/>
      <c r="HMT8" s="74"/>
      <c r="HMU8" s="72"/>
      <c r="HNB8" s="74"/>
      <c r="HNC8" s="72"/>
      <c r="HNJ8" s="74"/>
      <c r="HNK8" s="72"/>
      <c r="HNR8" s="74"/>
      <c r="HNS8" s="72"/>
      <c r="HNZ8" s="74"/>
      <c r="HOA8" s="72"/>
      <c r="HOH8" s="74"/>
      <c r="HOI8" s="72"/>
      <c r="HOP8" s="74"/>
      <c r="HOQ8" s="72"/>
      <c r="HOX8" s="74"/>
      <c r="HOY8" s="72"/>
      <c r="HPF8" s="74"/>
      <c r="HPG8" s="72"/>
      <c r="HPN8" s="74"/>
      <c r="HPO8" s="72"/>
      <c r="HPV8" s="74"/>
      <c r="HPW8" s="72"/>
      <c r="HQD8" s="74"/>
      <c r="HQE8" s="72"/>
      <c r="HQL8" s="74"/>
      <c r="HQM8" s="72"/>
      <c r="HQT8" s="74"/>
      <c r="HQU8" s="72"/>
      <c r="HRB8" s="74"/>
      <c r="HRC8" s="72"/>
      <c r="HRJ8" s="74"/>
      <c r="HRK8" s="72"/>
      <c r="HRR8" s="74"/>
      <c r="HRS8" s="72"/>
      <c r="HRZ8" s="74"/>
      <c r="HSA8" s="72"/>
      <c r="HSH8" s="74"/>
      <c r="HSI8" s="72"/>
      <c r="HSP8" s="74"/>
      <c r="HSQ8" s="72"/>
      <c r="HSX8" s="74"/>
      <c r="HSY8" s="72"/>
      <c r="HTF8" s="74"/>
      <c r="HTG8" s="72"/>
      <c r="HTN8" s="74"/>
      <c r="HTO8" s="72"/>
      <c r="HTV8" s="74"/>
      <c r="HTW8" s="72"/>
      <c r="HUD8" s="74"/>
      <c r="HUE8" s="72"/>
      <c r="HUL8" s="74"/>
      <c r="HUM8" s="72"/>
      <c r="HUT8" s="74"/>
      <c r="HUU8" s="72"/>
      <c r="HVB8" s="74"/>
      <c r="HVC8" s="72"/>
      <c r="HVJ8" s="74"/>
      <c r="HVK8" s="72"/>
      <c r="HVR8" s="74"/>
      <c r="HVS8" s="72"/>
      <c r="HVZ8" s="74"/>
      <c r="HWA8" s="72"/>
      <c r="HWH8" s="74"/>
      <c r="HWI8" s="72"/>
      <c r="HWP8" s="74"/>
      <c r="HWQ8" s="72"/>
      <c r="HWX8" s="74"/>
      <c r="HWY8" s="72"/>
      <c r="HXF8" s="74"/>
      <c r="HXG8" s="72"/>
      <c r="HXN8" s="74"/>
      <c r="HXO8" s="72"/>
      <c r="HXV8" s="74"/>
      <c r="HXW8" s="72"/>
      <c r="HYD8" s="74"/>
      <c r="HYE8" s="72"/>
      <c r="HYL8" s="74"/>
      <c r="HYM8" s="72"/>
      <c r="HYT8" s="74"/>
      <c r="HYU8" s="72"/>
      <c r="HZB8" s="74"/>
      <c r="HZC8" s="72"/>
      <c r="HZJ8" s="74"/>
      <c r="HZK8" s="72"/>
      <c r="HZR8" s="74"/>
      <c r="HZS8" s="72"/>
      <c r="HZZ8" s="74"/>
      <c r="IAA8" s="72"/>
      <c r="IAH8" s="74"/>
      <c r="IAI8" s="72"/>
      <c r="IAP8" s="74"/>
      <c r="IAQ8" s="72"/>
      <c r="IAX8" s="74"/>
      <c r="IAY8" s="72"/>
      <c r="IBF8" s="74"/>
      <c r="IBG8" s="72"/>
      <c r="IBN8" s="74"/>
      <c r="IBO8" s="72"/>
      <c r="IBV8" s="74"/>
      <c r="IBW8" s="72"/>
      <c r="ICD8" s="74"/>
      <c r="ICE8" s="72"/>
      <c r="ICL8" s="74"/>
      <c r="ICM8" s="72"/>
      <c r="ICT8" s="74"/>
      <c r="ICU8" s="72"/>
      <c r="IDB8" s="74"/>
      <c r="IDC8" s="72"/>
      <c r="IDJ8" s="74"/>
      <c r="IDK8" s="72"/>
      <c r="IDR8" s="74"/>
      <c r="IDS8" s="72"/>
      <c r="IDZ8" s="74"/>
      <c r="IEA8" s="72"/>
      <c r="IEH8" s="74"/>
      <c r="IEI8" s="72"/>
      <c r="IEP8" s="74"/>
      <c r="IEQ8" s="72"/>
      <c r="IEX8" s="74"/>
      <c r="IEY8" s="72"/>
      <c r="IFF8" s="74"/>
      <c r="IFG8" s="72"/>
      <c r="IFN8" s="74"/>
      <c r="IFO8" s="72"/>
      <c r="IFV8" s="74"/>
      <c r="IFW8" s="72"/>
      <c r="IGD8" s="74"/>
      <c r="IGE8" s="72"/>
      <c r="IGL8" s="74"/>
      <c r="IGM8" s="72"/>
      <c r="IGT8" s="74"/>
      <c r="IGU8" s="72"/>
      <c r="IHB8" s="74"/>
      <c r="IHC8" s="72"/>
      <c r="IHJ8" s="74"/>
      <c r="IHK8" s="72"/>
      <c r="IHR8" s="74"/>
      <c r="IHS8" s="72"/>
      <c r="IHZ8" s="74"/>
      <c r="IIA8" s="72"/>
      <c r="IIH8" s="74"/>
      <c r="III8" s="72"/>
      <c r="IIP8" s="74"/>
      <c r="IIQ8" s="72"/>
      <c r="IIX8" s="74"/>
      <c r="IIY8" s="72"/>
      <c r="IJF8" s="74"/>
      <c r="IJG8" s="72"/>
      <c r="IJN8" s="74"/>
      <c r="IJO8" s="72"/>
      <c r="IJV8" s="74"/>
      <c r="IJW8" s="72"/>
      <c r="IKD8" s="74"/>
      <c r="IKE8" s="72"/>
      <c r="IKL8" s="74"/>
      <c r="IKM8" s="72"/>
      <c r="IKT8" s="74"/>
      <c r="IKU8" s="72"/>
      <c r="ILB8" s="74"/>
      <c r="ILC8" s="72"/>
      <c r="ILJ8" s="74"/>
      <c r="ILK8" s="72"/>
      <c r="ILR8" s="74"/>
      <c r="ILS8" s="72"/>
      <c r="ILZ8" s="74"/>
      <c r="IMA8" s="72"/>
      <c r="IMH8" s="74"/>
      <c r="IMI8" s="72"/>
      <c r="IMP8" s="74"/>
      <c r="IMQ8" s="72"/>
      <c r="IMX8" s="74"/>
      <c r="IMY8" s="72"/>
      <c r="INF8" s="74"/>
      <c r="ING8" s="72"/>
      <c r="INN8" s="74"/>
      <c r="INO8" s="72"/>
      <c r="INV8" s="74"/>
      <c r="INW8" s="72"/>
      <c r="IOD8" s="74"/>
      <c r="IOE8" s="72"/>
      <c r="IOL8" s="74"/>
      <c r="IOM8" s="72"/>
      <c r="IOT8" s="74"/>
      <c r="IOU8" s="72"/>
      <c r="IPB8" s="74"/>
      <c r="IPC8" s="72"/>
      <c r="IPJ8" s="74"/>
      <c r="IPK8" s="72"/>
      <c r="IPR8" s="74"/>
      <c r="IPS8" s="72"/>
      <c r="IPZ8" s="74"/>
      <c r="IQA8" s="72"/>
      <c r="IQH8" s="74"/>
      <c r="IQI8" s="72"/>
      <c r="IQP8" s="74"/>
      <c r="IQQ8" s="72"/>
      <c r="IQX8" s="74"/>
      <c r="IQY8" s="72"/>
      <c r="IRF8" s="74"/>
      <c r="IRG8" s="72"/>
      <c r="IRN8" s="74"/>
      <c r="IRO8" s="72"/>
      <c r="IRV8" s="74"/>
      <c r="IRW8" s="72"/>
      <c r="ISD8" s="74"/>
      <c r="ISE8" s="72"/>
      <c r="ISL8" s="74"/>
      <c r="ISM8" s="72"/>
      <c r="IST8" s="74"/>
      <c r="ISU8" s="72"/>
      <c r="ITB8" s="74"/>
      <c r="ITC8" s="72"/>
      <c r="ITJ8" s="74"/>
      <c r="ITK8" s="72"/>
      <c r="ITR8" s="74"/>
      <c r="ITS8" s="72"/>
      <c r="ITZ8" s="74"/>
      <c r="IUA8" s="72"/>
      <c r="IUH8" s="74"/>
      <c r="IUI8" s="72"/>
      <c r="IUP8" s="74"/>
      <c r="IUQ8" s="72"/>
      <c r="IUX8" s="74"/>
      <c r="IUY8" s="72"/>
      <c r="IVF8" s="74"/>
      <c r="IVG8" s="72"/>
      <c r="IVN8" s="74"/>
      <c r="IVO8" s="72"/>
      <c r="IVV8" s="74"/>
      <c r="IVW8" s="72"/>
      <c r="IWD8" s="74"/>
      <c r="IWE8" s="72"/>
      <c r="IWL8" s="74"/>
      <c r="IWM8" s="72"/>
      <c r="IWT8" s="74"/>
      <c r="IWU8" s="72"/>
      <c r="IXB8" s="74"/>
      <c r="IXC8" s="72"/>
      <c r="IXJ8" s="74"/>
      <c r="IXK8" s="72"/>
      <c r="IXR8" s="74"/>
      <c r="IXS8" s="72"/>
      <c r="IXZ8" s="74"/>
      <c r="IYA8" s="72"/>
      <c r="IYH8" s="74"/>
      <c r="IYI8" s="72"/>
      <c r="IYP8" s="74"/>
      <c r="IYQ8" s="72"/>
      <c r="IYX8" s="74"/>
      <c r="IYY8" s="72"/>
      <c r="IZF8" s="74"/>
      <c r="IZG8" s="72"/>
      <c r="IZN8" s="74"/>
      <c r="IZO8" s="72"/>
      <c r="IZV8" s="74"/>
      <c r="IZW8" s="72"/>
      <c r="JAD8" s="74"/>
      <c r="JAE8" s="72"/>
      <c r="JAL8" s="74"/>
      <c r="JAM8" s="72"/>
      <c r="JAT8" s="74"/>
      <c r="JAU8" s="72"/>
      <c r="JBB8" s="74"/>
      <c r="JBC8" s="72"/>
      <c r="JBJ8" s="74"/>
      <c r="JBK8" s="72"/>
      <c r="JBR8" s="74"/>
      <c r="JBS8" s="72"/>
      <c r="JBZ8" s="74"/>
      <c r="JCA8" s="72"/>
      <c r="JCH8" s="74"/>
      <c r="JCI8" s="72"/>
      <c r="JCP8" s="74"/>
      <c r="JCQ8" s="72"/>
      <c r="JCX8" s="74"/>
      <c r="JCY8" s="72"/>
      <c r="JDF8" s="74"/>
      <c r="JDG8" s="72"/>
      <c r="JDN8" s="74"/>
      <c r="JDO8" s="72"/>
      <c r="JDV8" s="74"/>
      <c r="JDW8" s="72"/>
      <c r="JED8" s="74"/>
      <c r="JEE8" s="72"/>
      <c r="JEL8" s="74"/>
      <c r="JEM8" s="72"/>
      <c r="JET8" s="74"/>
      <c r="JEU8" s="72"/>
      <c r="JFB8" s="74"/>
      <c r="JFC8" s="72"/>
      <c r="JFJ8" s="74"/>
      <c r="JFK8" s="72"/>
      <c r="JFR8" s="74"/>
      <c r="JFS8" s="72"/>
      <c r="JFZ8" s="74"/>
      <c r="JGA8" s="72"/>
      <c r="JGH8" s="74"/>
      <c r="JGI8" s="72"/>
      <c r="JGP8" s="74"/>
      <c r="JGQ8" s="72"/>
      <c r="JGX8" s="74"/>
      <c r="JGY8" s="72"/>
      <c r="JHF8" s="74"/>
      <c r="JHG8" s="72"/>
      <c r="JHN8" s="74"/>
      <c r="JHO8" s="72"/>
      <c r="JHV8" s="74"/>
      <c r="JHW8" s="72"/>
      <c r="JID8" s="74"/>
      <c r="JIE8" s="72"/>
      <c r="JIL8" s="74"/>
      <c r="JIM8" s="72"/>
      <c r="JIT8" s="74"/>
      <c r="JIU8" s="72"/>
      <c r="JJB8" s="74"/>
      <c r="JJC8" s="72"/>
      <c r="JJJ8" s="74"/>
      <c r="JJK8" s="72"/>
      <c r="JJR8" s="74"/>
      <c r="JJS8" s="72"/>
      <c r="JJZ8" s="74"/>
      <c r="JKA8" s="72"/>
      <c r="JKH8" s="74"/>
      <c r="JKI8" s="72"/>
      <c r="JKP8" s="74"/>
      <c r="JKQ8" s="72"/>
      <c r="JKX8" s="74"/>
      <c r="JKY8" s="72"/>
      <c r="JLF8" s="74"/>
      <c r="JLG8" s="72"/>
      <c r="JLN8" s="74"/>
      <c r="JLO8" s="72"/>
      <c r="JLV8" s="74"/>
      <c r="JLW8" s="72"/>
      <c r="JMD8" s="74"/>
      <c r="JME8" s="72"/>
      <c r="JML8" s="74"/>
      <c r="JMM8" s="72"/>
      <c r="JMT8" s="74"/>
      <c r="JMU8" s="72"/>
      <c r="JNB8" s="74"/>
      <c r="JNC8" s="72"/>
      <c r="JNJ8" s="74"/>
      <c r="JNK8" s="72"/>
      <c r="JNR8" s="74"/>
      <c r="JNS8" s="72"/>
      <c r="JNZ8" s="74"/>
      <c r="JOA8" s="72"/>
      <c r="JOH8" s="74"/>
      <c r="JOI8" s="72"/>
      <c r="JOP8" s="74"/>
      <c r="JOQ8" s="72"/>
      <c r="JOX8" s="74"/>
      <c r="JOY8" s="72"/>
      <c r="JPF8" s="74"/>
      <c r="JPG8" s="72"/>
      <c r="JPN8" s="74"/>
      <c r="JPO8" s="72"/>
      <c r="JPV8" s="74"/>
      <c r="JPW8" s="72"/>
      <c r="JQD8" s="74"/>
      <c r="JQE8" s="72"/>
      <c r="JQL8" s="74"/>
      <c r="JQM8" s="72"/>
      <c r="JQT8" s="74"/>
      <c r="JQU8" s="72"/>
      <c r="JRB8" s="74"/>
      <c r="JRC8" s="72"/>
      <c r="JRJ8" s="74"/>
      <c r="JRK8" s="72"/>
      <c r="JRR8" s="74"/>
      <c r="JRS8" s="72"/>
      <c r="JRZ8" s="74"/>
      <c r="JSA8" s="72"/>
      <c r="JSH8" s="74"/>
      <c r="JSI8" s="72"/>
      <c r="JSP8" s="74"/>
      <c r="JSQ8" s="72"/>
      <c r="JSX8" s="74"/>
      <c r="JSY8" s="72"/>
      <c r="JTF8" s="74"/>
      <c r="JTG8" s="72"/>
      <c r="JTN8" s="74"/>
      <c r="JTO8" s="72"/>
      <c r="JTV8" s="74"/>
      <c r="JTW8" s="72"/>
      <c r="JUD8" s="74"/>
      <c r="JUE8" s="72"/>
      <c r="JUL8" s="74"/>
      <c r="JUM8" s="72"/>
      <c r="JUT8" s="74"/>
      <c r="JUU8" s="72"/>
      <c r="JVB8" s="74"/>
      <c r="JVC8" s="72"/>
      <c r="JVJ8" s="74"/>
      <c r="JVK8" s="72"/>
      <c r="JVR8" s="74"/>
      <c r="JVS8" s="72"/>
      <c r="JVZ8" s="74"/>
      <c r="JWA8" s="72"/>
      <c r="JWH8" s="74"/>
      <c r="JWI8" s="72"/>
      <c r="JWP8" s="74"/>
      <c r="JWQ8" s="72"/>
      <c r="JWX8" s="74"/>
      <c r="JWY8" s="72"/>
      <c r="JXF8" s="74"/>
      <c r="JXG8" s="72"/>
      <c r="JXN8" s="74"/>
      <c r="JXO8" s="72"/>
      <c r="JXV8" s="74"/>
      <c r="JXW8" s="72"/>
      <c r="JYD8" s="74"/>
      <c r="JYE8" s="72"/>
      <c r="JYL8" s="74"/>
      <c r="JYM8" s="72"/>
      <c r="JYT8" s="74"/>
      <c r="JYU8" s="72"/>
      <c r="JZB8" s="74"/>
      <c r="JZC8" s="72"/>
      <c r="JZJ8" s="74"/>
      <c r="JZK8" s="72"/>
      <c r="JZR8" s="74"/>
      <c r="JZS8" s="72"/>
      <c r="JZZ8" s="74"/>
      <c r="KAA8" s="72"/>
      <c r="KAH8" s="74"/>
      <c r="KAI8" s="72"/>
      <c r="KAP8" s="74"/>
      <c r="KAQ8" s="72"/>
      <c r="KAX8" s="74"/>
      <c r="KAY8" s="72"/>
      <c r="KBF8" s="74"/>
      <c r="KBG8" s="72"/>
      <c r="KBN8" s="74"/>
      <c r="KBO8" s="72"/>
      <c r="KBV8" s="74"/>
      <c r="KBW8" s="72"/>
      <c r="KCD8" s="74"/>
      <c r="KCE8" s="72"/>
      <c r="KCL8" s="74"/>
      <c r="KCM8" s="72"/>
      <c r="KCT8" s="74"/>
      <c r="KCU8" s="72"/>
      <c r="KDB8" s="74"/>
      <c r="KDC8" s="72"/>
      <c r="KDJ8" s="74"/>
      <c r="KDK8" s="72"/>
      <c r="KDR8" s="74"/>
      <c r="KDS8" s="72"/>
      <c r="KDZ8" s="74"/>
      <c r="KEA8" s="72"/>
      <c r="KEH8" s="74"/>
      <c r="KEI8" s="72"/>
      <c r="KEP8" s="74"/>
      <c r="KEQ8" s="72"/>
      <c r="KEX8" s="74"/>
      <c r="KEY8" s="72"/>
      <c r="KFF8" s="74"/>
      <c r="KFG8" s="72"/>
      <c r="KFN8" s="74"/>
      <c r="KFO8" s="72"/>
      <c r="KFV8" s="74"/>
      <c r="KFW8" s="72"/>
      <c r="KGD8" s="74"/>
      <c r="KGE8" s="72"/>
      <c r="KGL8" s="74"/>
      <c r="KGM8" s="72"/>
      <c r="KGT8" s="74"/>
      <c r="KGU8" s="72"/>
      <c r="KHB8" s="74"/>
      <c r="KHC8" s="72"/>
      <c r="KHJ8" s="74"/>
      <c r="KHK8" s="72"/>
      <c r="KHR8" s="74"/>
      <c r="KHS8" s="72"/>
      <c r="KHZ8" s="74"/>
      <c r="KIA8" s="72"/>
      <c r="KIH8" s="74"/>
      <c r="KII8" s="72"/>
      <c r="KIP8" s="74"/>
      <c r="KIQ8" s="72"/>
      <c r="KIX8" s="74"/>
      <c r="KIY8" s="72"/>
      <c r="KJF8" s="74"/>
      <c r="KJG8" s="72"/>
      <c r="KJN8" s="74"/>
      <c r="KJO8" s="72"/>
      <c r="KJV8" s="74"/>
      <c r="KJW8" s="72"/>
      <c r="KKD8" s="74"/>
      <c r="KKE8" s="72"/>
      <c r="KKL8" s="74"/>
      <c r="KKM8" s="72"/>
      <c r="KKT8" s="74"/>
      <c r="KKU8" s="72"/>
      <c r="KLB8" s="74"/>
      <c r="KLC8" s="72"/>
      <c r="KLJ8" s="74"/>
      <c r="KLK8" s="72"/>
      <c r="KLR8" s="74"/>
      <c r="KLS8" s="72"/>
      <c r="KLZ8" s="74"/>
      <c r="KMA8" s="72"/>
      <c r="KMH8" s="74"/>
      <c r="KMI8" s="72"/>
      <c r="KMP8" s="74"/>
      <c r="KMQ8" s="72"/>
      <c r="KMX8" s="74"/>
      <c r="KMY8" s="72"/>
      <c r="KNF8" s="74"/>
      <c r="KNG8" s="72"/>
      <c r="KNN8" s="74"/>
      <c r="KNO8" s="72"/>
      <c r="KNV8" s="74"/>
      <c r="KNW8" s="72"/>
      <c r="KOD8" s="74"/>
      <c r="KOE8" s="72"/>
      <c r="KOL8" s="74"/>
      <c r="KOM8" s="72"/>
      <c r="KOT8" s="74"/>
      <c r="KOU8" s="72"/>
      <c r="KPB8" s="74"/>
      <c r="KPC8" s="72"/>
      <c r="KPJ8" s="74"/>
      <c r="KPK8" s="72"/>
      <c r="KPR8" s="74"/>
      <c r="KPS8" s="72"/>
      <c r="KPZ8" s="74"/>
      <c r="KQA8" s="72"/>
      <c r="KQH8" s="74"/>
      <c r="KQI8" s="72"/>
      <c r="KQP8" s="74"/>
      <c r="KQQ8" s="72"/>
      <c r="KQX8" s="74"/>
      <c r="KQY8" s="72"/>
      <c r="KRF8" s="74"/>
      <c r="KRG8" s="72"/>
      <c r="KRN8" s="74"/>
      <c r="KRO8" s="72"/>
      <c r="KRV8" s="74"/>
      <c r="KRW8" s="72"/>
      <c r="KSD8" s="74"/>
      <c r="KSE8" s="72"/>
      <c r="KSL8" s="74"/>
      <c r="KSM8" s="72"/>
      <c r="KST8" s="74"/>
      <c r="KSU8" s="72"/>
      <c r="KTB8" s="74"/>
      <c r="KTC8" s="72"/>
      <c r="KTJ8" s="74"/>
      <c r="KTK8" s="72"/>
      <c r="KTR8" s="74"/>
      <c r="KTS8" s="72"/>
      <c r="KTZ8" s="74"/>
      <c r="KUA8" s="72"/>
      <c r="KUH8" s="74"/>
      <c r="KUI8" s="72"/>
      <c r="KUP8" s="74"/>
      <c r="KUQ8" s="72"/>
      <c r="KUX8" s="74"/>
      <c r="KUY8" s="72"/>
      <c r="KVF8" s="74"/>
      <c r="KVG8" s="72"/>
      <c r="KVN8" s="74"/>
      <c r="KVO8" s="72"/>
      <c r="KVV8" s="74"/>
      <c r="KVW8" s="72"/>
      <c r="KWD8" s="74"/>
      <c r="KWE8" s="72"/>
      <c r="KWL8" s="74"/>
      <c r="KWM8" s="72"/>
      <c r="KWT8" s="74"/>
      <c r="KWU8" s="72"/>
      <c r="KXB8" s="74"/>
      <c r="KXC8" s="72"/>
      <c r="KXJ8" s="74"/>
      <c r="KXK8" s="72"/>
      <c r="KXR8" s="74"/>
      <c r="KXS8" s="72"/>
      <c r="KXZ8" s="74"/>
      <c r="KYA8" s="72"/>
      <c r="KYH8" s="74"/>
      <c r="KYI8" s="72"/>
      <c r="KYP8" s="74"/>
      <c r="KYQ8" s="72"/>
      <c r="KYX8" s="74"/>
      <c r="KYY8" s="72"/>
      <c r="KZF8" s="74"/>
      <c r="KZG8" s="72"/>
      <c r="KZN8" s="74"/>
      <c r="KZO8" s="72"/>
      <c r="KZV8" s="74"/>
      <c r="KZW8" s="72"/>
      <c r="LAD8" s="74"/>
      <c r="LAE8" s="72"/>
      <c r="LAL8" s="74"/>
      <c r="LAM8" s="72"/>
      <c r="LAT8" s="74"/>
      <c r="LAU8" s="72"/>
      <c r="LBB8" s="74"/>
      <c r="LBC8" s="72"/>
      <c r="LBJ8" s="74"/>
      <c r="LBK8" s="72"/>
      <c r="LBR8" s="74"/>
      <c r="LBS8" s="72"/>
      <c r="LBZ8" s="74"/>
      <c r="LCA8" s="72"/>
      <c r="LCH8" s="74"/>
      <c r="LCI8" s="72"/>
      <c r="LCP8" s="74"/>
      <c r="LCQ8" s="72"/>
      <c r="LCX8" s="74"/>
      <c r="LCY8" s="72"/>
      <c r="LDF8" s="74"/>
      <c r="LDG8" s="72"/>
      <c r="LDN8" s="74"/>
      <c r="LDO8" s="72"/>
      <c r="LDV8" s="74"/>
      <c r="LDW8" s="72"/>
      <c r="LED8" s="74"/>
      <c r="LEE8" s="72"/>
      <c r="LEL8" s="74"/>
      <c r="LEM8" s="72"/>
      <c r="LET8" s="74"/>
      <c r="LEU8" s="72"/>
      <c r="LFB8" s="74"/>
      <c r="LFC8" s="72"/>
      <c r="LFJ8" s="74"/>
      <c r="LFK8" s="72"/>
      <c r="LFR8" s="74"/>
      <c r="LFS8" s="72"/>
      <c r="LFZ8" s="74"/>
      <c r="LGA8" s="72"/>
      <c r="LGH8" s="74"/>
      <c r="LGI8" s="72"/>
      <c r="LGP8" s="74"/>
      <c r="LGQ8" s="72"/>
      <c r="LGX8" s="74"/>
      <c r="LGY8" s="72"/>
      <c r="LHF8" s="74"/>
      <c r="LHG8" s="72"/>
      <c r="LHN8" s="74"/>
      <c r="LHO8" s="72"/>
      <c r="LHV8" s="74"/>
      <c r="LHW8" s="72"/>
      <c r="LID8" s="74"/>
      <c r="LIE8" s="72"/>
      <c r="LIL8" s="74"/>
      <c r="LIM8" s="72"/>
      <c r="LIT8" s="74"/>
      <c r="LIU8" s="72"/>
      <c r="LJB8" s="74"/>
      <c r="LJC8" s="72"/>
      <c r="LJJ8" s="74"/>
      <c r="LJK8" s="72"/>
      <c r="LJR8" s="74"/>
      <c r="LJS8" s="72"/>
      <c r="LJZ8" s="74"/>
      <c r="LKA8" s="72"/>
      <c r="LKH8" s="74"/>
      <c r="LKI8" s="72"/>
      <c r="LKP8" s="74"/>
      <c r="LKQ8" s="72"/>
      <c r="LKX8" s="74"/>
      <c r="LKY8" s="72"/>
      <c r="LLF8" s="74"/>
      <c r="LLG8" s="72"/>
      <c r="LLN8" s="74"/>
      <c r="LLO8" s="72"/>
      <c r="LLV8" s="74"/>
      <c r="LLW8" s="72"/>
      <c r="LMD8" s="74"/>
      <c r="LME8" s="72"/>
      <c r="LML8" s="74"/>
      <c r="LMM8" s="72"/>
      <c r="LMT8" s="74"/>
      <c r="LMU8" s="72"/>
      <c r="LNB8" s="74"/>
      <c r="LNC8" s="72"/>
      <c r="LNJ8" s="74"/>
      <c r="LNK8" s="72"/>
      <c r="LNR8" s="74"/>
      <c r="LNS8" s="72"/>
      <c r="LNZ8" s="74"/>
      <c r="LOA8" s="72"/>
      <c r="LOH8" s="74"/>
      <c r="LOI8" s="72"/>
      <c r="LOP8" s="74"/>
      <c r="LOQ8" s="72"/>
      <c r="LOX8" s="74"/>
      <c r="LOY8" s="72"/>
      <c r="LPF8" s="74"/>
      <c r="LPG8" s="72"/>
      <c r="LPN8" s="74"/>
      <c r="LPO8" s="72"/>
      <c r="LPV8" s="74"/>
      <c r="LPW8" s="72"/>
      <c r="LQD8" s="74"/>
      <c r="LQE8" s="72"/>
      <c r="LQL8" s="74"/>
      <c r="LQM8" s="72"/>
      <c r="LQT8" s="74"/>
      <c r="LQU8" s="72"/>
      <c r="LRB8" s="74"/>
      <c r="LRC8" s="72"/>
      <c r="LRJ8" s="74"/>
      <c r="LRK8" s="72"/>
      <c r="LRR8" s="74"/>
      <c r="LRS8" s="72"/>
      <c r="LRZ8" s="74"/>
      <c r="LSA8" s="72"/>
      <c r="LSH8" s="74"/>
      <c r="LSI8" s="72"/>
      <c r="LSP8" s="74"/>
      <c r="LSQ8" s="72"/>
      <c r="LSX8" s="74"/>
      <c r="LSY8" s="72"/>
      <c r="LTF8" s="74"/>
      <c r="LTG8" s="72"/>
      <c r="LTN8" s="74"/>
      <c r="LTO8" s="72"/>
      <c r="LTV8" s="74"/>
      <c r="LTW8" s="72"/>
      <c r="LUD8" s="74"/>
      <c r="LUE8" s="72"/>
      <c r="LUL8" s="74"/>
      <c r="LUM8" s="72"/>
      <c r="LUT8" s="74"/>
      <c r="LUU8" s="72"/>
      <c r="LVB8" s="74"/>
      <c r="LVC8" s="72"/>
      <c r="LVJ8" s="74"/>
      <c r="LVK8" s="72"/>
      <c r="LVR8" s="74"/>
      <c r="LVS8" s="72"/>
      <c r="LVZ8" s="74"/>
      <c r="LWA8" s="72"/>
      <c r="LWH8" s="74"/>
      <c r="LWI8" s="72"/>
      <c r="LWP8" s="74"/>
      <c r="LWQ8" s="72"/>
      <c r="LWX8" s="74"/>
      <c r="LWY8" s="72"/>
      <c r="LXF8" s="74"/>
      <c r="LXG8" s="72"/>
      <c r="LXN8" s="74"/>
      <c r="LXO8" s="72"/>
      <c r="LXV8" s="74"/>
      <c r="LXW8" s="72"/>
      <c r="LYD8" s="74"/>
      <c r="LYE8" s="72"/>
      <c r="LYL8" s="74"/>
      <c r="LYM8" s="72"/>
      <c r="LYT8" s="74"/>
      <c r="LYU8" s="72"/>
      <c r="LZB8" s="74"/>
      <c r="LZC8" s="72"/>
      <c r="LZJ8" s="74"/>
      <c r="LZK8" s="72"/>
      <c r="LZR8" s="74"/>
      <c r="LZS8" s="72"/>
      <c r="LZZ8" s="74"/>
      <c r="MAA8" s="72"/>
      <c r="MAH8" s="74"/>
      <c r="MAI8" s="72"/>
      <c r="MAP8" s="74"/>
      <c r="MAQ8" s="72"/>
      <c r="MAX8" s="74"/>
      <c r="MAY8" s="72"/>
      <c r="MBF8" s="74"/>
      <c r="MBG8" s="72"/>
      <c r="MBN8" s="74"/>
      <c r="MBO8" s="72"/>
      <c r="MBV8" s="74"/>
      <c r="MBW8" s="72"/>
      <c r="MCD8" s="74"/>
      <c r="MCE8" s="72"/>
      <c r="MCL8" s="74"/>
      <c r="MCM8" s="72"/>
      <c r="MCT8" s="74"/>
      <c r="MCU8" s="72"/>
      <c r="MDB8" s="74"/>
      <c r="MDC8" s="72"/>
      <c r="MDJ8" s="74"/>
      <c r="MDK8" s="72"/>
      <c r="MDR8" s="74"/>
      <c r="MDS8" s="72"/>
      <c r="MDZ8" s="74"/>
      <c r="MEA8" s="72"/>
      <c r="MEH8" s="74"/>
      <c r="MEI8" s="72"/>
      <c r="MEP8" s="74"/>
      <c r="MEQ8" s="72"/>
      <c r="MEX8" s="74"/>
      <c r="MEY8" s="72"/>
      <c r="MFF8" s="74"/>
      <c r="MFG8" s="72"/>
      <c r="MFN8" s="74"/>
      <c r="MFO8" s="72"/>
      <c r="MFV8" s="74"/>
      <c r="MFW8" s="72"/>
      <c r="MGD8" s="74"/>
      <c r="MGE8" s="72"/>
      <c r="MGL8" s="74"/>
      <c r="MGM8" s="72"/>
      <c r="MGT8" s="74"/>
      <c r="MGU8" s="72"/>
      <c r="MHB8" s="74"/>
      <c r="MHC8" s="72"/>
      <c r="MHJ8" s="74"/>
      <c r="MHK8" s="72"/>
      <c r="MHR8" s="74"/>
      <c r="MHS8" s="72"/>
      <c r="MHZ8" s="74"/>
      <c r="MIA8" s="72"/>
      <c r="MIH8" s="74"/>
      <c r="MII8" s="72"/>
      <c r="MIP8" s="74"/>
      <c r="MIQ8" s="72"/>
      <c r="MIX8" s="74"/>
      <c r="MIY8" s="72"/>
      <c r="MJF8" s="74"/>
      <c r="MJG8" s="72"/>
      <c r="MJN8" s="74"/>
      <c r="MJO8" s="72"/>
      <c r="MJV8" s="74"/>
      <c r="MJW8" s="72"/>
      <c r="MKD8" s="74"/>
      <c r="MKE8" s="72"/>
      <c r="MKL8" s="74"/>
      <c r="MKM8" s="72"/>
      <c r="MKT8" s="74"/>
      <c r="MKU8" s="72"/>
      <c r="MLB8" s="74"/>
      <c r="MLC8" s="72"/>
      <c r="MLJ8" s="74"/>
      <c r="MLK8" s="72"/>
      <c r="MLR8" s="74"/>
      <c r="MLS8" s="72"/>
      <c r="MLZ8" s="74"/>
      <c r="MMA8" s="72"/>
      <c r="MMH8" s="74"/>
      <c r="MMI8" s="72"/>
      <c r="MMP8" s="74"/>
      <c r="MMQ8" s="72"/>
      <c r="MMX8" s="74"/>
      <c r="MMY8" s="72"/>
      <c r="MNF8" s="74"/>
      <c r="MNG8" s="72"/>
      <c r="MNN8" s="74"/>
      <c r="MNO8" s="72"/>
      <c r="MNV8" s="74"/>
      <c r="MNW8" s="72"/>
      <c r="MOD8" s="74"/>
      <c r="MOE8" s="72"/>
      <c r="MOL8" s="74"/>
      <c r="MOM8" s="72"/>
      <c r="MOT8" s="74"/>
      <c r="MOU8" s="72"/>
      <c r="MPB8" s="74"/>
      <c r="MPC8" s="72"/>
      <c r="MPJ8" s="74"/>
      <c r="MPK8" s="72"/>
      <c r="MPR8" s="74"/>
      <c r="MPS8" s="72"/>
      <c r="MPZ8" s="74"/>
      <c r="MQA8" s="72"/>
      <c r="MQH8" s="74"/>
      <c r="MQI8" s="72"/>
      <c r="MQP8" s="74"/>
      <c r="MQQ8" s="72"/>
      <c r="MQX8" s="74"/>
      <c r="MQY8" s="72"/>
      <c r="MRF8" s="74"/>
      <c r="MRG8" s="72"/>
      <c r="MRN8" s="74"/>
      <c r="MRO8" s="72"/>
      <c r="MRV8" s="74"/>
      <c r="MRW8" s="72"/>
      <c r="MSD8" s="74"/>
      <c r="MSE8" s="72"/>
      <c r="MSL8" s="74"/>
      <c r="MSM8" s="72"/>
      <c r="MST8" s="74"/>
      <c r="MSU8" s="72"/>
      <c r="MTB8" s="74"/>
      <c r="MTC8" s="72"/>
      <c r="MTJ8" s="74"/>
      <c r="MTK8" s="72"/>
      <c r="MTR8" s="74"/>
      <c r="MTS8" s="72"/>
      <c r="MTZ8" s="74"/>
      <c r="MUA8" s="72"/>
      <c r="MUH8" s="74"/>
      <c r="MUI8" s="72"/>
      <c r="MUP8" s="74"/>
      <c r="MUQ8" s="72"/>
      <c r="MUX8" s="74"/>
      <c r="MUY8" s="72"/>
      <c r="MVF8" s="74"/>
      <c r="MVG8" s="72"/>
      <c r="MVN8" s="74"/>
      <c r="MVO8" s="72"/>
      <c r="MVV8" s="74"/>
      <c r="MVW8" s="72"/>
      <c r="MWD8" s="74"/>
      <c r="MWE8" s="72"/>
      <c r="MWL8" s="74"/>
      <c r="MWM8" s="72"/>
      <c r="MWT8" s="74"/>
      <c r="MWU8" s="72"/>
      <c r="MXB8" s="74"/>
      <c r="MXC8" s="72"/>
      <c r="MXJ8" s="74"/>
      <c r="MXK8" s="72"/>
      <c r="MXR8" s="74"/>
      <c r="MXS8" s="72"/>
      <c r="MXZ8" s="74"/>
      <c r="MYA8" s="72"/>
      <c r="MYH8" s="74"/>
      <c r="MYI8" s="72"/>
      <c r="MYP8" s="74"/>
      <c r="MYQ8" s="72"/>
      <c r="MYX8" s="74"/>
      <c r="MYY8" s="72"/>
      <c r="MZF8" s="74"/>
      <c r="MZG8" s="72"/>
      <c r="MZN8" s="74"/>
      <c r="MZO8" s="72"/>
      <c r="MZV8" s="74"/>
      <c r="MZW8" s="72"/>
      <c r="NAD8" s="74"/>
      <c r="NAE8" s="72"/>
      <c r="NAL8" s="74"/>
      <c r="NAM8" s="72"/>
      <c r="NAT8" s="74"/>
      <c r="NAU8" s="72"/>
      <c r="NBB8" s="74"/>
      <c r="NBC8" s="72"/>
      <c r="NBJ8" s="74"/>
      <c r="NBK8" s="72"/>
      <c r="NBR8" s="74"/>
      <c r="NBS8" s="72"/>
      <c r="NBZ8" s="74"/>
      <c r="NCA8" s="72"/>
      <c r="NCH8" s="74"/>
      <c r="NCI8" s="72"/>
      <c r="NCP8" s="74"/>
      <c r="NCQ8" s="72"/>
      <c r="NCX8" s="74"/>
      <c r="NCY8" s="72"/>
      <c r="NDF8" s="74"/>
      <c r="NDG8" s="72"/>
      <c r="NDN8" s="74"/>
      <c r="NDO8" s="72"/>
      <c r="NDV8" s="74"/>
      <c r="NDW8" s="72"/>
      <c r="NED8" s="74"/>
      <c r="NEE8" s="72"/>
      <c r="NEL8" s="74"/>
      <c r="NEM8" s="72"/>
      <c r="NET8" s="74"/>
      <c r="NEU8" s="72"/>
      <c r="NFB8" s="74"/>
      <c r="NFC8" s="72"/>
      <c r="NFJ8" s="74"/>
      <c r="NFK8" s="72"/>
      <c r="NFR8" s="74"/>
      <c r="NFS8" s="72"/>
      <c r="NFZ8" s="74"/>
      <c r="NGA8" s="72"/>
      <c r="NGH8" s="74"/>
      <c r="NGI8" s="72"/>
      <c r="NGP8" s="74"/>
      <c r="NGQ8" s="72"/>
      <c r="NGX8" s="74"/>
      <c r="NGY8" s="72"/>
      <c r="NHF8" s="74"/>
      <c r="NHG8" s="72"/>
      <c r="NHN8" s="74"/>
      <c r="NHO8" s="72"/>
      <c r="NHV8" s="74"/>
      <c r="NHW8" s="72"/>
      <c r="NID8" s="74"/>
      <c r="NIE8" s="72"/>
      <c r="NIL8" s="74"/>
      <c r="NIM8" s="72"/>
      <c r="NIT8" s="74"/>
      <c r="NIU8" s="72"/>
      <c r="NJB8" s="74"/>
      <c r="NJC8" s="72"/>
      <c r="NJJ8" s="74"/>
      <c r="NJK8" s="72"/>
      <c r="NJR8" s="74"/>
      <c r="NJS8" s="72"/>
      <c r="NJZ8" s="74"/>
      <c r="NKA8" s="72"/>
      <c r="NKH8" s="74"/>
      <c r="NKI8" s="72"/>
      <c r="NKP8" s="74"/>
      <c r="NKQ8" s="72"/>
      <c r="NKX8" s="74"/>
      <c r="NKY8" s="72"/>
      <c r="NLF8" s="74"/>
      <c r="NLG8" s="72"/>
      <c r="NLN8" s="74"/>
      <c r="NLO8" s="72"/>
      <c r="NLV8" s="74"/>
      <c r="NLW8" s="72"/>
      <c r="NMD8" s="74"/>
      <c r="NME8" s="72"/>
      <c r="NML8" s="74"/>
      <c r="NMM8" s="72"/>
      <c r="NMT8" s="74"/>
      <c r="NMU8" s="72"/>
      <c r="NNB8" s="74"/>
      <c r="NNC8" s="72"/>
      <c r="NNJ8" s="74"/>
      <c r="NNK8" s="72"/>
      <c r="NNR8" s="74"/>
      <c r="NNS8" s="72"/>
      <c r="NNZ8" s="74"/>
      <c r="NOA8" s="72"/>
      <c r="NOH8" s="74"/>
      <c r="NOI8" s="72"/>
      <c r="NOP8" s="74"/>
      <c r="NOQ8" s="72"/>
      <c r="NOX8" s="74"/>
      <c r="NOY8" s="72"/>
      <c r="NPF8" s="74"/>
      <c r="NPG8" s="72"/>
      <c r="NPN8" s="74"/>
      <c r="NPO8" s="72"/>
      <c r="NPV8" s="74"/>
      <c r="NPW8" s="72"/>
      <c r="NQD8" s="74"/>
      <c r="NQE8" s="72"/>
      <c r="NQL8" s="74"/>
      <c r="NQM8" s="72"/>
      <c r="NQT8" s="74"/>
      <c r="NQU8" s="72"/>
      <c r="NRB8" s="74"/>
      <c r="NRC8" s="72"/>
      <c r="NRJ8" s="74"/>
      <c r="NRK8" s="72"/>
      <c r="NRR8" s="74"/>
      <c r="NRS8" s="72"/>
      <c r="NRZ8" s="74"/>
      <c r="NSA8" s="72"/>
      <c r="NSH8" s="74"/>
      <c r="NSI8" s="72"/>
      <c r="NSP8" s="74"/>
      <c r="NSQ8" s="72"/>
      <c r="NSX8" s="74"/>
      <c r="NSY8" s="72"/>
      <c r="NTF8" s="74"/>
      <c r="NTG8" s="72"/>
      <c r="NTN8" s="74"/>
      <c r="NTO8" s="72"/>
      <c r="NTV8" s="74"/>
      <c r="NTW8" s="72"/>
      <c r="NUD8" s="74"/>
      <c r="NUE8" s="72"/>
      <c r="NUL8" s="74"/>
      <c r="NUM8" s="72"/>
      <c r="NUT8" s="74"/>
      <c r="NUU8" s="72"/>
      <c r="NVB8" s="74"/>
      <c r="NVC8" s="72"/>
      <c r="NVJ8" s="74"/>
      <c r="NVK8" s="72"/>
      <c r="NVR8" s="74"/>
      <c r="NVS8" s="72"/>
      <c r="NVZ8" s="74"/>
      <c r="NWA8" s="72"/>
      <c r="NWH8" s="74"/>
      <c r="NWI8" s="72"/>
      <c r="NWP8" s="74"/>
      <c r="NWQ8" s="72"/>
      <c r="NWX8" s="74"/>
      <c r="NWY8" s="72"/>
      <c r="NXF8" s="74"/>
      <c r="NXG8" s="72"/>
      <c r="NXN8" s="74"/>
      <c r="NXO8" s="72"/>
      <c r="NXV8" s="74"/>
      <c r="NXW8" s="72"/>
      <c r="NYD8" s="74"/>
      <c r="NYE8" s="72"/>
      <c r="NYL8" s="74"/>
      <c r="NYM8" s="72"/>
      <c r="NYT8" s="74"/>
      <c r="NYU8" s="72"/>
      <c r="NZB8" s="74"/>
      <c r="NZC8" s="72"/>
      <c r="NZJ8" s="74"/>
      <c r="NZK8" s="72"/>
      <c r="NZR8" s="74"/>
      <c r="NZS8" s="72"/>
      <c r="NZZ8" s="74"/>
      <c r="OAA8" s="72"/>
      <c r="OAH8" s="74"/>
      <c r="OAI8" s="72"/>
      <c r="OAP8" s="74"/>
      <c r="OAQ8" s="72"/>
      <c r="OAX8" s="74"/>
      <c r="OAY8" s="72"/>
      <c r="OBF8" s="74"/>
      <c r="OBG8" s="72"/>
      <c r="OBN8" s="74"/>
      <c r="OBO8" s="72"/>
      <c r="OBV8" s="74"/>
      <c r="OBW8" s="72"/>
      <c r="OCD8" s="74"/>
      <c r="OCE8" s="72"/>
      <c r="OCL8" s="74"/>
      <c r="OCM8" s="72"/>
      <c r="OCT8" s="74"/>
      <c r="OCU8" s="72"/>
      <c r="ODB8" s="74"/>
      <c r="ODC8" s="72"/>
      <c r="ODJ8" s="74"/>
      <c r="ODK8" s="72"/>
      <c r="ODR8" s="74"/>
      <c r="ODS8" s="72"/>
      <c r="ODZ8" s="74"/>
      <c r="OEA8" s="72"/>
      <c r="OEH8" s="74"/>
      <c r="OEI8" s="72"/>
      <c r="OEP8" s="74"/>
      <c r="OEQ8" s="72"/>
      <c r="OEX8" s="74"/>
      <c r="OEY8" s="72"/>
      <c r="OFF8" s="74"/>
      <c r="OFG8" s="72"/>
      <c r="OFN8" s="74"/>
      <c r="OFO8" s="72"/>
      <c r="OFV8" s="74"/>
      <c r="OFW8" s="72"/>
      <c r="OGD8" s="74"/>
      <c r="OGE8" s="72"/>
      <c r="OGL8" s="74"/>
      <c r="OGM8" s="72"/>
      <c r="OGT8" s="74"/>
      <c r="OGU8" s="72"/>
      <c r="OHB8" s="74"/>
      <c r="OHC8" s="72"/>
      <c r="OHJ8" s="74"/>
      <c r="OHK8" s="72"/>
      <c r="OHR8" s="74"/>
      <c r="OHS8" s="72"/>
      <c r="OHZ8" s="74"/>
      <c r="OIA8" s="72"/>
      <c r="OIH8" s="74"/>
      <c r="OII8" s="72"/>
      <c r="OIP8" s="74"/>
      <c r="OIQ8" s="72"/>
      <c r="OIX8" s="74"/>
      <c r="OIY8" s="72"/>
      <c r="OJF8" s="74"/>
      <c r="OJG8" s="72"/>
      <c r="OJN8" s="74"/>
      <c r="OJO8" s="72"/>
      <c r="OJV8" s="74"/>
      <c r="OJW8" s="72"/>
      <c r="OKD8" s="74"/>
      <c r="OKE8" s="72"/>
      <c r="OKL8" s="74"/>
      <c r="OKM8" s="72"/>
      <c r="OKT8" s="74"/>
      <c r="OKU8" s="72"/>
      <c r="OLB8" s="74"/>
      <c r="OLC8" s="72"/>
      <c r="OLJ8" s="74"/>
      <c r="OLK8" s="72"/>
      <c r="OLR8" s="74"/>
      <c r="OLS8" s="72"/>
      <c r="OLZ8" s="74"/>
      <c r="OMA8" s="72"/>
      <c r="OMH8" s="74"/>
      <c r="OMI8" s="72"/>
      <c r="OMP8" s="74"/>
      <c r="OMQ8" s="72"/>
      <c r="OMX8" s="74"/>
      <c r="OMY8" s="72"/>
      <c r="ONF8" s="74"/>
      <c r="ONG8" s="72"/>
      <c r="ONN8" s="74"/>
      <c r="ONO8" s="72"/>
      <c r="ONV8" s="74"/>
      <c r="ONW8" s="72"/>
      <c r="OOD8" s="74"/>
      <c r="OOE8" s="72"/>
      <c r="OOL8" s="74"/>
      <c r="OOM8" s="72"/>
      <c r="OOT8" s="74"/>
      <c r="OOU8" s="72"/>
      <c r="OPB8" s="74"/>
      <c r="OPC8" s="72"/>
      <c r="OPJ8" s="74"/>
      <c r="OPK8" s="72"/>
      <c r="OPR8" s="74"/>
      <c r="OPS8" s="72"/>
      <c r="OPZ8" s="74"/>
      <c r="OQA8" s="72"/>
      <c r="OQH8" s="74"/>
      <c r="OQI8" s="72"/>
      <c r="OQP8" s="74"/>
      <c r="OQQ8" s="72"/>
      <c r="OQX8" s="74"/>
      <c r="OQY8" s="72"/>
      <c r="ORF8" s="74"/>
      <c r="ORG8" s="72"/>
      <c r="ORN8" s="74"/>
      <c r="ORO8" s="72"/>
      <c r="ORV8" s="74"/>
      <c r="ORW8" s="72"/>
      <c r="OSD8" s="74"/>
      <c r="OSE8" s="72"/>
      <c r="OSL8" s="74"/>
      <c r="OSM8" s="72"/>
      <c r="OST8" s="74"/>
      <c r="OSU8" s="72"/>
      <c r="OTB8" s="74"/>
      <c r="OTC8" s="72"/>
      <c r="OTJ8" s="74"/>
      <c r="OTK8" s="72"/>
      <c r="OTR8" s="74"/>
      <c r="OTS8" s="72"/>
      <c r="OTZ8" s="74"/>
      <c r="OUA8" s="72"/>
      <c r="OUH8" s="74"/>
      <c r="OUI8" s="72"/>
      <c r="OUP8" s="74"/>
      <c r="OUQ8" s="72"/>
      <c r="OUX8" s="74"/>
      <c r="OUY8" s="72"/>
      <c r="OVF8" s="74"/>
      <c r="OVG8" s="72"/>
      <c r="OVN8" s="74"/>
      <c r="OVO8" s="72"/>
      <c r="OVV8" s="74"/>
      <c r="OVW8" s="72"/>
      <c r="OWD8" s="74"/>
      <c r="OWE8" s="72"/>
      <c r="OWL8" s="74"/>
      <c r="OWM8" s="72"/>
      <c r="OWT8" s="74"/>
      <c r="OWU8" s="72"/>
      <c r="OXB8" s="74"/>
      <c r="OXC8" s="72"/>
      <c r="OXJ8" s="74"/>
      <c r="OXK8" s="72"/>
      <c r="OXR8" s="74"/>
      <c r="OXS8" s="72"/>
      <c r="OXZ8" s="74"/>
      <c r="OYA8" s="72"/>
      <c r="OYH8" s="74"/>
      <c r="OYI8" s="72"/>
      <c r="OYP8" s="74"/>
      <c r="OYQ8" s="72"/>
      <c r="OYX8" s="74"/>
      <c r="OYY8" s="72"/>
      <c r="OZF8" s="74"/>
      <c r="OZG8" s="72"/>
      <c r="OZN8" s="74"/>
      <c r="OZO8" s="72"/>
      <c r="OZV8" s="74"/>
      <c r="OZW8" s="72"/>
      <c r="PAD8" s="74"/>
      <c r="PAE8" s="72"/>
      <c r="PAL8" s="74"/>
      <c r="PAM8" s="72"/>
      <c r="PAT8" s="74"/>
      <c r="PAU8" s="72"/>
      <c r="PBB8" s="74"/>
      <c r="PBC8" s="72"/>
      <c r="PBJ8" s="74"/>
      <c r="PBK8" s="72"/>
      <c r="PBR8" s="74"/>
      <c r="PBS8" s="72"/>
      <c r="PBZ8" s="74"/>
      <c r="PCA8" s="72"/>
      <c r="PCH8" s="74"/>
      <c r="PCI8" s="72"/>
      <c r="PCP8" s="74"/>
      <c r="PCQ8" s="72"/>
      <c r="PCX8" s="74"/>
      <c r="PCY8" s="72"/>
      <c r="PDF8" s="74"/>
      <c r="PDG8" s="72"/>
      <c r="PDN8" s="74"/>
      <c r="PDO8" s="72"/>
      <c r="PDV8" s="74"/>
      <c r="PDW8" s="72"/>
      <c r="PED8" s="74"/>
      <c r="PEE8" s="72"/>
      <c r="PEL8" s="74"/>
      <c r="PEM8" s="72"/>
      <c r="PET8" s="74"/>
      <c r="PEU8" s="72"/>
      <c r="PFB8" s="74"/>
      <c r="PFC8" s="72"/>
      <c r="PFJ8" s="74"/>
      <c r="PFK8" s="72"/>
      <c r="PFR8" s="74"/>
      <c r="PFS8" s="72"/>
      <c r="PFZ8" s="74"/>
      <c r="PGA8" s="72"/>
      <c r="PGH8" s="74"/>
      <c r="PGI8" s="72"/>
      <c r="PGP8" s="74"/>
      <c r="PGQ8" s="72"/>
      <c r="PGX8" s="74"/>
      <c r="PGY8" s="72"/>
      <c r="PHF8" s="74"/>
      <c r="PHG8" s="72"/>
      <c r="PHN8" s="74"/>
      <c r="PHO8" s="72"/>
      <c r="PHV8" s="74"/>
      <c r="PHW8" s="72"/>
      <c r="PID8" s="74"/>
      <c r="PIE8" s="72"/>
      <c r="PIL8" s="74"/>
      <c r="PIM8" s="72"/>
      <c r="PIT8" s="74"/>
      <c r="PIU8" s="72"/>
      <c r="PJB8" s="74"/>
      <c r="PJC8" s="72"/>
      <c r="PJJ8" s="74"/>
      <c r="PJK8" s="72"/>
      <c r="PJR8" s="74"/>
      <c r="PJS8" s="72"/>
      <c r="PJZ8" s="74"/>
      <c r="PKA8" s="72"/>
      <c r="PKH8" s="74"/>
      <c r="PKI8" s="72"/>
      <c r="PKP8" s="74"/>
      <c r="PKQ8" s="72"/>
      <c r="PKX8" s="74"/>
      <c r="PKY8" s="72"/>
      <c r="PLF8" s="74"/>
      <c r="PLG8" s="72"/>
      <c r="PLN8" s="74"/>
      <c r="PLO8" s="72"/>
      <c r="PLV8" s="74"/>
      <c r="PLW8" s="72"/>
      <c r="PMD8" s="74"/>
      <c r="PME8" s="72"/>
      <c r="PML8" s="74"/>
      <c r="PMM8" s="72"/>
      <c r="PMT8" s="74"/>
      <c r="PMU8" s="72"/>
      <c r="PNB8" s="74"/>
      <c r="PNC8" s="72"/>
      <c r="PNJ8" s="74"/>
      <c r="PNK8" s="72"/>
      <c r="PNR8" s="74"/>
      <c r="PNS8" s="72"/>
      <c r="PNZ8" s="74"/>
      <c r="POA8" s="72"/>
      <c r="POH8" s="74"/>
      <c r="POI8" s="72"/>
      <c r="POP8" s="74"/>
      <c r="POQ8" s="72"/>
      <c r="POX8" s="74"/>
      <c r="POY8" s="72"/>
      <c r="PPF8" s="74"/>
      <c r="PPG8" s="72"/>
      <c r="PPN8" s="74"/>
      <c r="PPO8" s="72"/>
      <c r="PPV8" s="74"/>
      <c r="PPW8" s="72"/>
      <c r="PQD8" s="74"/>
      <c r="PQE8" s="72"/>
      <c r="PQL8" s="74"/>
      <c r="PQM8" s="72"/>
      <c r="PQT8" s="74"/>
      <c r="PQU8" s="72"/>
      <c r="PRB8" s="74"/>
      <c r="PRC8" s="72"/>
      <c r="PRJ8" s="74"/>
      <c r="PRK8" s="72"/>
      <c r="PRR8" s="74"/>
      <c r="PRS8" s="72"/>
      <c r="PRZ8" s="74"/>
      <c r="PSA8" s="72"/>
      <c r="PSH8" s="74"/>
      <c r="PSI8" s="72"/>
      <c r="PSP8" s="74"/>
      <c r="PSQ8" s="72"/>
      <c r="PSX8" s="74"/>
      <c r="PSY8" s="72"/>
      <c r="PTF8" s="74"/>
      <c r="PTG8" s="72"/>
      <c r="PTN8" s="74"/>
      <c r="PTO8" s="72"/>
      <c r="PTV8" s="74"/>
      <c r="PTW8" s="72"/>
      <c r="PUD8" s="74"/>
      <c r="PUE8" s="72"/>
      <c r="PUL8" s="74"/>
      <c r="PUM8" s="72"/>
      <c r="PUT8" s="74"/>
      <c r="PUU8" s="72"/>
      <c r="PVB8" s="74"/>
      <c r="PVC8" s="72"/>
      <c r="PVJ8" s="74"/>
      <c r="PVK8" s="72"/>
      <c r="PVR8" s="74"/>
      <c r="PVS8" s="72"/>
      <c r="PVZ8" s="74"/>
      <c r="PWA8" s="72"/>
      <c r="PWH8" s="74"/>
      <c r="PWI8" s="72"/>
      <c r="PWP8" s="74"/>
      <c r="PWQ8" s="72"/>
      <c r="PWX8" s="74"/>
      <c r="PWY8" s="72"/>
      <c r="PXF8" s="74"/>
      <c r="PXG8" s="72"/>
      <c r="PXN8" s="74"/>
      <c r="PXO8" s="72"/>
      <c r="PXV8" s="74"/>
      <c r="PXW8" s="72"/>
      <c r="PYD8" s="74"/>
      <c r="PYE8" s="72"/>
      <c r="PYL8" s="74"/>
      <c r="PYM8" s="72"/>
      <c r="PYT8" s="74"/>
      <c r="PYU8" s="72"/>
      <c r="PZB8" s="74"/>
      <c r="PZC8" s="72"/>
      <c r="PZJ8" s="74"/>
      <c r="PZK8" s="72"/>
      <c r="PZR8" s="74"/>
      <c r="PZS8" s="72"/>
      <c r="PZZ8" s="74"/>
      <c r="QAA8" s="72"/>
      <c r="QAH8" s="74"/>
      <c r="QAI8" s="72"/>
      <c r="QAP8" s="74"/>
      <c r="QAQ8" s="72"/>
      <c r="QAX8" s="74"/>
      <c r="QAY8" s="72"/>
      <c r="QBF8" s="74"/>
      <c r="QBG8" s="72"/>
      <c r="QBN8" s="74"/>
      <c r="QBO8" s="72"/>
      <c r="QBV8" s="74"/>
      <c r="QBW8" s="72"/>
      <c r="QCD8" s="74"/>
      <c r="QCE8" s="72"/>
      <c r="QCL8" s="74"/>
      <c r="QCM8" s="72"/>
      <c r="QCT8" s="74"/>
      <c r="QCU8" s="72"/>
      <c r="QDB8" s="74"/>
      <c r="QDC8" s="72"/>
      <c r="QDJ8" s="74"/>
      <c r="QDK8" s="72"/>
      <c r="QDR8" s="74"/>
      <c r="QDS8" s="72"/>
      <c r="QDZ8" s="74"/>
      <c r="QEA8" s="72"/>
      <c r="QEH8" s="74"/>
      <c r="QEI8" s="72"/>
      <c r="QEP8" s="74"/>
      <c r="QEQ8" s="72"/>
      <c r="QEX8" s="74"/>
      <c r="QEY8" s="72"/>
      <c r="QFF8" s="74"/>
      <c r="QFG8" s="72"/>
      <c r="QFN8" s="74"/>
      <c r="QFO8" s="72"/>
      <c r="QFV8" s="74"/>
      <c r="QFW8" s="72"/>
      <c r="QGD8" s="74"/>
      <c r="QGE8" s="72"/>
      <c r="QGL8" s="74"/>
      <c r="QGM8" s="72"/>
      <c r="QGT8" s="74"/>
      <c r="QGU8" s="72"/>
      <c r="QHB8" s="74"/>
      <c r="QHC8" s="72"/>
      <c r="QHJ8" s="74"/>
      <c r="QHK8" s="72"/>
      <c r="QHR8" s="74"/>
      <c r="QHS8" s="72"/>
      <c r="QHZ8" s="74"/>
      <c r="QIA8" s="72"/>
      <c r="QIH8" s="74"/>
      <c r="QII8" s="72"/>
      <c r="QIP8" s="74"/>
      <c r="QIQ8" s="72"/>
      <c r="QIX8" s="74"/>
      <c r="QIY8" s="72"/>
      <c r="QJF8" s="74"/>
      <c r="QJG8" s="72"/>
      <c r="QJN8" s="74"/>
      <c r="QJO8" s="72"/>
      <c r="QJV8" s="74"/>
      <c r="QJW8" s="72"/>
      <c r="QKD8" s="74"/>
      <c r="QKE8" s="72"/>
      <c r="QKL8" s="74"/>
      <c r="QKM8" s="72"/>
      <c r="QKT8" s="74"/>
      <c r="QKU8" s="72"/>
      <c r="QLB8" s="74"/>
      <c r="QLC8" s="72"/>
      <c r="QLJ8" s="74"/>
      <c r="QLK8" s="72"/>
      <c r="QLR8" s="74"/>
      <c r="QLS8" s="72"/>
      <c r="QLZ8" s="74"/>
      <c r="QMA8" s="72"/>
      <c r="QMH8" s="74"/>
      <c r="QMI8" s="72"/>
      <c r="QMP8" s="74"/>
      <c r="QMQ8" s="72"/>
      <c r="QMX8" s="74"/>
      <c r="QMY8" s="72"/>
      <c r="QNF8" s="74"/>
      <c r="QNG8" s="72"/>
      <c r="QNN8" s="74"/>
      <c r="QNO8" s="72"/>
      <c r="QNV8" s="74"/>
      <c r="QNW8" s="72"/>
      <c r="QOD8" s="74"/>
      <c r="QOE8" s="72"/>
      <c r="QOL8" s="74"/>
      <c r="QOM8" s="72"/>
      <c r="QOT8" s="74"/>
      <c r="QOU8" s="72"/>
      <c r="QPB8" s="74"/>
      <c r="QPC8" s="72"/>
      <c r="QPJ8" s="74"/>
      <c r="QPK8" s="72"/>
      <c r="QPR8" s="74"/>
      <c r="QPS8" s="72"/>
      <c r="QPZ8" s="74"/>
      <c r="QQA8" s="72"/>
      <c r="QQH8" s="74"/>
      <c r="QQI8" s="72"/>
      <c r="QQP8" s="74"/>
      <c r="QQQ8" s="72"/>
      <c r="QQX8" s="74"/>
      <c r="QQY8" s="72"/>
      <c r="QRF8" s="74"/>
      <c r="QRG8" s="72"/>
      <c r="QRN8" s="74"/>
      <c r="QRO8" s="72"/>
      <c r="QRV8" s="74"/>
      <c r="QRW8" s="72"/>
      <c r="QSD8" s="74"/>
      <c r="QSE8" s="72"/>
      <c r="QSL8" s="74"/>
      <c r="QSM8" s="72"/>
      <c r="QST8" s="74"/>
      <c r="QSU8" s="72"/>
      <c r="QTB8" s="74"/>
      <c r="QTC8" s="72"/>
      <c r="QTJ8" s="74"/>
      <c r="QTK8" s="72"/>
      <c r="QTR8" s="74"/>
      <c r="QTS8" s="72"/>
      <c r="QTZ8" s="74"/>
      <c r="QUA8" s="72"/>
      <c r="QUH8" s="74"/>
      <c r="QUI8" s="72"/>
      <c r="QUP8" s="74"/>
      <c r="QUQ8" s="72"/>
      <c r="QUX8" s="74"/>
      <c r="QUY8" s="72"/>
      <c r="QVF8" s="74"/>
      <c r="QVG8" s="72"/>
      <c r="QVN8" s="74"/>
      <c r="QVO8" s="72"/>
      <c r="QVV8" s="74"/>
      <c r="QVW8" s="72"/>
      <c r="QWD8" s="74"/>
      <c r="QWE8" s="72"/>
      <c r="QWL8" s="74"/>
      <c r="QWM8" s="72"/>
      <c r="QWT8" s="74"/>
      <c r="QWU8" s="72"/>
      <c r="QXB8" s="74"/>
      <c r="QXC8" s="72"/>
      <c r="QXJ8" s="74"/>
      <c r="QXK8" s="72"/>
      <c r="QXR8" s="74"/>
      <c r="QXS8" s="72"/>
      <c r="QXZ8" s="74"/>
      <c r="QYA8" s="72"/>
      <c r="QYH8" s="74"/>
      <c r="QYI8" s="72"/>
      <c r="QYP8" s="74"/>
      <c r="QYQ8" s="72"/>
      <c r="QYX8" s="74"/>
      <c r="QYY8" s="72"/>
      <c r="QZF8" s="74"/>
      <c r="QZG8" s="72"/>
      <c r="QZN8" s="74"/>
      <c r="QZO8" s="72"/>
      <c r="QZV8" s="74"/>
      <c r="QZW8" s="72"/>
      <c r="RAD8" s="74"/>
      <c r="RAE8" s="72"/>
      <c r="RAL8" s="74"/>
      <c r="RAM8" s="72"/>
      <c r="RAT8" s="74"/>
      <c r="RAU8" s="72"/>
      <c r="RBB8" s="74"/>
      <c r="RBC8" s="72"/>
      <c r="RBJ8" s="74"/>
      <c r="RBK8" s="72"/>
      <c r="RBR8" s="74"/>
      <c r="RBS8" s="72"/>
      <c r="RBZ8" s="74"/>
      <c r="RCA8" s="72"/>
      <c r="RCH8" s="74"/>
      <c r="RCI8" s="72"/>
      <c r="RCP8" s="74"/>
      <c r="RCQ8" s="72"/>
      <c r="RCX8" s="74"/>
      <c r="RCY8" s="72"/>
      <c r="RDF8" s="74"/>
      <c r="RDG8" s="72"/>
      <c r="RDN8" s="74"/>
      <c r="RDO8" s="72"/>
      <c r="RDV8" s="74"/>
      <c r="RDW8" s="72"/>
      <c r="RED8" s="74"/>
      <c r="REE8" s="72"/>
      <c r="REL8" s="74"/>
      <c r="REM8" s="72"/>
      <c r="RET8" s="74"/>
      <c r="REU8" s="72"/>
      <c r="RFB8" s="74"/>
      <c r="RFC8" s="72"/>
      <c r="RFJ8" s="74"/>
      <c r="RFK8" s="72"/>
      <c r="RFR8" s="74"/>
      <c r="RFS8" s="72"/>
      <c r="RFZ8" s="74"/>
      <c r="RGA8" s="72"/>
      <c r="RGH8" s="74"/>
      <c r="RGI8" s="72"/>
      <c r="RGP8" s="74"/>
      <c r="RGQ8" s="72"/>
      <c r="RGX8" s="74"/>
      <c r="RGY8" s="72"/>
      <c r="RHF8" s="74"/>
      <c r="RHG8" s="72"/>
      <c r="RHN8" s="74"/>
      <c r="RHO8" s="72"/>
      <c r="RHV8" s="74"/>
      <c r="RHW8" s="72"/>
      <c r="RID8" s="74"/>
      <c r="RIE8" s="72"/>
      <c r="RIL8" s="74"/>
      <c r="RIM8" s="72"/>
      <c r="RIT8" s="74"/>
      <c r="RIU8" s="72"/>
      <c r="RJB8" s="74"/>
      <c r="RJC8" s="72"/>
      <c r="RJJ8" s="74"/>
      <c r="RJK8" s="72"/>
      <c r="RJR8" s="74"/>
      <c r="RJS8" s="72"/>
      <c r="RJZ8" s="74"/>
      <c r="RKA8" s="72"/>
      <c r="RKH8" s="74"/>
      <c r="RKI8" s="72"/>
      <c r="RKP8" s="74"/>
      <c r="RKQ8" s="72"/>
      <c r="RKX8" s="74"/>
      <c r="RKY8" s="72"/>
      <c r="RLF8" s="74"/>
      <c r="RLG8" s="72"/>
      <c r="RLN8" s="74"/>
      <c r="RLO8" s="72"/>
      <c r="RLV8" s="74"/>
      <c r="RLW8" s="72"/>
      <c r="RMD8" s="74"/>
      <c r="RME8" s="72"/>
      <c r="RML8" s="74"/>
      <c r="RMM8" s="72"/>
      <c r="RMT8" s="74"/>
      <c r="RMU8" s="72"/>
      <c r="RNB8" s="74"/>
      <c r="RNC8" s="72"/>
      <c r="RNJ8" s="74"/>
      <c r="RNK8" s="72"/>
      <c r="RNR8" s="74"/>
      <c r="RNS8" s="72"/>
      <c r="RNZ8" s="74"/>
      <c r="ROA8" s="72"/>
      <c r="ROH8" s="74"/>
      <c r="ROI8" s="72"/>
      <c r="ROP8" s="74"/>
      <c r="ROQ8" s="72"/>
      <c r="ROX8" s="74"/>
      <c r="ROY8" s="72"/>
      <c r="RPF8" s="74"/>
      <c r="RPG8" s="72"/>
      <c r="RPN8" s="74"/>
      <c r="RPO8" s="72"/>
      <c r="RPV8" s="74"/>
      <c r="RPW8" s="72"/>
      <c r="RQD8" s="74"/>
      <c r="RQE8" s="72"/>
      <c r="RQL8" s="74"/>
      <c r="RQM8" s="72"/>
      <c r="RQT8" s="74"/>
      <c r="RQU8" s="72"/>
      <c r="RRB8" s="74"/>
      <c r="RRC8" s="72"/>
      <c r="RRJ8" s="74"/>
      <c r="RRK8" s="72"/>
      <c r="RRR8" s="74"/>
      <c r="RRS8" s="72"/>
      <c r="RRZ8" s="74"/>
      <c r="RSA8" s="72"/>
      <c r="RSH8" s="74"/>
      <c r="RSI8" s="72"/>
      <c r="RSP8" s="74"/>
      <c r="RSQ8" s="72"/>
      <c r="RSX8" s="74"/>
      <c r="RSY8" s="72"/>
      <c r="RTF8" s="74"/>
      <c r="RTG8" s="72"/>
      <c r="RTN8" s="74"/>
      <c r="RTO8" s="72"/>
      <c r="RTV8" s="74"/>
      <c r="RTW8" s="72"/>
      <c r="RUD8" s="74"/>
      <c r="RUE8" s="72"/>
      <c r="RUL8" s="74"/>
      <c r="RUM8" s="72"/>
      <c r="RUT8" s="74"/>
      <c r="RUU8" s="72"/>
      <c r="RVB8" s="74"/>
      <c r="RVC8" s="72"/>
      <c r="RVJ8" s="74"/>
      <c r="RVK8" s="72"/>
      <c r="RVR8" s="74"/>
      <c r="RVS8" s="72"/>
      <c r="RVZ8" s="74"/>
      <c r="RWA8" s="72"/>
      <c r="RWH8" s="74"/>
      <c r="RWI8" s="72"/>
      <c r="RWP8" s="74"/>
      <c r="RWQ8" s="72"/>
      <c r="RWX8" s="74"/>
      <c r="RWY8" s="72"/>
      <c r="RXF8" s="74"/>
      <c r="RXG8" s="72"/>
      <c r="RXN8" s="74"/>
      <c r="RXO8" s="72"/>
      <c r="RXV8" s="74"/>
      <c r="RXW8" s="72"/>
      <c r="RYD8" s="74"/>
      <c r="RYE8" s="72"/>
      <c r="RYL8" s="74"/>
      <c r="RYM8" s="72"/>
      <c r="RYT8" s="74"/>
      <c r="RYU8" s="72"/>
      <c r="RZB8" s="74"/>
      <c r="RZC8" s="72"/>
      <c r="RZJ8" s="74"/>
      <c r="RZK8" s="72"/>
      <c r="RZR8" s="74"/>
      <c r="RZS8" s="72"/>
      <c r="RZZ8" s="74"/>
      <c r="SAA8" s="72"/>
      <c r="SAH8" s="74"/>
      <c r="SAI8" s="72"/>
      <c r="SAP8" s="74"/>
      <c r="SAQ8" s="72"/>
      <c r="SAX8" s="74"/>
      <c r="SAY8" s="72"/>
      <c r="SBF8" s="74"/>
      <c r="SBG8" s="72"/>
      <c r="SBN8" s="74"/>
      <c r="SBO8" s="72"/>
      <c r="SBV8" s="74"/>
      <c r="SBW8" s="72"/>
      <c r="SCD8" s="74"/>
      <c r="SCE8" s="72"/>
      <c r="SCL8" s="74"/>
      <c r="SCM8" s="72"/>
      <c r="SCT8" s="74"/>
      <c r="SCU8" s="72"/>
      <c r="SDB8" s="74"/>
      <c r="SDC8" s="72"/>
      <c r="SDJ8" s="74"/>
      <c r="SDK8" s="72"/>
      <c r="SDR8" s="74"/>
      <c r="SDS8" s="72"/>
      <c r="SDZ8" s="74"/>
      <c r="SEA8" s="72"/>
      <c r="SEH8" s="74"/>
      <c r="SEI8" s="72"/>
      <c r="SEP8" s="74"/>
      <c r="SEQ8" s="72"/>
      <c r="SEX8" s="74"/>
      <c r="SEY8" s="72"/>
      <c r="SFF8" s="74"/>
      <c r="SFG8" s="72"/>
      <c r="SFN8" s="74"/>
      <c r="SFO8" s="72"/>
      <c r="SFV8" s="74"/>
      <c r="SFW8" s="72"/>
      <c r="SGD8" s="74"/>
      <c r="SGE8" s="72"/>
      <c r="SGL8" s="74"/>
      <c r="SGM8" s="72"/>
      <c r="SGT8" s="74"/>
      <c r="SGU8" s="72"/>
      <c r="SHB8" s="74"/>
      <c r="SHC8" s="72"/>
      <c r="SHJ8" s="74"/>
      <c r="SHK8" s="72"/>
      <c r="SHR8" s="74"/>
      <c r="SHS8" s="72"/>
      <c r="SHZ8" s="74"/>
      <c r="SIA8" s="72"/>
      <c r="SIH8" s="74"/>
      <c r="SII8" s="72"/>
      <c r="SIP8" s="74"/>
      <c r="SIQ8" s="72"/>
      <c r="SIX8" s="74"/>
      <c r="SIY8" s="72"/>
      <c r="SJF8" s="74"/>
      <c r="SJG8" s="72"/>
      <c r="SJN8" s="74"/>
      <c r="SJO8" s="72"/>
      <c r="SJV8" s="74"/>
      <c r="SJW8" s="72"/>
      <c r="SKD8" s="74"/>
      <c r="SKE8" s="72"/>
      <c r="SKL8" s="74"/>
      <c r="SKM8" s="72"/>
      <c r="SKT8" s="74"/>
      <c r="SKU8" s="72"/>
      <c r="SLB8" s="74"/>
      <c r="SLC8" s="72"/>
      <c r="SLJ8" s="74"/>
      <c r="SLK8" s="72"/>
      <c r="SLR8" s="74"/>
      <c r="SLS8" s="72"/>
      <c r="SLZ8" s="74"/>
      <c r="SMA8" s="72"/>
      <c r="SMH8" s="74"/>
      <c r="SMI8" s="72"/>
      <c r="SMP8" s="74"/>
      <c r="SMQ8" s="72"/>
      <c r="SMX8" s="74"/>
      <c r="SMY8" s="72"/>
      <c r="SNF8" s="74"/>
      <c r="SNG8" s="72"/>
      <c r="SNN8" s="74"/>
      <c r="SNO8" s="72"/>
      <c r="SNV8" s="74"/>
      <c r="SNW8" s="72"/>
      <c r="SOD8" s="74"/>
      <c r="SOE8" s="72"/>
      <c r="SOL8" s="74"/>
      <c r="SOM8" s="72"/>
      <c r="SOT8" s="74"/>
      <c r="SOU8" s="72"/>
      <c r="SPB8" s="74"/>
      <c r="SPC8" s="72"/>
      <c r="SPJ8" s="74"/>
      <c r="SPK8" s="72"/>
      <c r="SPR8" s="74"/>
      <c r="SPS8" s="72"/>
      <c r="SPZ8" s="74"/>
      <c r="SQA8" s="72"/>
      <c r="SQH8" s="74"/>
      <c r="SQI8" s="72"/>
      <c r="SQP8" s="74"/>
      <c r="SQQ8" s="72"/>
      <c r="SQX8" s="74"/>
      <c r="SQY8" s="72"/>
      <c r="SRF8" s="74"/>
      <c r="SRG8" s="72"/>
      <c r="SRN8" s="74"/>
      <c r="SRO8" s="72"/>
      <c r="SRV8" s="74"/>
      <c r="SRW8" s="72"/>
      <c r="SSD8" s="74"/>
      <c r="SSE8" s="72"/>
      <c r="SSL8" s="74"/>
      <c r="SSM8" s="72"/>
      <c r="SST8" s="74"/>
      <c r="SSU8" s="72"/>
      <c r="STB8" s="74"/>
      <c r="STC8" s="72"/>
      <c r="STJ8" s="74"/>
      <c r="STK8" s="72"/>
      <c r="STR8" s="74"/>
      <c r="STS8" s="72"/>
      <c r="STZ8" s="74"/>
      <c r="SUA8" s="72"/>
      <c r="SUH8" s="74"/>
      <c r="SUI8" s="72"/>
      <c r="SUP8" s="74"/>
      <c r="SUQ8" s="72"/>
      <c r="SUX8" s="74"/>
      <c r="SUY8" s="72"/>
      <c r="SVF8" s="74"/>
      <c r="SVG8" s="72"/>
      <c r="SVN8" s="74"/>
      <c r="SVO8" s="72"/>
      <c r="SVV8" s="74"/>
      <c r="SVW8" s="72"/>
      <c r="SWD8" s="74"/>
      <c r="SWE8" s="72"/>
      <c r="SWL8" s="74"/>
      <c r="SWM8" s="72"/>
      <c r="SWT8" s="74"/>
      <c r="SWU8" s="72"/>
      <c r="SXB8" s="74"/>
      <c r="SXC8" s="72"/>
      <c r="SXJ8" s="74"/>
      <c r="SXK8" s="72"/>
      <c r="SXR8" s="74"/>
      <c r="SXS8" s="72"/>
      <c r="SXZ8" s="74"/>
      <c r="SYA8" s="72"/>
      <c r="SYH8" s="74"/>
      <c r="SYI8" s="72"/>
      <c r="SYP8" s="74"/>
      <c r="SYQ8" s="72"/>
      <c r="SYX8" s="74"/>
      <c r="SYY8" s="72"/>
      <c r="SZF8" s="74"/>
      <c r="SZG8" s="72"/>
      <c r="SZN8" s="74"/>
      <c r="SZO8" s="72"/>
      <c r="SZV8" s="74"/>
      <c r="SZW8" s="72"/>
      <c r="TAD8" s="74"/>
      <c r="TAE8" s="72"/>
      <c r="TAL8" s="74"/>
      <c r="TAM8" s="72"/>
      <c r="TAT8" s="74"/>
      <c r="TAU8" s="72"/>
      <c r="TBB8" s="74"/>
      <c r="TBC8" s="72"/>
      <c r="TBJ8" s="74"/>
      <c r="TBK8" s="72"/>
      <c r="TBR8" s="74"/>
      <c r="TBS8" s="72"/>
      <c r="TBZ8" s="74"/>
      <c r="TCA8" s="72"/>
      <c r="TCH8" s="74"/>
      <c r="TCI8" s="72"/>
      <c r="TCP8" s="74"/>
      <c r="TCQ8" s="72"/>
      <c r="TCX8" s="74"/>
      <c r="TCY8" s="72"/>
      <c r="TDF8" s="74"/>
      <c r="TDG8" s="72"/>
      <c r="TDN8" s="74"/>
      <c r="TDO8" s="72"/>
      <c r="TDV8" s="74"/>
      <c r="TDW8" s="72"/>
      <c r="TED8" s="74"/>
      <c r="TEE8" s="72"/>
      <c r="TEL8" s="74"/>
      <c r="TEM8" s="72"/>
      <c r="TET8" s="74"/>
      <c r="TEU8" s="72"/>
      <c r="TFB8" s="74"/>
      <c r="TFC8" s="72"/>
      <c r="TFJ8" s="74"/>
      <c r="TFK8" s="72"/>
      <c r="TFR8" s="74"/>
      <c r="TFS8" s="72"/>
      <c r="TFZ8" s="74"/>
      <c r="TGA8" s="72"/>
      <c r="TGH8" s="74"/>
      <c r="TGI8" s="72"/>
      <c r="TGP8" s="74"/>
      <c r="TGQ8" s="72"/>
      <c r="TGX8" s="74"/>
      <c r="TGY8" s="72"/>
      <c r="THF8" s="74"/>
      <c r="THG8" s="72"/>
      <c r="THN8" s="74"/>
      <c r="THO8" s="72"/>
      <c r="THV8" s="74"/>
      <c r="THW8" s="72"/>
      <c r="TID8" s="74"/>
      <c r="TIE8" s="72"/>
      <c r="TIL8" s="74"/>
      <c r="TIM8" s="72"/>
      <c r="TIT8" s="74"/>
      <c r="TIU8" s="72"/>
      <c r="TJB8" s="74"/>
      <c r="TJC8" s="72"/>
      <c r="TJJ8" s="74"/>
      <c r="TJK8" s="72"/>
      <c r="TJR8" s="74"/>
      <c r="TJS8" s="72"/>
      <c r="TJZ8" s="74"/>
      <c r="TKA8" s="72"/>
      <c r="TKH8" s="74"/>
      <c r="TKI8" s="72"/>
      <c r="TKP8" s="74"/>
      <c r="TKQ8" s="72"/>
      <c r="TKX8" s="74"/>
      <c r="TKY8" s="72"/>
      <c r="TLF8" s="74"/>
      <c r="TLG8" s="72"/>
      <c r="TLN8" s="74"/>
      <c r="TLO8" s="72"/>
      <c r="TLV8" s="74"/>
      <c r="TLW8" s="72"/>
      <c r="TMD8" s="74"/>
      <c r="TME8" s="72"/>
      <c r="TML8" s="74"/>
      <c r="TMM8" s="72"/>
      <c r="TMT8" s="74"/>
      <c r="TMU8" s="72"/>
      <c r="TNB8" s="74"/>
      <c r="TNC8" s="72"/>
      <c r="TNJ8" s="74"/>
      <c r="TNK8" s="72"/>
      <c r="TNR8" s="74"/>
      <c r="TNS8" s="72"/>
      <c r="TNZ8" s="74"/>
      <c r="TOA8" s="72"/>
      <c r="TOH8" s="74"/>
      <c r="TOI8" s="72"/>
      <c r="TOP8" s="74"/>
      <c r="TOQ8" s="72"/>
      <c r="TOX8" s="74"/>
      <c r="TOY8" s="72"/>
      <c r="TPF8" s="74"/>
      <c r="TPG8" s="72"/>
      <c r="TPN8" s="74"/>
      <c r="TPO8" s="72"/>
      <c r="TPV8" s="74"/>
      <c r="TPW8" s="72"/>
      <c r="TQD8" s="74"/>
      <c r="TQE8" s="72"/>
      <c r="TQL8" s="74"/>
      <c r="TQM8" s="72"/>
      <c r="TQT8" s="74"/>
      <c r="TQU8" s="72"/>
      <c r="TRB8" s="74"/>
      <c r="TRC8" s="72"/>
      <c r="TRJ8" s="74"/>
      <c r="TRK8" s="72"/>
      <c r="TRR8" s="74"/>
      <c r="TRS8" s="72"/>
      <c r="TRZ8" s="74"/>
      <c r="TSA8" s="72"/>
      <c r="TSH8" s="74"/>
      <c r="TSI8" s="72"/>
      <c r="TSP8" s="74"/>
      <c r="TSQ8" s="72"/>
      <c r="TSX8" s="74"/>
      <c r="TSY8" s="72"/>
      <c r="TTF8" s="74"/>
      <c r="TTG8" s="72"/>
      <c r="TTN8" s="74"/>
      <c r="TTO8" s="72"/>
      <c r="TTV8" s="74"/>
      <c r="TTW8" s="72"/>
      <c r="TUD8" s="74"/>
      <c r="TUE8" s="72"/>
      <c r="TUL8" s="74"/>
      <c r="TUM8" s="72"/>
      <c r="TUT8" s="74"/>
      <c r="TUU8" s="72"/>
      <c r="TVB8" s="74"/>
      <c r="TVC8" s="72"/>
      <c r="TVJ8" s="74"/>
      <c r="TVK8" s="72"/>
      <c r="TVR8" s="74"/>
      <c r="TVS8" s="72"/>
      <c r="TVZ8" s="74"/>
      <c r="TWA8" s="72"/>
      <c r="TWH8" s="74"/>
      <c r="TWI8" s="72"/>
      <c r="TWP8" s="74"/>
      <c r="TWQ8" s="72"/>
      <c r="TWX8" s="74"/>
      <c r="TWY8" s="72"/>
      <c r="TXF8" s="74"/>
      <c r="TXG8" s="72"/>
      <c r="TXN8" s="74"/>
      <c r="TXO8" s="72"/>
      <c r="TXV8" s="74"/>
      <c r="TXW8" s="72"/>
      <c r="TYD8" s="74"/>
      <c r="TYE8" s="72"/>
      <c r="TYL8" s="74"/>
      <c r="TYM8" s="72"/>
      <c r="TYT8" s="74"/>
      <c r="TYU8" s="72"/>
      <c r="TZB8" s="74"/>
      <c r="TZC8" s="72"/>
      <c r="TZJ8" s="74"/>
      <c r="TZK8" s="72"/>
      <c r="TZR8" s="74"/>
      <c r="TZS8" s="72"/>
      <c r="TZZ8" s="74"/>
      <c r="UAA8" s="72"/>
      <c r="UAH8" s="74"/>
      <c r="UAI8" s="72"/>
      <c r="UAP8" s="74"/>
      <c r="UAQ8" s="72"/>
      <c r="UAX8" s="74"/>
      <c r="UAY8" s="72"/>
      <c r="UBF8" s="74"/>
      <c r="UBG8" s="72"/>
      <c r="UBN8" s="74"/>
      <c r="UBO8" s="72"/>
      <c r="UBV8" s="74"/>
      <c r="UBW8" s="72"/>
      <c r="UCD8" s="74"/>
      <c r="UCE8" s="72"/>
      <c r="UCL8" s="74"/>
      <c r="UCM8" s="72"/>
      <c r="UCT8" s="74"/>
      <c r="UCU8" s="72"/>
      <c r="UDB8" s="74"/>
      <c r="UDC8" s="72"/>
      <c r="UDJ8" s="74"/>
      <c r="UDK8" s="72"/>
      <c r="UDR8" s="74"/>
      <c r="UDS8" s="72"/>
      <c r="UDZ8" s="74"/>
      <c r="UEA8" s="72"/>
      <c r="UEH8" s="74"/>
      <c r="UEI8" s="72"/>
      <c r="UEP8" s="74"/>
      <c r="UEQ8" s="72"/>
      <c r="UEX8" s="74"/>
      <c r="UEY8" s="72"/>
      <c r="UFF8" s="74"/>
      <c r="UFG8" s="72"/>
      <c r="UFN8" s="74"/>
      <c r="UFO8" s="72"/>
      <c r="UFV8" s="74"/>
      <c r="UFW8" s="72"/>
      <c r="UGD8" s="74"/>
      <c r="UGE8" s="72"/>
      <c r="UGL8" s="74"/>
      <c r="UGM8" s="72"/>
      <c r="UGT8" s="74"/>
      <c r="UGU8" s="72"/>
      <c r="UHB8" s="74"/>
      <c r="UHC8" s="72"/>
      <c r="UHJ8" s="74"/>
      <c r="UHK8" s="72"/>
      <c r="UHR8" s="74"/>
      <c r="UHS8" s="72"/>
      <c r="UHZ8" s="74"/>
      <c r="UIA8" s="72"/>
      <c r="UIH8" s="74"/>
      <c r="UII8" s="72"/>
      <c r="UIP8" s="74"/>
      <c r="UIQ8" s="72"/>
      <c r="UIX8" s="74"/>
      <c r="UIY8" s="72"/>
      <c r="UJF8" s="74"/>
      <c r="UJG8" s="72"/>
      <c r="UJN8" s="74"/>
      <c r="UJO8" s="72"/>
      <c r="UJV8" s="74"/>
      <c r="UJW8" s="72"/>
      <c r="UKD8" s="74"/>
      <c r="UKE8" s="72"/>
      <c r="UKL8" s="74"/>
      <c r="UKM8" s="72"/>
      <c r="UKT8" s="74"/>
      <c r="UKU8" s="72"/>
      <c r="ULB8" s="74"/>
      <c r="ULC8" s="72"/>
      <c r="ULJ8" s="74"/>
      <c r="ULK8" s="72"/>
      <c r="ULR8" s="74"/>
      <c r="ULS8" s="72"/>
      <c r="ULZ8" s="74"/>
      <c r="UMA8" s="72"/>
      <c r="UMH8" s="74"/>
      <c r="UMI8" s="72"/>
      <c r="UMP8" s="74"/>
      <c r="UMQ8" s="72"/>
      <c r="UMX8" s="74"/>
      <c r="UMY8" s="72"/>
      <c r="UNF8" s="74"/>
      <c r="UNG8" s="72"/>
      <c r="UNN8" s="74"/>
      <c r="UNO8" s="72"/>
      <c r="UNV8" s="74"/>
      <c r="UNW8" s="72"/>
      <c r="UOD8" s="74"/>
      <c r="UOE8" s="72"/>
      <c r="UOL8" s="74"/>
      <c r="UOM8" s="72"/>
      <c r="UOT8" s="74"/>
      <c r="UOU8" s="72"/>
      <c r="UPB8" s="74"/>
      <c r="UPC8" s="72"/>
      <c r="UPJ8" s="74"/>
      <c r="UPK8" s="72"/>
      <c r="UPR8" s="74"/>
      <c r="UPS8" s="72"/>
      <c r="UPZ8" s="74"/>
      <c r="UQA8" s="72"/>
      <c r="UQH8" s="74"/>
      <c r="UQI8" s="72"/>
      <c r="UQP8" s="74"/>
      <c r="UQQ8" s="72"/>
      <c r="UQX8" s="74"/>
      <c r="UQY8" s="72"/>
      <c r="URF8" s="74"/>
      <c r="URG8" s="72"/>
      <c r="URN8" s="74"/>
      <c r="URO8" s="72"/>
      <c r="URV8" s="74"/>
      <c r="URW8" s="72"/>
      <c r="USD8" s="74"/>
      <c r="USE8" s="72"/>
      <c r="USL8" s="74"/>
      <c r="USM8" s="72"/>
      <c r="UST8" s="74"/>
      <c r="USU8" s="72"/>
      <c r="UTB8" s="74"/>
      <c r="UTC8" s="72"/>
      <c r="UTJ8" s="74"/>
      <c r="UTK8" s="72"/>
      <c r="UTR8" s="74"/>
      <c r="UTS8" s="72"/>
      <c r="UTZ8" s="74"/>
      <c r="UUA8" s="72"/>
      <c r="UUH8" s="74"/>
      <c r="UUI8" s="72"/>
      <c r="UUP8" s="74"/>
      <c r="UUQ8" s="72"/>
      <c r="UUX8" s="74"/>
      <c r="UUY8" s="72"/>
      <c r="UVF8" s="74"/>
      <c r="UVG8" s="72"/>
      <c r="UVN8" s="74"/>
      <c r="UVO8" s="72"/>
      <c r="UVV8" s="74"/>
      <c r="UVW8" s="72"/>
      <c r="UWD8" s="74"/>
      <c r="UWE8" s="72"/>
      <c r="UWL8" s="74"/>
      <c r="UWM8" s="72"/>
      <c r="UWT8" s="74"/>
      <c r="UWU8" s="72"/>
      <c r="UXB8" s="74"/>
      <c r="UXC8" s="72"/>
      <c r="UXJ8" s="74"/>
      <c r="UXK8" s="72"/>
      <c r="UXR8" s="74"/>
      <c r="UXS8" s="72"/>
      <c r="UXZ8" s="74"/>
      <c r="UYA8" s="72"/>
      <c r="UYH8" s="74"/>
      <c r="UYI8" s="72"/>
      <c r="UYP8" s="74"/>
      <c r="UYQ8" s="72"/>
      <c r="UYX8" s="74"/>
      <c r="UYY8" s="72"/>
      <c r="UZF8" s="74"/>
      <c r="UZG8" s="72"/>
      <c r="UZN8" s="74"/>
      <c r="UZO8" s="72"/>
      <c r="UZV8" s="74"/>
      <c r="UZW8" s="72"/>
      <c r="VAD8" s="74"/>
      <c r="VAE8" s="72"/>
      <c r="VAL8" s="74"/>
      <c r="VAM8" s="72"/>
      <c r="VAT8" s="74"/>
      <c r="VAU8" s="72"/>
      <c r="VBB8" s="74"/>
      <c r="VBC8" s="72"/>
      <c r="VBJ8" s="74"/>
      <c r="VBK8" s="72"/>
      <c r="VBR8" s="74"/>
      <c r="VBS8" s="72"/>
      <c r="VBZ8" s="74"/>
      <c r="VCA8" s="72"/>
      <c r="VCH8" s="74"/>
      <c r="VCI8" s="72"/>
      <c r="VCP8" s="74"/>
      <c r="VCQ8" s="72"/>
      <c r="VCX8" s="74"/>
      <c r="VCY8" s="72"/>
      <c r="VDF8" s="74"/>
      <c r="VDG8" s="72"/>
      <c r="VDN8" s="74"/>
      <c r="VDO8" s="72"/>
      <c r="VDV8" s="74"/>
      <c r="VDW8" s="72"/>
      <c r="VED8" s="74"/>
      <c r="VEE8" s="72"/>
      <c r="VEL8" s="74"/>
      <c r="VEM8" s="72"/>
      <c r="VET8" s="74"/>
      <c r="VEU8" s="72"/>
      <c r="VFB8" s="74"/>
      <c r="VFC8" s="72"/>
      <c r="VFJ8" s="74"/>
      <c r="VFK8" s="72"/>
      <c r="VFR8" s="74"/>
      <c r="VFS8" s="72"/>
      <c r="VFZ8" s="74"/>
      <c r="VGA8" s="72"/>
      <c r="VGH8" s="74"/>
      <c r="VGI8" s="72"/>
      <c r="VGP8" s="74"/>
      <c r="VGQ8" s="72"/>
      <c r="VGX8" s="74"/>
      <c r="VGY8" s="72"/>
      <c r="VHF8" s="74"/>
      <c r="VHG8" s="72"/>
      <c r="VHN8" s="74"/>
      <c r="VHO8" s="72"/>
      <c r="VHV8" s="74"/>
      <c r="VHW8" s="72"/>
      <c r="VID8" s="74"/>
      <c r="VIE8" s="72"/>
      <c r="VIL8" s="74"/>
      <c r="VIM8" s="72"/>
      <c r="VIT8" s="74"/>
      <c r="VIU8" s="72"/>
      <c r="VJB8" s="74"/>
      <c r="VJC8" s="72"/>
      <c r="VJJ8" s="74"/>
      <c r="VJK8" s="72"/>
      <c r="VJR8" s="74"/>
      <c r="VJS8" s="72"/>
      <c r="VJZ8" s="74"/>
      <c r="VKA8" s="72"/>
      <c r="VKH8" s="74"/>
      <c r="VKI8" s="72"/>
      <c r="VKP8" s="74"/>
      <c r="VKQ8" s="72"/>
      <c r="VKX8" s="74"/>
      <c r="VKY8" s="72"/>
      <c r="VLF8" s="74"/>
      <c r="VLG8" s="72"/>
      <c r="VLN8" s="74"/>
      <c r="VLO8" s="72"/>
      <c r="VLV8" s="74"/>
      <c r="VLW8" s="72"/>
      <c r="VMD8" s="74"/>
      <c r="VME8" s="72"/>
      <c r="VML8" s="74"/>
      <c r="VMM8" s="72"/>
      <c r="VMT8" s="74"/>
      <c r="VMU8" s="72"/>
      <c r="VNB8" s="74"/>
      <c r="VNC8" s="72"/>
      <c r="VNJ8" s="74"/>
      <c r="VNK8" s="72"/>
      <c r="VNR8" s="74"/>
      <c r="VNS8" s="72"/>
      <c r="VNZ8" s="74"/>
      <c r="VOA8" s="72"/>
      <c r="VOH8" s="74"/>
      <c r="VOI8" s="72"/>
      <c r="VOP8" s="74"/>
      <c r="VOQ8" s="72"/>
      <c r="VOX8" s="74"/>
      <c r="VOY8" s="72"/>
      <c r="VPF8" s="74"/>
      <c r="VPG8" s="72"/>
      <c r="VPN8" s="74"/>
      <c r="VPO8" s="72"/>
      <c r="VPV8" s="74"/>
      <c r="VPW8" s="72"/>
      <c r="VQD8" s="74"/>
      <c r="VQE8" s="72"/>
      <c r="VQL8" s="74"/>
      <c r="VQM8" s="72"/>
      <c r="VQT8" s="74"/>
      <c r="VQU8" s="72"/>
      <c r="VRB8" s="74"/>
      <c r="VRC8" s="72"/>
      <c r="VRJ8" s="74"/>
      <c r="VRK8" s="72"/>
      <c r="VRR8" s="74"/>
      <c r="VRS8" s="72"/>
      <c r="VRZ8" s="74"/>
      <c r="VSA8" s="72"/>
      <c r="VSH8" s="74"/>
      <c r="VSI8" s="72"/>
      <c r="VSP8" s="74"/>
      <c r="VSQ8" s="72"/>
      <c r="VSX8" s="74"/>
      <c r="VSY8" s="72"/>
      <c r="VTF8" s="74"/>
      <c r="VTG8" s="72"/>
      <c r="VTN8" s="74"/>
      <c r="VTO8" s="72"/>
      <c r="VTV8" s="74"/>
      <c r="VTW8" s="72"/>
      <c r="VUD8" s="74"/>
      <c r="VUE8" s="72"/>
      <c r="VUL8" s="74"/>
      <c r="VUM8" s="72"/>
      <c r="VUT8" s="74"/>
      <c r="VUU8" s="72"/>
      <c r="VVB8" s="74"/>
      <c r="VVC8" s="72"/>
      <c r="VVJ8" s="74"/>
      <c r="VVK8" s="72"/>
      <c r="VVR8" s="74"/>
      <c r="VVS8" s="72"/>
      <c r="VVZ8" s="74"/>
      <c r="VWA8" s="72"/>
      <c r="VWH8" s="74"/>
      <c r="VWI8" s="72"/>
      <c r="VWP8" s="74"/>
      <c r="VWQ8" s="72"/>
      <c r="VWX8" s="74"/>
      <c r="VWY8" s="72"/>
      <c r="VXF8" s="74"/>
      <c r="VXG8" s="72"/>
      <c r="VXN8" s="74"/>
      <c r="VXO8" s="72"/>
      <c r="VXV8" s="74"/>
      <c r="VXW8" s="72"/>
      <c r="VYD8" s="74"/>
      <c r="VYE8" s="72"/>
      <c r="VYL8" s="74"/>
      <c r="VYM8" s="72"/>
      <c r="VYT8" s="74"/>
      <c r="VYU8" s="72"/>
      <c r="VZB8" s="74"/>
      <c r="VZC8" s="72"/>
      <c r="VZJ8" s="74"/>
      <c r="VZK8" s="72"/>
      <c r="VZR8" s="74"/>
      <c r="VZS8" s="72"/>
      <c r="VZZ8" s="74"/>
      <c r="WAA8" s="72"/>
      <c r="WAH8" s="74"/>
      <c r="WAI8" s="72"/>
      <c r="WAP8" s="74"/>
      <c r="WAQ8" s="72"/>
      <c r="WAX8" s="74"/>
      <c r="WAY8" s="72"/>
      <c r="WBF8" s="74"/>
      <c r="WBG8" s="72"/>
      <c r="WBN8" s="74"/>
      <c r="WBO8" s="72"/>
      <c r="WBV8" s="74"/>
      <c r="WBW8" s="72"/>
      <c r="WCD8" s="74"/>
      <c r="WCE8" s="72"/>
      <c r="WCL8" s="74"/>
      <c r="WCM8" s="72"/>
      <c r="WCT8" s="74"/>
      <c r="WCU8" s="72"/>
      <c r="WDB8" s="74"/>
      <c r="WDC8" s="72"/>
      <c r="WDJ8" s="74"/>
      <c r="WDK8" s="72"/>
      <c r="WDR8" s="74"/>
      <c r="WDS8" s="72"/>
      <c r="WDZ8" s="74"/>
      <c r="WEA8" s="72"/>
      <c r="WEH8" s="74"/>
      <c r="WEI8" s="72"/>
      <c r="WEP8" s="74"/>
      <c r="WEQ8" s="72"/>
      <c r="WEX8" s="74"/>
      <c r="WEY8" s="72"/>
      <c r="WFF8" s="74"/>
      <c r="WFG8" s="72"/>
      <c r="WFN8" s="74"/>
      <c r="WFO8" s="72"/>
      <c r="WFV8" s="74"/>
      <c r="WFW8" s="72"/>
      <c r="WGD8" s="74"/>
      <c r="WGE8" s="72"/>
      <c r="WGL8" s="74"/>
      <c r="WGM8" s="72"/>
      <c r="WGT8" s="74"/>
      <c r="WGU8" s="72"/>
      <c r="WHB8" s="74"/>
      <c r="WHC8" s="72"/>
      <c r="WHJ8" s="74"/>
      <c r="WHK8" s="72"/>
      <c r="WHR8" s="74"/>
      <c r="WHS8" s="72"/>
      <c r="WHZ8" s="74"/>
      <c r="WIA8" s="72"/>
      <c r="WIH8" s="74"/>
      <c r="WII8" s="72"/>
      <c r="WIP8" s="74"/>
      <c r="WIQ8" s="72"/>
      <c r="WIX8" s="74"/>
      <c r="WIY8" s="72"/>
      <c r="WJF8" s="74"/>
      <c r="WJG8" s="72"/>
      <c r="WJN8" s="74"/>
      <c r="WJO8" s="72"/>
      <c r="WJV8" s="74"/>
      <c r="WJW8" s="72"/>
      <c r="WKD8" s="74"/>
      <c r="WKE8" s="72"/>
      <c r="WKL8" s="74"/>
      <c r="WKM8" s="72"/>
      <c r="WKT8" s="74"/>
      <c r="WKU8" s="72"/>
      <c r="WLB8" s="74"/>
      <c r="WLC8" s="72"/>
      <c r="WLJ8" s="74"/>
      <c r="WLK8" s="72"/>
      <c r="WLR8" s="74"/>
      <c r="WLS8" s="72"/>
      <c r="WLZ8" s="74"/>
      <c r="WMA8" s="72"/>
      <c r="WMH8" s="74"/>
      <c r="WMI8" s="72"/>
      <c r="WMP8" s="74"/>
      <c r="WMQ8" s="72"/>
      <c r="WMX8" s="74"/>
      <c r="WMY8" s="72"/>
      <c r="WNF8" s="74"/>
      <c r="WNG8" s="72"/>
      <c r="WNN8" s="74"/>
      <c r="WNO8" s="72"/>
      <c r="WNV8" s="74"/>
      <c r="WNW8" s="72"/>
      <c r="WOD8" s="74"/>
      <c r="WOE8" s="72"/>
      <c r="WOL8" s="74"/>
      <c r="WOM8" s="72"/>
      <c r="WOT8" s="74"/>
      <c r="WOU8" s="72"/>
      <c r="WPB8" s="74"/>
      <c r="WPC8" s="72"/>
      <c r="WPJ8" s="74"/>
      <c r="WPK8" s="72"/>
      <c r="WPR8" s="74"/>
      <c r="WPS8" s="72"/>
      <c r="WPZ8" s="74"/>
      <c r="WQA8" s="72"/>
      <c r="WQH8" s="74"/>
      <c r="WQI8" s="72"/>
      <c r="WQP8" s="74"/>
      <c r="WQQ8" s="72"/>
      <c r="WQX8" s="74"/>
      <c r="WQY8" s="72"/>
      <c r="WRF8" s="74"/>
      <c r="WRG8" s="72"/>
      <c r="WRN8" s="74"/>
      <c r="WRO8" s="72"/>
      <c r="WRV8" s="74"/>
      <c r="WRW8" s="72"/>
      <c r="WSD8" s="74"/>
      <c r="WSE8" s="72"/>
      <c r="WSL8" s="74"/>
      <c r="WSM8" s="72"/>
      <c r="WST8" s="74"/>
      <c r="WSU8" s="72"/>
      <c r="WTB8" s="74"/>
      <c r="WTC8" s="72"/>
      <c r="WTJ8" s="74"/>
      <c r="WTK8" s="72"/>
      <c r="WTR8" s="74"/>
      <c r="WTS8" s="72"/>
      <c r="WTZ8" s="74"/>
      <c r="WUA8" s="72"/>
      <c r="WUH8" s="74"/>
      <c r="WUI8" s="72"/>
      <c r="WUP8" s="74"/>
      <c r="WUQ8" s="72"/>
      <c r="WUX8" s="74"/>
      <c r="WUY8" s="72"/>
      <c r="WVF8" s="74"/>
      <c r="WVG8" s="72"/>
      <c r="WVN8" s="74"/>
      <c r="WVO8" s="72"/>
      <c r="WVV8" s="74"/>
      <c r="WVW8" s="72"/>
      <c r="WWD8" s="74"/>
      <c r="WWE8" s="72"/>
      <c r="WWL8" s="74"/>
      <c r="WWM8" s="72"/>
      <c r="WWT8" s="74"/>
      <c r="WWU8" s="72"/>
      <c r="WXB8" s="74"/>
      <c r="WXC8" s="72"/>
      <c r="WXJ8" s="74"/>
      <c r="WXK8" s="72"/>
      <c r="WXR8" s="74"/>
      <c r="WXS8" s="72"/>
      <c r="WXZ8" s="74"/>
      <c r="WYA8" s="72"/>
      <c r="WYH8" s="74"/>
      <c r="WYI8" s="72"/>
      <c r="WYP8" s="74"/>
      <c r="WYQ8" s="72"/>
      <c r="WYX8" s="74"/>
      <c r="WYY8" s="72"/>
      <c r="WZF8" s="74"/>
      <c r="WZG8" s="72"/>
      <c r="WZN8" s="74"/>
      <c r="WZO8" s="72"/>
      <c r="WZV8" s="74"/>
      <c r="WZW8" s="72"/>
      <c r="XAD8" s="74"/>
      <c r="XAE8" s="72"/>
      <c r="XAL8" s="74"/>
      <c r="XAM8" s="72"/>
      <c r="XAT8" s="74"/>
      <c r="XAU8" s="72"/>
      <c r="XBB8" s="74"/>
      <c r="XBC8" s="72"/>
      <c r="XBJ8" s="74"/>
      <c r="XBK8" s="72"/>
      <c r="XBR8" s="74"/>
      <c r="XBS8" s="72"/>
      <c r="XBZ8" s="74"/>
      <c r="XCA8" s="72"/>
      <c r="XCH8" s="74"/>
      <c r="XCI8" s="72"/>
      <c r="XCP8" s="74"/>
      <c r="XCQ8" s="72"/>
      <c r="XCX8" s="74"/>
      <c r="XCY8" s="72"/>
      <c r="XDF8" s="74"/>
      <c r="XDG8" s="72"/>
      <c r="XDN8" s="74"/>
      <c r="XDO8" s="72"/>
      <c r="XDV8" s="74"/>
      <c r="XDW8" s="72"/>
      <c r="XED8" s="74"/>
      <c r="XEE8" s="72"/>
      <c r="XEL8" s="74"/>
      <c r="XEM8" s="72"/>
      <c r="XET8" s="74"/>
      <c r="XEU8" s="72"/>
      <c r="XFB8" s="74"/>
      <c r="XFC8" s="72"/>
    </row>
    <row r="9" spans="1:1023 1030:2047 2054:3071 3078:4095 4102:5119 5126:6143 6150:7167 7174:8191 8198:9215 9222:10239 10246:11263 11270:12287 12294:13311 13318:14335 14342:15359 15366:16383" ht="15" customHeight="1" thickBot="1">
      <c r="B9" s="116" t="s">
        <v>199</v>
      </c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</row>
    <row r="10" spans="1:1023 1030:2047 2054:3071 3078:4095 4102:5119 5126:6143 6150:7167 7174:8191 8198:9215 9222:10239 10246:11263 11270:12287 12294:13311 13318:14335 14342:15359 15366:16383" ht="2.15" customHeight="1">
      <c r="B10" s="112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</row>
    <row r="11" spans="1:1023 1030:2047 2054:3071 3078:4095 4102:5119 5126:6143 6150:7167 7174:8191 8198:9215 9222:10239 10246:11263 11270:12287 12294:13311 13318:14335 14342:15359 15366:16383" s="126" customFormat="1" ht="15" customHeight="1" thickBot="1">
      <c r="A11" s="122"/>
      <c r="B11" s="123" t="s">
        <v>200</v>
      </c>
      <c r="C11" s="124">
        <f>'1. DRE'!C28</f>
        <v>-34359</v>
      </c>
      <c r="D11" s="124">
        <f>'1. DRE'!D28</f>
        <v>-206735</v>
      </c>
      <c r="E11" s="124">
        <f>'1. DRE'!E28</f>
        <v>-86858</v>
      </c>
      <c r="F11" s="124">
        <f>'1. DRE'!F28</f>
        <v>-15486</v>
      </c>
      <c r="G11" s="124">
        <f>'1. DRE'!G28</f>
        <v>-35557</v>
      </c>
      <c r="H11" s="124">
        <v>569856.62480999995</v>
      </c>
      <c r="I11" s="124">
        <f>'1. DRE'!I28</f>
        <v>159065</v>
      </c>
      <c r="J11" s="124">
        <f>'1. DRE'!J28</f>
        <v>-96284</v>
      </c>
      <c r="K11" s="124">
        <f>'1. DRE'!K28</f>
        <v>-65224</v>
      </c>
      <c r="L11" s="124">
        <f>'1. DRE'!L28</f>
        <v>184817</v>
      </c>
      <c r="M11" s="124">
        <f>'1. DRE'!M28</f>
        <v>205127</v>
      </c>
      <c r="N11" s="124">
        <f>'1. DRE'!N28</f>
        <v>200801</v>
      </c>
      <c r="O11" s="124">
        <f>'1. DRE'!O28</f>
        <v>146273</v>
      </c>
      <c r="P11" s="124">
        <f>'1. DRE'!P28</f>
        <v>34915</v>
      </c>
      <c r="Q11" s="124">
        <f>'1. DRE'!Q28</f>
        <v>45937</v>
      </c>
      <c r="R11" s="124">
        <f>'1. DRE'!R28</f>
        <v>30763</v>
      </c>
      <c r="S11" s="124">
        <f>'1. DRE'!S28</f>
        <v>-31023</v>
      </c>
      <c r="T11" s="124">
        <f>'1. DRE'!T28</f>
        <v>-170508</v>
      </c>
      <c r="U11" s="124">
        <f>'1. DRE'!U28</f>
        <v>-76588</v>
      </c>
      <c r="V11" s="124">
        <f>'1. DRE'!V28</f>
        <v>-590833</v>
      </c>
      <c r="W11" s="125"/>
      <c r="X11" s="125"/>
    </row>
    <row r="12" spans="1:1023 1030:2047 2054:3071 3078:4095 4102:5119 5126:6143 6150:7167 7174:8191 8198:9215 9222:10239 10246:11263 11270:12287 12294:13311 13318:14335 14342:15359 15366:16383" ht="2.15" customHeight="1">
      <c r="B12" s="112"/>
      <c r="C12" s="91"/>
      <c r="D12" s="91"/>
      <c r="E12" s="91"/>
      <c r="F12" s="91"/>
      <c r="G12" s="91"/>
      <c r="H12" s="91"/>
      <c r="I12" s="91"/>
      <c r="J12" s="91"/>
      <c r="K12" s="91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</row>
    <row r="13" spans="1:1023 1030:2047 2054:3071 3078:4095 4102:5119 5126:6143 6150:7167 7174:8191 8198:9215 9222:10239 10246:11263 11270:12287 12294:13311 13318:14335 14342:15359 15366:16383" s="121" customFormat="1" ht="15" customHeight="1" thickBot="1">
      <c r="B13" s="123" t="s">
        <v>201</v>
      </c>
      <c r="C13" s="127"/>
      <c r="D13" s="127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</row>
    <row r="14" spans="1:1023 1030:2047 2054:3071 3078:4095 4102:5119 5126:6143 6150:7167 7174:8191 8198:9215 9222:10239 10246:11263 11270:12287 12294:13311 13318:14335 14342:15359 15366:16383" ht="15" customHeight="1" thickBot="1">
      <c r="A14" s="58"/>
      <c r="B14" s="59" t="s">
        <v>202</v>
      </c>
      <c r="C14" s="60">
        <f>57107+39997</f>
        <v>97104</v>
      </c>
      <c r="D14" s="60">
        <f>210891+116510</f>
        <v>327401</v>
      </c>
      <c r="E14" s="60">
        <f>128344+81917</f>
        <v>210261</v>
      </c>
      <c r="F14" s="60">
        <f>82212+53001</f>
        <v>135213</v>
      </c>
      <c r="G14" s="60">
        <f>40428+25620</f>
        <v>66048</v>
      </c>
      <c r="H14" s="60">
        <v>222809</v>
      </c>
      <c r="I14" s="60">
        <f>135248</f>
        <v>135248</v>
      </c>
      <c r="J14" s="60">
        <f>97552</f>
        <v>97552</v>
      </c>
      <c r="K14" s="60">
        <f>26556+10489</f>
        <v>37045</v>
      </c>
      <c r="L14" s="60">
        <f>120155+50865</f>
        <v>171020</v>
      </c>
      <c r="M14" s="60">
        <f>93610+50865</f>
        <v>144475</v>
      </c>
      <c r="N14" s="60">
        <f>74971+39418</f>
        <v>114389</v>
      </c>
      <c r="O14" s="60">
        <f>34036+17038</f>
        <v>51074</v>
      </c>
      <c r="P14" s="60">
        <f>116473+45511</f>
        <v>161984</v>
      </c>
      <c r="Q14" s="60">
        <f>114791+45511</f>
        <v>160302</v>
      </c>
      <c r="R14" s="60">
        <f>85725+35752</f>
        <v>121477</v>
      </c>
      <c r="S14" s="60">
        <f>38822+15406</f>
        <v>54228</v>
      </c>
      <c r="T14" s="60">
        <f>115111+36835</f>
        <v>151946</v>
      </c>
      <c r="U14" s="60">
        <f>55958+29539</f>
        <v>85497</v>
      </c>
      <c r="V14" s="60">
        <f>99556+30180</f>
        <v>129736</v>
      </c>
      <c r="W14" s="113"/>
      <c r="X14" s="113"/>
    </row>
    <row r="15" spans="1:1023 1030:2047 2054:3071 3078:4095 4102:5119 5126:6143 6150:7167 7174:8191 8198:9215 9222:10239 10246:11263 11270:12287 12294:13311 13318:14335 14342:15359 15366:16383" ht="15" customHeight="1" thickBot="1">
      <c r="A15" s="58"/>
      <c r="B15" s="59" t="s">
        <v>203</v>
      </c>
      <c r="C15" s="60">
        <v>-1839</v>
      </c>
      <c r="D15" s="60">
        <v>19082</v>
      </c>
      <c r="E15" s="60">
        <v>46140</v>
      </c>
      <c r="F15" s="60">
        <v>3235</v>
      </c>
      <c r="G15" s="60">
        <v>2783</v>
      </c>
      <c r="H15" s="60">
        <v>-5751</v>
      </c>
      <c r="I15" s="60">
        <f>4487</f>
        <v>4487</v>
      </c>
      <c r="J15" s="60">
        <v>14</v>
      </c>
      <c r="K15" s="60">
        <v>834</v>
      </c>
      <c r="L15" s="60">
        <v>-5699</v>
      </c>
      <c r="M15" s="60">
        <v>-786</v>
      </c>
      <c r="N15" s="60">
        <v>-3168</v>
      </c>
      <c r="O15" s="60">
        <v>-3627</v>
      </c>
      <c r="P15" s="60">
        <f>-11024-7384</f>
        <v>-18408</v>
      </c>
      <c r="Q15" s="60">
        <v>-9674</v>
      </c>
      <c r="R15" s="60">
        <v>-7232</v>
      </c>
      <c r="S15" s="60">
        <v>-998</v>
      </c>
      <c r="T15" s="60">
        <v>-6302</v>
      </c>
      <c r="U15" s="60">
        <v>-2628</v>
      </c>
      <c r="V15" s="60">
        <v>-55490</v>
      </c>
      <c r="W15" s="113"/>
      <c r="X15" s="113"/>
    </row>
    <row r="16" spans="1:1023 1030:2047 2054:3071 3078:4095 4102:5119 5126:6143 6150:7167 7174:8191 8198:9215 9222:10239 10246:11263 11270:12287 12294:13311 13318:14335 14342:15359 15366:16383" ht="15" customHeight="1" thickBot="1">
      <c r="A16" s="58"/>
      <c r="B16" s="59" t="s">
        <v>204</v>
      </c>
      <c r="C16" s="60">
        <v>-1048</v>
      </c>
      <c r="D16" s="60">
        <v>2635</v>
      </c>
      <c r="E16" s="60">
        <v>3276</v>
      </c>
      <c r="F16" s="60">
        <v>-203</v>
      </c>
      <c r="G16" s="60">
        <v>1890</v>
      </c>
      <c r="H16" s="60">
        <v>-90254</v>
      </c>
      <c r="I16" s="60">
        <v>-89381</v>
      </c>
      <c r="J16" s="60">
        <v>8045</v>
      </c>
      <c r="K16" s="60">
        <v>7089</v>
      </c>
      <c r="L16" s="60">
        <v>14443</v>
      </c>
      <c r="M16" s="60">
        <v>12931</v>
      </c>
      <c r="N16" s="60">
        <v>5470</v>
      </c>
      <c r="O16" s="60">
        <v>2142</v>
      </c>
      <c r="P16" s="60">
        <v>21284</v>
      </c>
      <c r="Q16" s="60">
        <f>17834-7384</f>
        <v>10450</v>
      </c>
      <c r="R16" s="60">
        <v>-1845</v>
      </c>
      <c r="S16" s="60">
        <f>-3106+33</f>
        <v>-3073</v>
      </c>
      <c r="T16" s="60">
        <v>43121</v>
      </c>
      <c r="U16" s="60">
        <f>1523+5557+701-63951-12</f>
        <v>-56182</v>
      </c>
      <c r="V16" s="60">
        <f>133440+176+275664</f>
        <v>409280</v>
      </c>
      <c r="W16" s="113"/>
      <c r="X16" s="113"/>
    </row>
    <row r="17" spans="1:24" ht="15" customHeight="1" thickBot="1">
      <c r="A17" s="58"/>
      <c r="B17" s="59" t="s">
        <v>205</v>
      </c>
      <c r="C17" s="60">
        <f>90697+4107+27352</f>
        <v>122156</v>
      </c>
      <c r="D17" s="60">
        <f>372132+31549</f>
        <v>403681</v>
      </c>
      <c r="E17" s="60">
        <f>303525+23985</f>
        <v>327510</v>
      </c>
      <c r="F17" s="60">
        <v>257331</v>
      </c>
      <c r="G17" s="60">
        <v>157267</v>
      </c>
      <c r="H17" s="60">
        <v>623405</v>
      </c>
      <c r="I17" s="60">
        <f>460697</f>
        <v>460697</v>
      </c>
      <c r="J17" s="60">
        <f>316967</f>
        <v>316967</v>
      </c>
      <c r="K17" s="60">
        <v>160135</v>
      </c>
      <c r="L17" s="60">
        <v>339568</v>
      </c>
      <c r="M17" s="60">
        <v>217699</v>
      </c>
      <c r="N17" s="60">
        <v>118436</v>
      </c>
      <c r="O17" s="60">
        <v>52600</v>
      </c>
      <c r="P17" s="60">
        <v>189105</v>
      </c>
      <c r="Q17" s="60">
        <v>131538</v>
      </c>
      <c r="R17" s="60">
        <v>80762</v>
      </c>
      <c r="S17" s="60">
        <v>61394</v>
      </c>
      <c r="T17" s="60">
        <v>253060</v>
      </c>
      <c r="U17" s="60">
        <v>93475</v>
      </c>
      <c r="V17" s="60">
        <v>286701</v>
      </c>
      <c r="W17" s="113"/>
      <c r="X17" s="113"/>
    </row>
    <row r="18" spans="1:24" ht="15" customHeight="1" thickBot="1">
      <c r="A18" s="58"/>
      <c r="B18" s="59" t="s">
        <v>328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-157280</v>
      </c>
      <c r="I18" s="60">
        <v>-157280</v>
      </c>
      <c r="J18" s="60">
        <v>0</v>
      </c>
      <c r="K18" s="60">
        <v>0</v>
      </c>
      <c r="L18" s="60">
        <v>0</v>
      </c>
      <c r="M18" s="60">
        <v>0</v>
      </c>
      <c r="N18" s="60">
        <v>0</v>
      </c>
      <c r="O18" s="60">
        <v>0</v>
      </c>
      <c r="P18" s="60">
        <v>0</v>
      </c>
      <c r="Q18" s="60">
        <v>0</v>
      </c>
      <c r="R18" s="60">
        <v>0</v>
      </c>
      <c r="S18" s="60">
        <v>0</v>
      </c>
      <c r="T18" s="60">
        <v>0</v>
      </c>
      <c r="U18" s="60">
        <v>0</v>
      </c>
      <c r="V18" s="60">
        <v>0</v>
      </c>
      <c r="W18" s="113"/>
      <c r="X18" s="113"/>
    </row>
    <row r="19" spans="1:24" ht="15" customHeight="1" thickBot="1">
      <c r="A19" s="58"/>
      <c r="B19" s="59" t="s">
        <v>206</v>
      </c>
      <c r="C19" s="60">
        <f>8887-39</f>
        <v>8848</v>
      </c>
      <c r="D19" s="60">
        <v>27994</v>
      </c>
      <c r="E19" s="60">
        <f>23306+765</f>
        <v>24071</v>
      </c>
      <c r="F19" s="60">
        <f>15671+1001</f>
        <v>16672</v>
      </c>
      <c r="G19" s="60">
        <f>5217+1081</f>
        <v>6298</v>
      </c>
      <c r="H19" s="60">
        <v>21117</v>
      </c>
      <c r="I19" s="60">
        <f>15698</f>
        <v>15698</v>
      </c>
      <c r="J19" s="60">
        <f>10596</f>
        <v>10596</v>
      </c>
      <c r="K19" s="60">
        <v>5646</v>
      </c>
      <c r="L19" s="60">
        <v>11596</v>
      </c>
      <c r="M19" s="60">
        <v>8789</v>
      </c>
      <c r="N19" s="60">
        <v>6518</v>
      </c>
      <c r="O19" s="60">
        <v>3414</v>
      </c>
      <c r="P19" s="60">
        <v>10348</v>
      </c>
      <c r="Q19" s="60">
        <v>7935</v>
      </c>
      <c r="R19" s="60">
        <v>5253</v>
      </c>
      <c r="S19" s="60">
        <v>2738</v>
      </c>
      <c r="T19" s="60">
        <v>30570</v>
      </c>
      <c r="U19" s="60">
        <v>13913</v>
      </c>
      <c r="V19" s="60">
        <v>22181</v>
      </c>
      <c r="W19" s="113"/>
      <c r="X19" s="113"/>
    </row>
    <row r="20" spans="1:24" ht="15" customHeight="1" thickBot="1">
      <c r="A20" s="58"/>
      <c r="B20" s="59" t="s">
        <v>207</v>
      </c>
      <c r="C20" s="60">
        <v>-79479</v>
      </c>
      <c r="D20" s="60">
        <f>638-11993</f>
        <v>-11355</v>
      </c>
      <c r="E20" s="60">
        <v>-66339</v>
      </c>
      <c r="F20" s="60">
        <v>-133683</v>
      </c>
      <c r="G20" s="60">
        <v>-57119</v>
      </c>
      <c r="H20" s="60">
        <v>495</v>
      </c>
      <c r="I20" s="60">
        <v>-28765</v>
      </c>
      <c r="J20" s="60">
        <v>-46481</v>
      </c>
      <c r="K20" s="60">
        <f>-66171</f>
        <v>-66171</v>
      </c>
      <c r="L20" s="60">
        <v>-100125</v>
      </c>
      <c r="M20" s="60">
        <v>-121394</v>
      </c>
      <c r="N20" s="60">
        <v>-150093</v>
      </c>
      <c r="O20" s="60">
        <v>-131825</v>
      </c>
      <c r="P20" s="60">
        <v>-33595</v>
      </c>
      <c r="Q20" s="60">
        <v>-39049</v>
      </c>
      <c r="R20" s="60">
        <v>-46310</v>
      </c>
      <c r="S20" s="60">
        <v>-24165</v>
      </c>
      <c r="T20" s="60">
        <v>114</v>
      </c>
      <c r="U20" s="60">
        <v>-32286</v>
      </c>
      <c r="V20" s="60">
        <v>-17287</v>
      </c>
      <c r="W20" s="113"/>
      <c r="X20" s="113"/>
    </row>
    <row r="21" spans="1:24" ht="15" customHeight="1" thickBot="1">
      <c r="A21" s="58"/>
      <c r="B21" s="59" t="s">
        <v>208</v>
      </c>
      <c r="C21" s="60">
        <v>36597</v>
      </c>
      <c r="D21" s="60">
        <v>119164</v>
      </c>
      <c r="E21" s="60">
        <v>84895</v>
      </c>
      <c r="F21" s="60">
        <v>54928</v>
      </c>
      <c r="G21" s="60">
        <v>26551</v>
      </c>
      <c r="H21" s="60">
        <v>91483</v>
      </c>
      <c r="I21" s="60">
        <f>60500</f>
        <v>60500</v>
      </c>
      <c r="J21" s="60">
        <f>43649</f>
        <v>43649</v>
      </c>
      <c r="K21" s="60">
        <v>15401</v>
      </c>
      <c r="L21" s="60">
        <v>82710</v>
      </c>
      <c r="M21" s="60">
        <v>82710</v>
      </c>
      <c r="N21" s="60">
        <v>64097</v>
      </c>
      <c r="O21" s="60">
        <v>27705</v>
      </c>
      <c r="P21" s="60">
        <v>72191</v>
      </c>
      <c r="Q21" s="60">
        <v>72191</v>
      </c>
      <c r="R21" s="60">
        <v>59598</v>
      </c>
      <c r="S21" s="60">
        <v>25681</v>
      </c>
      <c r="T21" s="60">
        <v>62806</v>
      </c>
      <c r="U21" s="60">
        <v>52925</v>
      </c>
      <c r="V21" s="60">
        <v>51287</v>
      </c>
      <c r="W21" s="113"/>
      <c r="X21" s="113"/>
    </row>
    <row r="22" spans="1:24" ht="15" customHeight="1" thickBot="1">
      <c r="A22" s="58"/>
      <c r="B22" s="59" t="s">
        <v>324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-2854</v>
      </c>
      <c r="I22" s="60">
        <v>-2853</v>
      </c>
      <c r="J22" s="60">
        <v>-2853</v>
      </c>
      <c r="K22" s="60">
        <v>-2853</v>
      </c>
      <c r="L22" s="60">
        <v>0</v>
      </c>
      <c r="M22" s="60">
        <v>0</v>
      </c>
      <c r="N22" s="60">
        <v>0</v>
      </c>
      <c r="O22" s="60">
        <v>0</v>
      </c>
      <c r="P22" s="60">
        <v>0</v>
      </c>
      <c r="Q22" s="60">
        <v>0</v>
      </c>
      <c r="R22" s="60">
        <v>0</v>
      </c>
      <c r="S22" s="60">
        <v>0</v>
      </c>
      <c r="T22" s="60">
        <v>0</v>
      </c>
      <c r="U22" s="60">
        <v>0</v>
      </c>
      <c r="V22" s="60">
        <v>0</v>
      </c>
      <c r="W22" s="113"/>
      <c r="X22" s="113"/>
    </row>
    <row r="23" spans="1:24" ht="15" customHeight="1" thickBot="1">
      <c r="A23" s="58"/>
      <c r="B23" s="59" t="s">
        <v>163</v>
      </c>
      <c r="C23" s="60">
        <v>65</v>
      </c>
      <c r="D23" s="60">
        <v>116</v>
      </c>
      <c r="E23" s="60">
        <v>217</v>
      </c>
      <c r="F23" s="60">
        <v>161</v>
      </c>
      <c r="G23" s="60">
        <v>62</v>
      </c>
      <c r="H23" s="60">
        <v>253</v>
      </c>
      <c r="I23" s="60">
        <f>157</f>
        <v>157</v>
      </c>
      <c r="J23" s="60">
        <v>-32</v>
      </c>
      <c r="K23" s="60">
        <v>-6</v>
      </c>
      <c r="L23" s="60">
        <v>0</v>
      </c>
      <c r="M23" s="60">
        <v>-9</v>
      </c>
      <c r="N23" s="60">
        <v>-9</v>
      </c>
      <c r="O23" s="60">
        <v>-9</v>
      </c>
      <c r="P23" s="60">
        <v>-93</v>
      </c>
      <c r="Q23" s="60">
        <v>-153</v>
      </c>
      <c r="R23" s="60">
        <v>-153</v>
      </c>
      <c r="S23" s="60">
        <v>0</v>
      </c>
      <c r="T23" s="60">
        <v>701</v>
      </c>
      <c r="U23" s="60">
        <v>0</v>
      </c>
      <c r="V23" s="60">
        <v>-357</v>
      </c>
      <c r="W23" s="113"/>
      <c r="X23" s="113"/>
    </row>
    <row r="24" spans="1:24" ht="15" customHeight="1" thickBot="1">
      <c r="A24" s="58"/>
      <c r="B24" s="59" t="s">
        <v>209</v>
      </c>
      <c r="C24" s="60">
        <v>289</v>
      </c>
      <c r="D24" s="60">
        <v>10938</v>
      </c>
      <c r="E24" s="60">
        <v>110</v>
      </c>
      <c r="F24" s="60">
        <v>18</v>
      </c>
      <c r="G24" s="60">
        <v>18</v>
      </c>
      <c r="H24" s="60">
        <v>930</v>
      </c>
      <c r="I24" s="60">
        <f>240</f>
        <v>240</v>
      </c>
      <c r="J24" s="60">
        <f>71</f>
        <v>71</v>
      </c>
      <c r="K24" s="60">
        <v>56</v>
      </c>
      <c r="L24" s="60">
        <v>7494</v>
      </c>
      <c r="M24" s="60">
        <v>4963</v>
      </c>
      <c r="N24" s="60">
        <v>2136</v>
      </c>
      <c r="O24" s="60">
        <v>947</v>
      </c>
      <c r="P24" s="60">
        <v>13897</v>
      </c>
      <c r="Q24" s="60">
        <v>8724</v>
      </c>
      <c r="R24" s="60">
        <v>-1518</v>
      </c>
      <c r="S24" s="60">
        <v>35</v>
      </c>
      <c r="T24" s="60">
        <v>27185</v>
      </c>
      <c r="U24" s="60">
        <v>990</v>
      </c>
      <c r="V24" s="60">
        <v>67689</v>
      </c>
      <c r="W24" s="113"/>
      <c r="X24" s="113"/>
    </row>
    <row r="25" spans="1:24" ht="15" customHeight="1" thickBot="1">
      <c r="A25" s="58"/>
      <c r="B25" s="59" t="s">
        <v>293</v>
      </c>
      <c r="C25" s="60">
        <v>0</v>
      </c>
      <c r="D25" s="60">
        <v>-2032</v>
      </c>
      <c r="E25" s="60">
        <v>-2042</v>
      </c>
      <c r="F25" s="60">
        <v>0</v>
      </c>
      <c r="G25" s="60">
        <v>0</v>
      </c>
      <c r="H25" s="60">
        <v>-4023</v>
      </c>
      <c r="I25" s="60">
        <v>-1714</v>
      </c>
      <c r="J25" s="60">
        <v>-1714</v>
      </c>
      <c r="K25" s="60">
        <v>0</v>
      </c>
      <c r="L25" s="60">
        <v>0</v>
      </c>
      <c r="M25" s="60">
        <v>0</v>
      </c>
      <c r="N25" s="60">
        <v>0</v>
      </c>
      <c r="O25" s="60">
        <v>0</v>
      </c>
      <c r="P25" s="60">
        <v>-633</v>
      </c>
      <c r="Q25" s="60">
        <v>0</v>
      </c>
      <c r="R25" s="60">
        <v>0</v>
      </c>
      <c r="S25" s="60">
        <v>0</v>
      </c>
      <c r="T25" s="60">
        <v>0</v>
      </c>
      <c r="U25" s="60">
        <v>0</v>
      </c>
      <c r="V25" s="60">
        <v>0</v>
      </c>
      <c r="W25" s="113"/>
      <c r="X25" s="113"/>
    </row>
    <row r="26" spans="1:24" ht="15" customHeight="1" thickBot="1">
      <c r="A26" s="58"/>
      <c r="B26" s="59" t="s">
        <v>369</v>
      </c>
      <c r="C26" s="60">
        <v>0</v>
      </c>
      <c r="D26" s="60">
        <v>-37000</v>
      </c>
      <c r="E26" s="60">
        <v>-37000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60">
        <v>0</v>
      </c>
      <c r="L26" s="60">
        <v>0</v>
      </c>
      <c r="M26" s="60">
        <v>0</v>
      </c>
      <c r="N26" s="60">
        <v>0</v>
      </c>
      <c r="O26" s="60">
        <v>0</v>
      </c>
      <c r="P26" s="60">
        <v>0</v>
      </c>
      <c r="Q26" s="60">
        <v>0</v>
      </c>
      <c r="R26" s="60">
        <v>0</v>
      </c>
      <c r="S26" s="60">
        <v>0</v>
      </c>
      <c r="T26" s="60">
        <v>0</v>
      </c>
      <c r="U26" s="60">
        <v>0</v>
      </c>
      <c r="V26" s="60">
        <v>0</v>
      </c>
      <c r="W26" s="113"/>
      <c r="X26" s="113"/>
    </row>
    <row r="27" spans="1:24" ht="15" customHeight="1" thickBot="1">
      <c r="A27" s="58"/>
      <c r="B27" s="59" t="s">
        <v>210</v>
      </c>
      <c r="C27" s="60">
        <v>13348</v>
      </c>
      <c r="D27" s="60">
        <v>67</v>
      </c>
      <c r="E27" s="60">
        <v>42</v>
      </c>
      <c r="F27" s="60">
        <v>11</v>
      </c>
      <c r="G27" s="60">
        <v>-6</v>
      </c>
      <c r="H27" s="60">
        <v>70</v>
      </c>
      <c r="I27" s="60">
        <v>70</v>
      </c>
      <c r="J27" s="60">
        <v>70</v>
      </c>
      <c r="K27" s="60">
        <v>70</v>
      </c>
      <c r="L27" s="60">
        <v>19780</v>
      </c>
      <c r="M27" s="60">
        <v>19053</v>
      </c>
      <c r="N27" s="60">
        <v>332</v>
      </c>
      <c r="O27" s="60">
        <v>234</v>
      </c>
      <c r="P27" s="60">
        <v>1282</v>
      </c>
      <c r="Q27" s="60">
        <v>1165</v>
      </c>
      <c r="R27" s="60">
        <v>423</v>
      </c>
      <c r="S27" s="60">
        <v>0</v>
      </c>
      <c r="T27" s="60">
        <v>0</v>
      </c>
      <c r="U27" s="60">
        <v>816</v>
      </c>
      <c r="V27" s="60">
        <v>0</v>
      </c>
      <c r="W27" s="113"/>
      <c r="X27" s="113"/>
    </row>
    <row r="28" spans="1:24" ht="15" customHeight="1" thickBot="1">
      <c r="A28" s="58"/>
      <c r="B28" s="59" t="s">
        <v>211</v>
      </c>
      <c r="C28" s="60">
        <v>-14820</v>
      </c>
      <c r="D28" s="60">
        <v>-13694</v>
      </c>
      <c r="E28" s="60">
        <v>-79304</v>
      </c>
      <c r="F28" s="60">
        <v>-26819</v>
      </c>
      <c r="G28" s="60">
        <v>-28320</v>
      </c>
      <c r="H28" s="60">
        <v>-628071</v>
      </c>
      <c r="I28" s="60">
        <f>I12</f>
        <v>0</v>
      </c>
      <c r="J28" s="60">
        <v>11617</v>
      </c>
      <c r="K28" s="60">
        <v>15440</v>
      </c>
      <c r="L28" s="60">
        <v>31699</v>
      </c>
      <c r="M28" s="60">
        <v>36412</v>
      </c>
      <c r="N28" s="60">
        <v>43505</v>
      </c>
      <c r="O28" s="60">
        <v>42834</v>
      </c>
      <c r="P28" s="60">
        <v>-6187</v>
      </c>
      <c r="Q28" s="60">
        <v>1820</v>
      </c>
      <c r="R28" s="60">
        <v>342</v>
      </c>
      <c r="S28" s="60">
        <v>-1696</v>
      </c>
      <c r="T28" s="60">
        <v>-8456</v>
      </c>
      <c r="U28" s="60">
        <v>7966</v>
      </c>
      <c r="V28" s="60">
        <v>-46912</v>
      </c>
      <c r="W28" s="113"/>
      <c r="X28" s="113"/>
    </row>
    <row r="29" spans="1:24" ht="15" customHeight="1">
      <c r="B29" s="114"/>
      <c r="C29" s="195">
        <f>SUM(C11:C28)</f>
        <v>146862</v>
      </c>
      <c r="D29" s="195">
        <f>SUM(D11:D28)</f>
        <v>640262</v>
      </c>
      <c r="E29" s="195">
        <f>SUM(E11:E28)</f>
        <v>424979</v>
      </c>
      <c r="F29" s="195">
        <f>SUM(F11:F28)</f>
        <v>291378</v>
      </c>
      <c r="G29" s="195">
        <f>SUM(G11:G28)</f>
        <v>139915</v>
      </c>
      <c r="H29" s="195">
        <v>642185.62480999995</v>
      </c>
      <c r="I29" s="195">
        <f t="shared" ref="I29:V29" si="0">SUM(I11:I28)</f>
        <v>556169</v>
      </c>
      <c r="J29" s="195">
        <f t="shared" si="0"/>
        <v>341217</v>
      </c>
      <c r="K29" s="195">
        <f t="shared" si="0"/>
        <v>107462</v>
      </c>
      <c r="L29" s="195">
        <f t="shared" si="0"/>
        <v>757303</v>
      </c>
      <c r="M29" s="195">
        <f t="shared" si="0"/>
        <v>609970</v>
      </c>
      <c r="N29" s="195">
        <f t="shared" si="0"/>
        <v>402414</v>
      </c>
      <c r="O29" s="195">
        <f t="shared" si="0"/>
        <v>191762</v>
      </c>
      <c r="P29" s="195">
        <f t="shared" si="0"/>
        <v>446090</v>
      </c>
      <c r="Q29" s="195">
        <f t="shared" si="0"/>
        <v>391186</v>
      </c>
      <c r="R29" s="195">
        <f t="shared" si="0"/>
        <v>241560</v>
      </c>
      <c r="S29" s="195">
        <f t="shared" si="0"/>
        <v>83121</v>
      </c>
      <c r="T29" s="195">
        <f t="shared" si="0"/>
        <v>384237</v>
      </c>
      <c r="U29" s="195">
        <f t="shared" si="0"/>
        <v>87898</v>
      </c>
      <c r="V29" s="195">
        <f t="shared" si="0"/>
        <v>255995</v>
      </c>
    </row>
    <row r="30" spans="1:24" ht="6" customHeight="1" thickBot="1">
      <c r="B30" s="114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</row>
    <row r="31" spans="1:24" ht="15" customHeight="1" thickBot="1">
      <c r="B31" s="116" t="s">
        <v>212</v>
      </c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>
        <v>0</v>
      </c>
      <c r="S31" s="107"/>
      <c r="T31" s="107"/>
      <c r="U31" s="107"/>
      <c r="V31" s="107"/>
    </row>
    <row r="32" spans="1:24" ht="15" customHeight="1" thickBot="1">
      <c r="A32" s="58"/>
      <c r="B32" s="59" t="s">
        <v>213</v>
      </c>
      <c r="C32" s="60">
        <v>-27219</v>
      </c>
      <c r="D32" s="60">
        <v>-894</v>
      </c>
      <c r="E32" s="60">
        <v>-35249</v>
      </c>
      <c r="F32" s="60">
        <v>-39431</v>
      </c>
      <c r="G32" s="60">
        <v>12637</v>
      </c>
      <c r="H32" s="60">
        <v>-12787</v>
      </c>
      <c r="I32" s="60">
        <v>-23760</v>
      </c>
      <c r="J32" s="60">
        <v>-34560</v>
      </c>
      <c r="K32" s="60">
        <v>18399</v>
      </c>
      <c r="L32" s="60">
        <v>-58365</v>
      </c>
      <c r="M32" s="60">
        <v>-49789</v>
      </c>
      <c r="N32" s="60">
        <v>-43520</v>
      </c>
      <c r="O32" s="60">
        <v>-65258</v>
      </c>
      <c r="P32" s="60">
        <v>-29012</v>
      </c>
      <c r="Q32" s="60">
        <v>-24235</v>
      </c>
      <c r="R32" s="60">
        <v>-38817</v>
      </c>
      <c r="S32" s="60">
        <v>-25728</v>
      </c>
      <c r="T32" s="60">
        <v>19284</v>
      </c>
      <c r="U32" s="60">
        <v>-14117</v>
      </c>
      <c r="V32" s="60">
        <v>-18464</v>
      </c>
      <c r="W32" s="113"/>
      <c r="X32" s="113"/>
    </row>
    <row r="33" spans="1:24" ht="15" customHeight="1" thickBot="1">
      <c r="A33" s="58"/>
      <c r="B33" s="59" t="s">
        <v>95</v>
      </c>
      <c r="C33" s="60">
        <v>-43407</v>
      </c>
      <c r="D33" s="60">
        <v>-311</v>
      </c>
      <c r="E33" s="60">
        <v>-166299</v>
      </c>
      <c r="F33" s="60">
        <v>-162761</v>
      </c>
      <c r="G33" s="60">
        <v>-46179</v>
      </c>
      <c r="H33" s="60">
        <v>-38780</v>
      </c>
      <c r="I33" s="60">
        <v>-123763</v>
      </c>
      <c r="J33" s="60">
        <v>-141449</v>
      </c>
      <c r="K33" s="60">
        <v>-12596</v>
      </c>
      <c r="L33" s="60">
        <v>-34521</v>
      </c>
      <c r="M33" s="60">
        <v>-221900</v>
      </c>
      <c r="N33" s="60">
        <v>-198055</v>
      </c>
      <c r="O33" s="60">
        <v>-38905</v>
      </c>
      <c r="P33" s="60">
        <v>-54464</v>
      </c>
      <c r="Q33" s="60">
        <v>-190900</v>
      </c>
      <c r="R33" s="60">
        <v>-140852</v>
      </c>
      <c r="S33" s="60">
        <v>-39671</v>
      </c>
      <c r="T33" s="60">
        <v>31404</v>
      </c>
      <c r="U33" s="60">
        <v>-96353</v>
      </c>
      <c r="V33" s="60">
        <v>-9150</v>
      </c>
      <c r="W33" s="113"/>
      <c r="X33" s="113"/>
    </row>
    <row r="34" spans="1:24" ht="15" customHeight="1" thickBot="1">
      <c r="A34" s="58"/>
      <c r="B34" s="59" t="s">
        <v>214</v>
      </c>
      <c r="C34" s="148">
        <v>783</v>
      </c>
      <c r="D34" s="60">
        <v>8100</v>
      </c>
      <c r="E34" s="148">
        <v>0</v>
      </c>
      <c r="F34" s="148">
        <v>0</v>
      </c>
      <c r="G34" s="148">
        <v>0</v>
      </c>
      <c r="H34" s="60">
        <v>112772</v>
      </c>
      <c r="I34" s="60">
        <f>10552</f>
        <v>10552</v>
      </c>
      <c r="J34" s="60">
        <v>-484</v>
      </c>
      <c r="K34" s="60">
        <v>-26882</v>
      </c>
      <c r="L34" s="60">
        <v>-53735</v>
      </c>
      <c r="M34" s="60">
        <v>-25318</v>
      </c>
      <c r="N34" s="60">
        <v>-13256</v>
      </c>
      <c r="O34" s="60">
        <v>-11498</v>
      </c>
      <c r="P34" s="60">
        <v>-6761</v>
      </c>
      <c r="Q34" s="60">
        <v>-31787</v>
      </c>
      <c r="R34" s="60">
        <v>-16831</v>
      </c>
      <c r="S34" s="60">
        <v>-7819</v>
      </c>
      <c r="T34" s="60">
        <v>17920</v>
      </c>
      <c r="U34" s="60">
        <v>60270</v>
      </c>
      <c r="V34" s="60">
        <v>-7972</v>
      </c>
      <c r="W34" s="113"/>
      <c r="X34" s="113"/>
    </row>
    <row r="35" spans="1:24" ht="15" customHeight="1" thickBot="1">
      <c r="A35" s="58"/>
      <c r="B35" s="59" t="s">
        <v>215</v>
      </c>
      <c r="C35" s="60">
        <v>-15322</v>
      </c>
      <c r="D35" s="60">
        <v>13643</v>
      </c>
      <c r="E35" s="60">
        <v>404</v>
      </c>
      <c r="F35" s="60">
        <v>-15375</v>
      </c>
      <c r="G35" s="60">
        <v>-19328</v>
      </c>
      <c r="H35" s="60">
        <v>-29370</v>
      </c>
      <c r="I35" s="60">
        <v>-5957</v>
      </c>
      <c r="J35" s="60">
        <v>-19848</v>
      </c>
      <c r="K35" s="60">
        <v>32887</v>
      </c>
      <c r="L35" s="60">
        <v>-15152</v>
      </c>
      <c r="M35" s="60">
        <v>-10395</v>
      </c>
      <c r="N35" s="60">
        <v>-22284</v>
      </c>
      <c r="O35" s="60">
        <v>-15264</v>
      </c>
      <c r="P35" s="60">
        <v>20508</v>
      </c>
      <c r="Q35" s="60">
        <v>22323</v>
      </c>
      <c r="R35" s="60">
        <v>8881</v>
      </c>
      <c r="S35" s="60">
        <v>5209</v>
      </c>
      <c r="T35" s="60">
        <v>8925</v>
      </c>
      <c r="U35" s="60">
        <v>-2742</v>
      </c>
      <c r="V35" s="60">
        <v>-9545</v>
      </c>
      <c r="W35" s="113"/>
      <c r="X35" s="113"/>
    </row>
    <row r="36" spans="1:24" ht="15" customHeight="1" thickBot="1">
      <c r="A36" s="58"/>
      <c r="B36" s="59" t="s">
        <v>216</v>
      </c>
      <c r="C36" s="60">
        <v>18095</v>
      </c>
      <c r="D36" s="60">
        <v>-31860</v>
      </c>
      <c r="E36" s="60">
        <v>-51295</v>
      </c>
      <c r="F36" s="60">
        <v>-1924</v>
      </c>
      <c r="G36" s="60">
        <v>11960</v>
      </c>
      <c r="H36" s="60">
        <v>58233</v>
      </c>
      <c r="I36" s="60">
        <f>99597</f>
        <v>99597</v>
      </c>
      <c r="J36" s="60">
        <v>-12654</v>
      </c>
      <c r="K36" s="60">
        <v>-4541</v>
      </c>
      <c r="L36" s="60">
        <v>20263</v>
      </c>
      <c r="M36" s="60">
        <v>16504</v>
      </c>
      <c r="N36" s="60">
        <v>8898</v>
      </c>
      <c r="O36" s="60">
        <v>11495</v>
      </c>
      <c r="P36" s="60">
        <v>-21735</v>
      </c>
      <c r="Q36" s="60">
        <v>-33889</v>
      </c>
      <c r="R36" s="60">
        <v>10640</v>
      </c>
      <c r="S36" s="60">
        <v>11053</v>
      </c>
      <c r="T36" s="60">
        <v>-22163</v>
      </c>
      <c r="U36" s="60">
        <v>9033</v>
      </c>
      <c r="V36" s="60">
        <v>-10665</v>
      </c>
      <c r="W36" s="113"/>
      <c r="X36" s="113"/>
    </row>
    <row r="37" spans="1:24" ht="15" customHeight="1" thickBot="1">
      <c r="A37" s="58"/>
      <c r="B37" s="59" t="s">
        <v>71</v>
      </c>
      <c r="C37" s="60">
        <v>15896</v>
      </c>
      <c r="D37" s="60">
        <f>-36924-22611</f>
        <v>-59535</v>
      </c>
      <c r="E37" s="60">
        <f>47980+203</f>
        <v>48183</v>
      </c>
      <c r="F37" s="60">
        <f>74850-3904</f>
        <v>70946</v>
      </c>
      <c r="G37" s="60">
        <v>-3326</v>
      </c>
      <c r="H37" s="60">
        <v>-139347</v>
      </c>
      <c r="I37" s="60">
        <v>-87563</v>
      </c>
      <c r="J37" s="60">
        <v>39776</v>
      </c>
      <c r="K37" s="60">
        <v>6150</v>
      </c>
      <c r="L37" s="60">
        <v>-9834</v>
      </c>
      <c r="M37" s="60">
        <v>94633</v>
      </c>
      <c r="N37" s="60">
        <v>141463</v>
      </c>
      <c r="O37" s="60">
        <v>19882</v>
      </c>
      <c r="P37" s="60">
        <v>84751</v>
      </c>
      <c r="Q37" s="60">
        <v>98746</v>
      </c>
      <c r="R37" s="60">
        <v>79055</v>
      </c>
      <c r="S37" s="60">
        <v>42698</v>
      </c>
      <c r="T37" s="60">
        <v>13340</v>
      </c>
      <c r="U37" s="60">
        <v>28739</v>
      </c>
      <c r="V37" s="60">
        <v>33387</v>
      </c>
      <c r="W37" s="113"/>
      <c r="X37" s="113"/>
    </row>
    <row r="38" spans="1:24" ht="15" customHeight="1" thickBot="1">
      <c r="A38" s="58"/>
      <c r="B38" s="59" t="s">
        <v>217</v>
      </c>
      <c r="C38" s="60">
        <v>12401</v>
      </c>
      <c r="D38" s="60">
        <v>180814</v>
      </c>
      <c r="E38" s="60">
        <v>0</v>
      </c>
      <c r="F38" s="60">
        <v>0</v>
      </c>
      <c r="G38" s="60">
        <v>0</v>
      </c>
      <c r="H38" s="60">
        <v>0</v>
      </c>
      <c r="I38" s="60">
        <f>73318</f>
        <v>73318</v>
      </c>
      <c r="J38" s="60">
        <v>73730</v>
      </c>
      <c r="K38" s="60">
        <v>10110</v>
      </c>
      <c r="L38" s="60">
        <v>-2746</v>
      </c>
      <c r="M38" s="60">
        <v>498</v>
      </c>
      <c r="N38" s="60">
        <v>21855</v>
      </c>
      <c r="O38" s="60">
        <v>-662</v>
      </c>
      <c r="P38" s="60">
        <v>6934</v>
      </c>
      <c r="Q38" s="60">
        <v>370</v>
      </c>
      <c r="R38" s="60">
        <v>6073</v>
      </c>
      <c r="S38" s="60">
        <v>6377</v>
      </c>
      <c r="T38" s="60">
        <v>-7812</v>
      </c>
      <c r="U38" s="60">
        <v>-3355</v>
      </c>
      <c r="V38" s="60">
        <v>-8995</v>
      </c>
      <c r="W38" s="113"/>
      <c r="X38" s="113"/>
    </row>
    <row r="39" spans="1:24" ht="15" customHeight="1" thickBot="1">
      <c r="A39" s="58"/>
      <c r="B39" s="59" t="s">
        <v>218</v>
      </c>
      <c r="C39" s="60">
        <v>4892</v>
      </c>
      <c r="D39" s="60">
        <v>-3760</v>
      </c>
      <c r="E39" s="60">
        <v>4129</v>
      </c>
      <c r="F39" s="60">
        <v>11453</v>
      </c>
      <c r="G39" s="60">
        <v>4652</v>
      </c>
      <c r="H39" s="60">
        <v>14437</v>
      </c>
      <c r="I39" s="60">
        <f xml:space="preserve"> 12041</f>
        <v>12041</v>
      </c>
      <c r="J39" s="60">
        <v>16970</v>
      </c>
      <c r="K39" s="60">
        <v>9941</v>
      </c>
      <c r="L39" s="60">
        <v>5393</v>
      </c>
      <c r="M39" s="60">
        <v>3422</v>
      </c>
      <c r="N39" s="60">
        <v>14039</v>
      </c>
      <c r="O39" s="60">
        <v>9471</v>
      </c>
      <c r="P39" s="60">
        <v>-922</v>
      </c>
      <c r="Q39" s="60">
        <v>-1864</v>
      </c>
      <c r="R39" s="60">
        <v>7669</v>
      </c>
      <c r="S39" s="60">
        <v>5988</v>
      </c>
      <c r="T39" s="60">
        <v>-69793</v>
      </c>
      <c r="U39" s="60">
        <v>-34480</v>
      </c>
      <c r="V39" s="60">
        <v>-127963</v>
      </c>
      <c r="W39" s="113"/>
      <c r="X39" s="113"/>
    </row>
    <row r="40" spans="1:24" ht="15" customHeight="1" thickBot="1">
      <c r="A40" s="58"/>
      <c r="B40" s="59" t="s">
        <v>219</v>
      </c>
      <c r="C40" s="60">
        <v>-28</v>
      </c>
      <c r="D40" s="60">
        <v>-4278</v>
      </c>
      <c r="E40" s="60">
        <v>2112</v>
      </c>
      <c r="F40" s="60">
        <v>2061</v>
      </c>
      <c r="G40" s="60">
        <v>-749</v>
      </c>
      <c r="H40" s="60">
        <v>-1213</v>
      </c>
      <c r="I40" s="60">
        <v>-2183</v>
      </c>
      <c r="J40" s="60">
        <v>-13036</v>
      </c>
      <c r="K40" s="60">
        <v>-7745</v>
      </c>
      <c r="L40" s="60">
        <v>5626</v>
      </c>
      <c r="M40" s="60">
        <v>1251</v>
      </c>
      <c r="N40" s="60">
        <v>-662</v>
      </c>
      <c r="O40" s="60">
        <v>15625</v>
      </c>
      <c r="P40" s="60">
        <v>6820</v>
      </c>
      <c r="Q40" s="60">
        <v>8810</v>
      </c>
      <c r="R40" s="60">
        <v>7069</v>
      </c>
      <c r="S40" s="60">
        <v>9257</v>
      </c>
      <c r="T40" s="60">
        <v>0</v>
      </c>
      <c r="U40" s="60">
        <v>0</v>
      </c>
      <c r="V40" s="60">
        <v>0</v>
      </c>
      <c r="W40" s="113"/>
      <c r="X40" s="113"/>
    </row>
    <row r="41" spans="1:24" ht="15" customHeight="1" thickBot="1">
      <c r="A41" s="58"/>
      <c r="B41" s="59" t="s">
        <v>220</v>
      </c>
      <c r="C41" s="60">
        <v>-4981</v>
      </c>
      <c r="D41" s="60">
        <v>-59000</v>
      </c>
      <c r="E41" s="60">
        <v>-55632</v>
      </c>
      <c r="F41" s="60">
        <v>-41851</v>
      </c>
      <c r="G41" s="60">
        <v>-26872</v>
      </c>
      <c r="H41" s="60">
        <v>-91525</v>
      </c>
      <c r="I41" s="60">
        <v>-63822</v>
      </c>
      <c r="J41" s="60">
        <v>-34084</v>
      </c>
      <c r="K41" s="60">
        <v>-16717</v>
      </c>
      <c r="L41" s="60">
        <v>-65772</v>
      </c>
      <c r="M41" s="60">
        <v>-49369</v>
      </c>
      <c r="N41" s="60">
        <v>-28285</v>
      </c>
      <c r="O41" s="60">
        <v>-12167</v>
      </c>
      <c r="P41" s="60">
        <v>-44655</v>
      </c>
      <c r="Q41" s="60">
        <v>-33023</v>
      </c>
      <c r="R41" s="60">
        <v>-19487</v>
      </c>
      <c r="S41" s="60">
        <v>-12242</v>
      </c>
      <c r="T41" s="60">
        <v>0</v>
      </c>
      <c r="U41" s="60">
        <v>0</v>
      </c>
      <c r="V41" s="60">
        <v>0</v>
      </c>
      <c r="W41" s="113"/>
      <c r="X41" s="113"/>
    </row>
    <row r="42" spans="1:24" ht="15" customHeight="1" thickBot="1">
      <c r="A42" s="58"/>
      <c r="B42" s="59" t="s">
        <v>72</v>
      </c>
      <c r="C42" s="148">
        <f>11326-5167</f>
        <v>6159</v>
      </c>
      <c r="D42" s="60">
        <f>-23032+25630-6340</f>
        <v>-3742</v>
      </c>
      <c r="E42" s="148">
        <v>-18204</v>
      </c>
      <c r="F42" s="148">
        <f>-7116+66</f>
        <v>-7050</v>
      </c>
      <c r="G42" s="148">
        <f>-21513+66</f>
        <v>-21447</v>
      </c>
      <c r="H42" s="60">
        <v>88062</v>
      </c>
      <c r="I42" s="60">
        <v>-1427</v>
      </c>
      <c r="J42" s="60">
        <f>-3303+545</f>
        <v>-2758</v>
      </c>
      <c r="K42" s="60">
        <v>13522</v>
      </c>
      <c r="L42" s="60">
        <f>-12292-1200</f>
        <v>-13492</v>
      </c>
      <c r="M42" s="60">
        <f>-14705-2</f>
        <v>-14707</v>
      </c>
      <c r="N42" s="60">
        <v>3063</v>
      </c>
      <c r="O42" s="60">
        <f>8774</f>
        <v>8774</v>
      </c>
      <c r="P42" s="60">
        <f>-76012+2</f>
        <v>-76010</v>
      </c>
      <c r="Q42" s="60">
        <v>-62473</v>
      </c>
      <c r="R42" s="60">
        <v>-34407</v>
      </c>
      <c r="S42" s="60">
        <v>-15349</v>
      </c>
      <c r="T42" s="60">
        <v>-89311</v>
      </c>
      <c r="U42" s="60">
        <v>131943</v>
      </c>
      <c r="V42" s="60">
        <v>63205</v>
      </c>
      <c r="W42" s="113"/>
      <c r="X42" s="113"/>
    </row>
    <row r="43" spans="1:24" s="126" customFormat="1" ht="15" customHeight="1" thickBot="1">
      <c r="A43" s="132"/>
      <c r="B43" s="59" t="s">
        <v>221</v>
      </c>
      <c r="C43" s="129">
        <f t="shared" ref="C43:H43" si="1">SUM(C29:C42)</f>
        <v>114131</v>
      </c>
      <c r="D43" s="129">
        <f t="shared" si="1"/>
        <v>679439</v>
      </c>
      <c r="E43" s="129">
        <f t="shared" si="1"/>
        <v>153128</v>
      </c>
      <c r="F43" s="129">
        <f t="shared" si="1"/>
        <v>107446</v>
      </c>
      <c r="G43" s="129">
        <f t="shared" si="1"/>
        <v>51263</v>
      </c>
      <c r="H43" s="129">
        <f t="shared" si="1"/>
        <v>602667.62480999995</v>
      </c>
      <c r="I43" s="129">
        <f t="shared" ref="I43:V43" si="2">SUM(I29:I42)</f>
        <v>443202</v>
      </c>
      <c r="J43" s="129">
        <f t="shared" si="2"/>
        <v>212820</v>
      </c>
      <c r="K43" s="129">
        <f t="shared" si="2"/>
        <v>129990</v>
      </c>
      <c r="L43" s="129">
        <f t="shared" si="2"/>
        <v>534968</v>
      </c>
      <c r="M43" s="129">
        <f t="shared" si="2"/>
        <v>354800</v>
      </c>
      <c r="N43" s="129">
        <f t="shared" si="2"/>
        <v>285670</v>
      </c>
      <c r="O43" s="129">
        <f t="shared" si="2"/>
        <v>113255</v>
      </c>
      <c r="P43" s="129">
        <f t="shared" si="2"/>
        <v>331544</v>
      </c>
      <c r="Q43" s="129">
        <f t="shared" si="2"/>
        <v>143264</v>
      </c>
      <c r="R43" s="129">
        <f t="shared" si="2"/>
        <v>110553</v>
      </c>
      <c r="S43" s="129">
        <f t="shared" si="2"/>
        <v>62894</v>
      </c>
      <c r="T43" s="129">
        <f t="shared" si="2"/>
        <v>286031</v>
      </c>
      <c r="U43" s="129">
        <f t="shared" si="2"/>
        <v>166836</v>
      </c>
      <c r="V43" s="129">
        <f t="shared" si="2"/>
        <v>159833</v>
      </c>
      <c r="W43" s="129"/>
      <c r="X43" s="129"/>
    </row>
    <row r="44" spans="1:24" ht="15" customHeight="1" thickBot="1">
      <c r="A44" s="58"/>
      <c r="B44" s="59" t="s">
        <v>222</v>
      </c>
      <c r="C44" s="130">
        <v>-57413</v>
      </c>
      <c r="D44" s="130">
        <f>-210567</f>
        <v>-210567</v>
      </c>
      <c r="E44" s="130">
        <v>-155870</v>
      </c>
      <c r="F44" s="130">
        <v>-101486</v>
      </c>
      <c r="G44" s="130">
        <v>-48454</v>
      </c>
      <c r="H44" s="130">
        <f>-146819-4268</f>
        <v>-151087</v>
      </c>
      <c r="I44" s="130">
        <v>-104845</v>
      </c>
      <c r="J44" s="130">
        <v>-64120</v>
      </c>
      <c r="K44" s="130">
        <v>-30645</v>
      </c>
      <c r="L44" s="130">
        <v>-60779</v>
      </c>
      <c r="M44" s="130">
        <v>-33735</v>
      </c>
      <c r="N44" s="130">
        <v>-17467</v>
      </c>
      <c r="O44" s="130">
        <v>-9226</v>
      </c>
      <c r="P44" s="130">
        <v>-26769</v>
      </c>
      <c r="Q44" s="130">
        <v>-20554</v>
      </c>
      <c r="R44" s="130">
        <v>-6768</v>
      </c>
      <c r="S44" s="130">
        <v>-4001</v>
      </c>
      <c r="T44" s="130">
        <v>-41858</v>
      </c>
      <c r="U44" s="130">
        <v>-1369</v>
      </c>
      <c r="V44" s="130">
        <v>-30644</v>
      </c>
      <c r="W44" s="113"/>
      <c r="X44" s="113"/>
    </row>
    <row r="45" spans="1:24" ht="15" customHeight="1" thickBot="1">
      <c r="A45" s="58"/>
      <c r="B45" s="59" t="s">
        <v>325</v>
      </c>
      <c r="C45" s="60">
        <v>-366</v>
      </c>
      <c r="D45" s="60">
        <v>0</v>
      </c>
      <c r="E45" s="60">
        <v>0</v>
      </c>
      <c r="F45" s="60">
        <v>0</v>
      </c>
      <c r="G45" s="60">
        <v>0</v>
      </c>
      <c r="H45" s="60">
        <v>-2469</v>
      </c>
      <c r="I45" s="60">
        <v>-3922</v>
      </c>
      <c r="J45" s="60">
        <v>-3922</v>
      </c>
      <c r="K45" s="60">
        <v>0</v>
      </c>
      <c r="L45" s="60">
        <v>0</v>
      </c>
      <c r="M45" s="60">
        <v>0</v>
      </c>
      <c r="N45" s="60">
        <v>0</v>
      </c>
      <c r="O45" s="60">
        <v>0</v>
      </c>
      <c r="P45" s="60">
        <v>0</v>
      </c>
      <c r="Q45" s="60">
        <v>0</v>
      </c>
      <c r="R45" s="60">
        <v>0</v>
      </c>
      <c r="S45" s="60">
        <v>0</v>
      </c>
      <c r="T45" s="60">
        <v>0</v>
      </c>
      <c r="U45" s="60">
        <v>0</v>
      </c>
      <c r="V45" s="60">
        <v>0</v>
      </c>
      <c r="W45" s="113"/>
      <c r="X45" s="113"/>
    </row>
    <row r="46" spans="1:24" ht="15" customHeight="1" thickBot="1">
      <c r="A46" s="58"/>
      <c r="B46" s="59" t="s">
        <v>223</v>
      </c>
      <c r="C46" s="60">
        <v>-6490</v>
      </c>
      <c r="D46" s="60">
        <v>-26961</v>
      </c>
      <c r="E46" s="60">
        <v>-20615</v>
      </c>
      <c r="F46" s="60">
        <v>-13744</v>
      </c>
      <c r="G46" s="60">
        <v>-7048</v>
      </c>
      <c r="H46" s="60">
        <v>-26530</v>
      </c>
      <c r="I46" s="60">
        <v>-19394</v>
      </c>
      <c r="J46" s="60">
        <v>-13036</v>
      </c>
      <c r="K46" s="60">
        <v>-6236</v>
      </c>
      <c r="L46" s="60">
        <v>-23856</v>
      </c>
      <c r="M46" s="60">
        <v>-17916</v>
      </c>
      <c r="N46" s="60">
        <v>-13607</v>
      </c>
      <c r="O46" s="60">
        <v>-6524</v>
      </c>
      <c r="P46" s="60">
        <v>-27411</v>
      </c>
      <c r="Q46" s="60">
        <v>-21217</v>
      </c>
      <c r="R46" s="60">
        <v>-13887</v>
      </c>
      <c r="S46" s="60">
        <v>0</v>
      </c>
      <c r="T46" s="60">
        <v>0</v>
      </c>
      <c r="U46" s="60">
        <v>0</v>
      </c>
      <c r="V46" s="60">
        <v>0</v>
      </c>
      <c r="W46" s="113"/>
      <c r="X46" s="113"/>
    </row>
    <row r="47" spans="1:24" ht="15" customHeight="1" thickBot="1">
      <c r="A47" s="58"/>
      <c r="B47" s="59" t="s">
        <v>289</v>
      </c>
      <c r="C47" s="60">
        <v>-6731</v>
      </c>
      <c r="D47" s="60">
        <v>-13470</v>
      </c>
      <c r="E47" s="60">
        <v>-10084</v>
      </c>
      <c r="F47" s="60">
        <v>-6626</v>
      </c>
      <c r="G47" s="60">
        <v>-6283</v>
      </c>
      <c r="H47" s="60">
        <v>-19744</v>
      </c>
      <c r="I47" s="60">
        <v>-15698</v>
      </c>
      <c r="J47" s="60">
        <v>-10596</v>
      </c>
      <c r="K47" s="60">
        <v>-5647</v>
      </c>
      <c r="L47" s="60">
        <v>-11596</v>
      </c>
      <c r="M47" s="60">
        <v>-8787</v>
      </c>
      <c r="N47" s="60">
        <v>0</v>
      </c>
      <c r="O47" s="60">
        <v>0</v>
      </c>
      <c r="P47" s="60">
        <v>0</v>
      </c>
      <c r="Q47" s="60">
        <v>0</v>
      </c>
      <c r="R47" s="60">
        <v>0</v>
      </c>
      <c r="S47" s="60">
        <v>0</v>
      </c>
      <c r="T47" s="60">
        <v>0</v>
      </c>
      <c r="U47" s="60">
        <v>0</v>
      </c>
      <c r="V47" s="60">
        <v>0</v>
      </c>
      <c r="W47" s="113"/>
      <c r="X47" s="113"/>
    </row>
    <row r="48" spans="1:24" ht="15" customHeight="1" thickBot="1">
      <c r="A48" s="58"/>
      <c r="B48" s="59" t="s">
        <v>310</v>
      </c>
      <c r="C48" s="60">
        <v>0</v>
      </c>
      <c r="D48" s="148">
        <v>0</v>
      </c>
      <c r="E48" s="60">
        <v>0</v>
      </c>
      <c r="F48" s="60">
        <v>0</v>
      </c>
      <c r="G48" s="60">
        <v>0</v>
      </c>
      <c r="H48" s="148">
        <v>0</v>
      </c>
      <c r="I48" s="60">
        <v>0</v>
      </c>
      <c r="J48" s="60">
        <v>11314</v>
      </c>
      <c r="K48" s="60">
        <v>10146</v>
      </c>
      <c r="L48" s="60">
        <v>-41388</v>
      </c>
      <c r="M48" s="60">
        <v>0</v>
      </c>
      <c r="N48" s="60">
        <v>0</v>
      </c>
      <c r="O48" s="60">
        <f>-P48</f>
        <v>5199</v>
      </c>
      <c r="P48" s="60">
        <v>-5199</v>
      </c>
      <c r="Q48" s="60">
        <v>0</v>
      </c>
      <c r="R48" s="60">
        <v>0</v>
      </c>
      <c r="S48" s="60">
        <v>0</v>
      </c>
      <c r="T48" s="60">
        <v>0</v>
      </c>
      <c r="U48" s="60">
        <v>0</v>
      </c>
      <c r="V48" s="60">
        <v>0</v>
      </c>
      <c r="W48" s="113"/>
      <c r="X48" s="113"/>
    </row>
    <row r="49" spans="1:24" ht="15" customHeight="1" thickBot="1">
      <c r="A49" s="58"/>
      <c r="B49" s="59" t="s">
        <v>341</v>
      </c>
      <c r="C49" s="60">
        <v>0</v>
      </c>
      <c r="D49" s="148">
        <v>-1864</v>
      </c>
      <c r="E49" s="60">
        <v>-1864</v>
      </c>
      <c r="F49" s="60">
        <v>-1589</v>
      </c>
      <c r="G49" s="60">
        <v>0</v>
      </c>
      <c r="H49" s="148">
        <v>0</v>
      </c>
      <c r="I49" s="60">
        <v>0</v>
      </c>
      <c r="J49" s="60">
        <v>0</v>
      </c>
      <c r="K49" s="60">
        <v>0</v>
      </c>
      <c r="L49" s="60">
        <v>0</v>
      </c>
      <c r="M49" s="60">
        <v>0</v>
      </c>
      <c r="N49" s="60">
        <v>0</v>
      </c>
      <c r="O49" s="60">
        <v>0</v>
      </c>
      <c r="P49" s="60">
        <v>0</v>
      </c>
      <c r="Q49" s="60">
        <v>0</v>
      </c>
      <c r="R49" s="60">
        <v>0</v>
      </c>
      <c r="S49" s="60">
        <v>0</v>
      </c>
      <c r="T49" s="60">
        <v>0</v>
      </c>
      <c r="U49" s="60">
        <v>0</v>
      </c>
      <c r="V49" s="60">
        <v>0</v>
      </c>
      <c r="W49" s="113"/>
      <c r="X49" s="113"/>
    </row>
    <row r="50" spans="1:24" ht="15" customHeight="1" thickBot="1">
      <c r="A50" s="58"/>
      <c r="B50" s="59" t="s">
        <v>376</v>
      </c>
      <c r="C50" s="60">
        <v>0</v>
      </c>
      <c r="D50" s="148">
        <v>0</v>
      </c>
      <c r="E50" s="60"/>
      <c r="F50" s="60"/>
      <c r="G50" s="60"/>
      <c r="H50" s="148">
        <v>0</v>
      </c>
      <c r="I50" s="148">
        <v>0</v>
      </c>
      <c r="J50" s="148">
        <v>0</v>
      </c>
      <c r="K50" s="148">
        <v>0</v>
      </c>
      <c r="L50" s="148">
        <v>0</v>
      </c>
      <c r="M50" s="148">
        <v>0</v>
      </c>
      <c r="N50" s="148">
        <v>0</v>
      </c>
      <c r="O50" s="148">
        <v>0</v>
      </c>
      <c r="P50" s="148">
        <v>0</v>
      </c>
      <c r="Q50" s="148">
        <v>0</v>
      </c>
      <c r="R50" s="148">
        <v>0</v>
      </c>
      <c r="S50" s="148">
        <v>0</v>
      </c>
      <c r="T50" s="148">
        <v>0</v>
      </c>
      <c r="U50" s="148">
        <v>0</v>
      </c>
      <c r="V50" s="148">
        <v>0</v>
      </c>
      <c r="W50" s="113"/>
      <c r="X50" s="113"/>
    </row>
    <row r="51" spans="1:24" ht="15" customHeight="1" thickBot="1">
      <c r="A51" s="58"/>
      <c r="B51" s="59" t="s">
        <v>294</v>
      </c>
      <c r="C51" s="60">
        <v>0</v>
      </c>
      <c r="D51" s="60">
        <v>-95</v>
      </c>
      <c r="E51" s="60">
        <v>-41</v>
      </c>
      <c r="F51" s="60">
        <v>-17</v>
      </c>
      <c r="G51" s="60">
        <v>-7</v>
      </c>
      <c r="H51" s="60">
        <v>-32</v>
      </c>
      <c r="I51" s="60">
        <v>-25</v>
      </c>
      <c r="J51" s="60">
        <v>-25</v>
      </c>
      <c r="K51" s="60">
        <v>0</v>
      </c>
      <c r="L51" s="60">
        <v>0</v>
      </c>
      <c r="M51" s="60">
        <v>0</v>
      </c>
      <c r="N51" s="60">
        <v>0</v>
      </c>
      <c r="O51" s="60">
        <v>0</v>
      </c>
      <c r="P51" s="60">
        <v>-359</v>
      </c>
      <c r="Q51" s="60">
        <v>0</v>
      </c>
      <c r="R51" s="60">
        <v>0</v>
      </c>
      <c r="S51" s="60">
        <v>0</v>
      </c>
      <c r="T51" s="60">
        <v>0</v>
      </c>
      <c r="U51" s="60">
        <v>0</v>
      </c>
      <c r="V51" s="60">
        <v>0</v>
      </c>
      <c r="W51" s="113"/>
      <c r="X51" s="113"/>
    </row>
    <row r="52" spans="1:24" s="126" customFormat="1" ht="15" customHeight="1" thickBot="1">
      <c r="A52" s="132"/>
      <c r="B52" s="118" t="s">
        <v>224</v>
      </c>
      <c r="C52" s="119">
        <f>SUM(C43:C51)</f>
        <v>43131</v>
      </c>
      <c r="D52" s="119">
        <f>SUM(D43:D51)</f>
        <v>426482</v>
      </c>
      <c r="E52" s="119">
        <f>SUM(E43:E51)</f>
        <v>-35346</v>
      </c>
      <c r="F52" s="119">
        <f>SUM(F43:F51)</f>
        <v>-16016</v>
      </c>
      <c r="G52" s="119">
        <f>SUM(G43:G51)</f>
        <v>-10529</v>
      </c>
      <c r="H52" s="119">
        <v>402805.62480999995</v>
      </c>
      <c r="I52" s="119">
        <f t="shared" ref="I52:V52" si="3">SUM(I43:I51)</f>
        <v>299318</v>
      </c>
      <c r="J52" s="119">
        <f t="shared" si="3"/>
        <v>132435</v>
      </c>
      <c r="K52" s="119">
        <f t="shared" si="3"/>
        <v>97608</v>
      </c>
      <c r="L52" s="119">
        <f t="shared" si="3"/>
        <v>397349</v>
      </c>
      <c r="M52" s="119">
        <f t="shared" si="3"/>
        <v>294362</v>
      </c>
      <c r="N52" s="119">
        <f t="shared" si="3"/>
        <v>254596</v>
      </c>
      <c r="O52" s="119">
        <f t="shared" si="3"/>
        <v>102704</v>
      </c>
      <c r="P52" s="119">
        <f t="shared" si="3"/>
        <v>271806</v>
      </c>
      <c r="Q52" s="119">
        <f t="shared" si="3"/>
        <v>101493</v>
      </c>
      <c r="R52" s="119">
        <f t="shared" si="3"/>
        <v>89898</v>
      </c>
      <c r="S52" s="119">
        <f t="shared" si="3"/>
        <v>58893</v>
      </c>
      <c r="T52" s="119">
        <f t="shared" si="3"/>
        <v>244173</v>
      </c>
      <c r="U52" s="119">
        <f t="shared" si="3"/>
        <v>165467</v>
      </c>
      <c r="V52" s="119">
        <f t="shared" si="3"/>
        <v>129189</v>
      </c>
      <c r="W52" s="129"/>
      <c r="X52" s="129"/>
    </row>
    <row r="53" spans="1:24" ht="15" customHeight="1" thickBot="1">
      <c r="B53" s="114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</row>
    <row r="54" spans="1:24" ht="15" customHeight="1" thickBot="1">
      <c r="B54" s="116" t="s">
        <v>225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</row>
    <row r="55" spans="1:24" ht="15" customHeight="1" thickBot="1">
      <c r="A55" s="58"/>
      <c r="B55" s="59" t="s">
        <v>276</v>
      </c>
      <c r="C55" s="60">
        <v>0</v>
      </c>
      <c r="D55" s="60">
        <v>0</v>
      </c>
      <c r="E55" s="60">
        <v>0</v>
      </c>
      <c r="F55" s="60">
        <v>0</v>
      </c>
      <c r="G55" s="60">
        <v>1915</v>
      </c>
      <c r="H55" s="60">
        <v>0</v>
      </c>
      <c r="I55" s="60">
        <v>-11663</v>
      </c>
      <c r="J55" s="60">
        <v>-11663</v>
      </c>
      <c r="K55" s="60">
        <v>0</v>
      </c>
      <c r="L55" s="60">
        <v>0</v>
      </c>
      <c r="M55" s="60">
        <v>0</v>
      </c>
      <c r="N55" s="60">
        <v>0</v>
      </c>
      <c r="O55" s="60">
        <v>0</v>
      </c>
      <c r="P55" s="60">
        <v>0</v>
      </c>
      <c r="Q55" s="60">
        <v>0</v>
      </c>
      <c r="R55" s="60">
        <v>0</v>
      </c>
      <c r="S55" s="60">
        <v>15</v>
      </c>
      <c r="T55" s="60">
        <v>-739</v>
      </c>
      <c r="U55" s="60">
        <f>-8911-29</f>
        <v>-8940</v>
      </c>
      <c r="V55" s="60">
        <f>-8801-80</f>
        <v>-8881</v>
      </c>
      <c r="W55" s="113"/>
      <c r="X55" s="113"/>
    </row>
    <row r="56" spans="1:24" ht="15" customHeight="1" thickBot="1">
      <c r="A56" s="58"/>
      <c r="B56" s="59" t="s">
        <v>342</v>
      </c>
      <c r="C56" s="60">
        <v>0</v>
      </c>
      <c r="D56" s="148">
        <v>-459</v>
      </c>
      <c r="E56" s="60">
        <v>1845</v>
      </c>
      <c r="F56" s="60">
        <v>1912</v>
      </c>
      <c r="G56" s="60">
        <v>0</v>
      </c>
      <c r="H56" s="148">
        <v>-2971</v>
      </c>
      <c r="I56" s="60">
        <f>3746</f>
        <v>3746</v>
      </c>
      <c r="J56" s="60">
        <v>0</v>
      </c>
      <c r="K56" s="60">
        <v>0</v>
      </c>
      <c r="L56" s="60">
        <v>0</v>
      </c>
      <c r="M56" s="60">
        <v>0</v>
      </c>
      <c r="N56" s="60">
        <v>-11529</v>
      </c>
      <c r="O56" s="60">
        <v>0</v>
      </c>
      <c r="P56" s="60">
        <v>0</v>
      </c>
      <c r="Q56" s="60">
        <v>0</v>
      </c>
      <c r="R56" s="60">
        <v>0</v>
      </c>
      <c r="S56" s="60">
        <v>0</v>
      </c>
      <c r="T56" s="60">
        <v>0</v>
      </c>
      <c r="U56" s="60">
        <v>0</v>
      </c>
      <c r="V56" s="60">
        <v>0</v>
      </c>
      <c r="W56" s="113"/>
      <c r="X56" s="113"/>
    </row>
    <row r="57" spans="1:24" ht="15" customHeight="1" thickBot="1">
      <c r="A57" s="58"/>
      <c r="B57" s="59" t="s">
        <v>343</v>
      </c>
      <c r="C57" s="60">
        <v>0</v>
      </c>
      <c r="D57" s="60">
        <v>0</v>
      </c>
      <c r="E57" s="60">
        <v>0</v>
      </c>
      <c r="F57" s="60">
        <v>0</v>
      </c>
      <c r="G57" s="60">
        <v>0</v>
      </c>
      <c r="H57" s="60">
        <v>-4061</v>
      </c>
      <c r="I57" s="60">
        <v>-4061</v>
      </c>
      <c r="J57" s="60">
        <v>-4061</v>
      </c>
      <c r="K57" s="60">
        <v>0</v>
      </c>
      <c r="L57" s="60">
        <v>0</v>
      </c>
      <c r="M57" s="60">
        <v>0</v>
      </c>
      <c r="N57" s="60">
        <v>0</v>
      </c>
      <c r="O57" s="60">
        <v>0</v>
      </c>
      <c r="P57" s="60">
        <v>0</v>
      </c>
      <c r="Q57" s="60">
        <v>0</v>
      </c>
      <c r="R57" s="60">
        <v>0</v>
      </c>
      <c r="S57" s="60">
        <v>0</v>
      </c>
      <c r="T57" s="60">
        <v>0</v>
      </c>
      <c r="U57" s="60">
        <v>0</v>
      </c>
      <c r="V57" s="60">
        <v>0</v>
      </c>
      <c r="W57" s="113"/>
      <c r="X57" s="113"/>
    </row>
    <row r="58" spans="1:24" ht="15" customHeight="1" thickBot="1">
      <c r="A58" s="58"/>
      <c r="B58" s="59" t="s">
        <v>226</v>
      </c>
      <c r="C58" s="60">
        <v>-130423</v>
      </c>
      <c r="D58" s="60">
        <v>-524452</v>
      </c>
      <c r="E58" s="60">
        <v>-290520</v>
      </c>
      <c r="F58" s="60">
        <v>-175882</v>
      </c>
      <c r="G58" s="60">
        <v>-87983</v>
      </c>
      <c r="H58" s="60">
        <v>-566768</v>
      </c>
      <c r="I58" s="60">
        <v>-332246</v>
      </c>
      <c r="J58" s="60">
        <v>-222141</v>
      </c>
      <c r="K58" s="60">
        <v>-117154</v>
      </c>
      <c r="L58" s="60">
        <v>-304401</v>
      </c>
      <c r="M58" s="60">
        <v>-152837</v>
      </c>
      <c r="N58" s="60">
        <v>-83819</v>
      </c>
      <c r="O58" s="60">
        <v>-46351</v>
      </c>
      <c r="P58" s="60">
        <v>-234761</v>
      </c>
      <c r="Q58" s="60">
        <v>-117969</v>
      </c>
      <c r="R58" s="60">
        <v>-51283</v>
      </c>
      <c r="S58" s="60">
        <v>-27324</v>
      </c>
      <c r="T58" s="60">
        <v>-167178</v>
      </c>
      <c r="U58" s="60">
        <v>-154305</v>
      </c>
      <c r="V58" s="60">
        <v>-112936</v>
      </c>
      <c r="W58" s="113"/>
      <c r="X58" s="113"/>
    </row>
    <row r="59" spans="1:24" ht="15" customHeight="1" thickBot="1">
      <c r="A59" s="58"/>
      <c r="B59" s="59" t="s">
        <v>227</v>
      </c>
      <c r="C59" s="60">
        <v>136</v>
      </c>
      <c r="D59" s="60">
        <v>1785</v>
      </c>
      <c r="E59" s="60">
        <v>1261</v>
      </c>
      <c r="F59" s="60">
        <v>523</v>
      </c>
      <c r="G59" s="60">
        <v>140</v>
      </c>
      <c r="H59" s="60">
        <v>1442</v>
      </c>
      <c r="I59" s="60">
        <f>492</f>
        <v>492</v>
      </c>
      <c r="J59" s="60">
        <v>407</v>
      </c>
      <c r="K59" s="60">
        <v>282</v>
      </c>
      <c r="L59" s="60">
        <v>251</v>
      </c>
      <c r="M59" s="60">
        <v>2740</v>
      </c>
      <c r="N59" s="60">
        <v>403</v>
      </c>
      <c r="O59" s="60">
        <v>252</v>
      </c>
      <c r="P59" s="60">
        <v>3125</v>
      </c>
      <c r="Q59" s="60">
        <v>32703</v>
      </c>
      <c r="R59" s="60">
        <v>1925</v>
      </c>
      <c r="S59" s="60">
        <v>1254</v>
      </c>
      <c r="T59" s="60">
        <v>0</v>
      </c>
      <c r="U59" s="60">
        <v>0</v>
      </c>
      <c r="V59" s="60">
        <v>0</v>
      </c>
      <c r="W59" s="113"/>
      <c r="X59" s="113"/>
    </row>
    <row r="60" spans="1:24" ht="15" customHeight="1" thickBot="1">
      <c r="A60" s="58"/>
      <c r="B60" s="59" t="s">
        <v>228</v>
      </c>
      <c r="C60" s="60">
        <v>-30461</v>
      </c>
      <c r="D60" s="60">
        <v>-134993</v>
      </c>
      <c r="E60" s="60">
        <v>-119958</v>
      </c>
      <c r="F60" s="60">
        <v>-67119</v>
      </c>
      <c r="G60" s="60">
        <v>-26306</v>
      </c>
      <c r="H60" s="60">
        <v>-123185</v>
      </c>
      <c r="I60" s="60">
        <f>-105077</f>
        <v>-105077</v>
      </c>
      <c r="J60" s="60">
        <v>-57286</v>
      </c>
      <c r="K60" s="60">
        <v>-16533</v>
      </c>
      <c r="L60" s="60">
        <v>-107473</v>
      </c>
      <c r="M60" s="60">
        <v>-87285</v>
      </c>
      <c r="N60" s="60">
        <v>-43534</v>
      </c>
      <c r="O60" s="60">
        <v>-12680</v>
      </c>
      <c r="P60" s="60">
        <v>-82710</v>
      </c>
      <c r="Q60" s="60">
        <v>-68207</v>
      </c>
      <c r="R60" s="60">
        <v>-38276</v>
      </c>
      <c r="S60" s="60">
        <v>-12271</v>
      </c>
      <c r="T60" s="60">
        <v>-72191</v>
      </c>
      <c r="U60" s="60">
        <v>-30185</v>
      </c>
      <c r="V60" s="60">
        <v>-45519</v>
      </c>
      <c r="W60" s="113"/>
      <c r="X60" s="113"/>
    </row>
    <row r="61" spans="1:24" s="126" customFormat="1" ht="15" customHeight="1" thickBot="1">
      <c r="A61" s="132"/>
      <c r="B61" s="118" t="s">
        <v>229</v>
      </c>
      <c r="C61" s="119">
        <f>SUM(C55:C60)</f>
        <v>-160748</v>
      </c>
      <c r="D61" s="119">
        <f>SUM(D55:D60)</f>
        <v>-658119</v>
      </c>
      <c r="E61" s="119">
        <f>SUM(E55:E60)</f>
        <v>-407372</v>
      </c>
      <c r="F61" s="119">
        <f>SUM(F55:F60)</f>
        <v>-240566</v>
      </c>
      <c r="G61" s="119">
        <f>SUM(G55:G60)</f>
        <v>-112234</v>
      </c>
      <c r="H61" s="119">
        <f t="shared" ref="H61:V61" si="4">SUM(H55:H60)</f>
        <v>-695543</v>
      </c>
      <c r="I61" s="119">
        <f t="shared" si="4"/>
        <v>-448809</v>
      </c>
      <c r="J61" s="119">
        <f t="shared" si="4"/>
        <v>-294744</v>
      </c>
      <c r="K61" s="119">
        <f t="shared" si="4"/>
        <v>-133405</v>
      </c>
      <c r="L61" s="119">
        <f t="shared" si="4"/>
        <v>-411623</v>
      </c>
      <c r="M61" s="119">
        <f t="shared" si="4"/>
        <v>-237382</v>
      </c>
      <c r="N61" s="119">
        <f t="shared" si="4"/>
        <v>-138479</v>
      </c>
      <c r="O61" s="119">
        <f t="shared" si="4"/>
        <v>-58779</v>
      </c>
      <c r="P61" s="119">
        <f t="shared" si="4"/>
        <v>-314346</v>
      </c>
      <c r="Q61" s="119">
        <f t="shared" si="4"/>
        <v>-153473</v>
      </c>
      <c r="R61" s="119">
        <f t="shared" si="4"/>
        <v>-87634</v>
      </c>
      <c r="S61" s="119">
        <f t="shared" si="4"/>
        <v>-38326</v>
      </c>
      <c r="T61" s="119">
        <f t="shared" si="4"/>
        <v>-240108</v>
      </c>
      <c r="U61" s="119">
        <f t="shared" si="4"/>
        <v>-193430</v>
      </c>
      <c r="V61" s="119">
        <f t="shared" si="4"/>
        <v>-167336</v>
      </c>
      <c r="W61" s="129"/>
      <c r="X61" s="129"/>
    </row>
    <row r="62" spans="1:24" ht="15" customHeight="1" thickBot="1">
      <c r="B62" s="114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</row>
    <row r="63" spans="1:24" ht="15" customHeight="1" thickBot="1">
      <c r="B63" s="116" t="s">
        <v>230</v>
      </c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>
        <v>0</v>
      </c>
      <c r="P63" s="107"/>
      <c r="Q63" s="107"/>
      <c r="R63" s="107"/>
      <c r="S63" s="107"/>
      <c r="T63" s="107"/>
      <c r="U63" s="107"/>
      <c r="V63" s="107"/>
    </row>
    <row r="64" spans="1:24" ht="15" customHeight="1" thickBot="1">
      <c r="A64" s="58"/>
      <c r="B64" s="59" t="s">
        <v>231</v>
      </c>
      <c r="C64" s="60">
        <f>472108+50000</f>
        <v>522108</v>
      </c>
      <c r="D64" s="60">
        <v>1366231</v>
      </c>
      <c r="E64" s="60">
        <v>1047115</v>
      </c>
      <c r="F64" s="60">
        <v>557338</v>
      </c>
      <c r="G64" s="60">
        <v>233190</v>
      </c>
      <c r="H64" s="60">
        <v>618716</v>
      </c>
      <c r="I64" s="60">
        <f>458795</f>
        <v>458795</v>
      </c>
      <c r="J64" s="60">
        <v>314743</v>
      </c>
      <c r="K64" s="60">
        <v>55000</v>
      </c>
      <c r="L64" s="60">
        <v>525421</v>
      </c>
      <c r="M64" s="60">
        <v>174633</v>
      </c>
      <c r="N64" s="60">
        <v>60830</v>
      </c>
      <c r="O64" s="60">
        <v>42333</v>
      </c>
      <c r="P64" s="60">
        <v>312032</v>
      </c>
      <c r="Q64" s="60">
        <v>192952</v>
      </c>
      <c r="R64" s="60">
        <v>65952</v>
      </c>
      <c r="S64" s="60">
        <v>18000</v>
      </c>
      <c r="T64" s="60">
        <v>250000</v>
      </c>
      <c r="U64" s="60">
        <v>113400</v>
      </c>
      <c r="V64" s="60">
        <v>76307</v>
      </c>
      <c r="W64" s="113"/>
      <c r="X64" s="113"/>
    </row>
    <row r="65" spans="1:24" ht="15" customHeight="1" thickBot="1">
      <c r="A65" s="58"/>
      <c r="B65" s="59" t="s">
        <v>232</v>
      </c>
      <c r="C65" s="60">
        <f>-331865-50000</f>
        <v>-381865</v>
      </c>
      <c r="D65" s="60">
        <v>-669824</v>
      </c>
      <c r="E65" s="60">
        <v>-508668</v>
      </c>
      <c r="F65" s="60">
        <v>-194007</v>
      </c>
      <c r="G65" s="60">
        <v>-111882</v>
      </c>
      <c r="H65" s="60">
        <v>-220662</v>
      </c>
      <c r="I65" s="60">
        <v>-134654</v>
      </c>
      <c r="J65" s="60">
        <v>-66018</v>
      </c>
      <c r="K65" s="60">
        <v>-41442</v>
      </c>
      <c r="L65" s="60">
        <v>-427393</v>
      </c>
      <c r="M65" s="60">
        <v>-215233</v>
      </c>
      <c r="N65" s="60">
        <v>-140401</v>
      </c>
      <c r="O65" s="60">
        <v>-97500</v>
      </c>
      <c r="P65" s="60">
        <v>-199364</v>
      </c>
      <c r="Q65" s="60">
        <v>-118865</v>
      </c>
      <c r="R65" s="60">
        <v>-45801</v>
      </c>
      <c r="S65" s="60">
        <v>-23886</v>
      </c>
      <c r="T65" s="60">
        <v>-195059</v>
      </c>
      <c r="U65" s="60">
        <v>-64749</v>
      </c>
      <c r="V65" s="60">
        <v>-24409</v>
      </c>
      <c r="W65" s="113"/>
      <c r="X65" s="113"/>
    </row>
    <row r="66" spans="1:24" ht="15" customHeight="1" thickBot="1">
      <c r="A66" s="58"/>
      <c r="B66" s="59" t="s">
        <v>376</v>
      </c>
      <c r="C66" s="60">
        <v>-887</v>
      </c>
      <c r="D66" s="60">
        <v>-5518</v>
      </c>
      <c r="E66" s="60">
        <v>0</v>
      </c>
      <c r="F66" s="60">
        <v>0</v>
      </c>
      <c r="G66" s="60">
        <v>0</v>
      </c>
      <c r="H66" s="60">
        <v>0</v>
      </c>
      <c r="I66" s="60">
        <v>0</v>
      </c>
      <c r="J66" s="60">
        <v>0</v>
      </c>
      <c r="K66" s="60">
        <v>0</v>
      </c>
      <c r="L66" s="60">
        <v>0</v>
      </c>
      <c r="M66" s="60">
        <v>0</v>
      </c>
      <c r="N66" s="60">
        <v>0</v>
      </c>
      <c r="O66" s="60">
        <v>0</v>
      </c>
      <c r="P66" s="60">
        <v>0</v>
      </c>
      <c r="Q66" s="60">
        <v>0</v>
      </c>
      <c r="R66" s="60">
        <v>0</v>
      </c>
      <c r="S66" s="60">
        <v>0</v>
      </c>
      <c r="T66" s="60">
        <v>0</v>
      </c>
      <c r="U66" s="60">
        <v>0</v>
      </c>
      <c r="V66" s="60">
        <v>0</v>
      </c>
      <c r="W66" s="113"/>
      <c r="X66" s="113"/>
    </row>
    <row r="67" spans="1:24" ht="15" customHeight="1" thickBot="1">
      <c r="A67" s="58"/>
      <c r="B67" s="59" t="s">
        <v>276</v>
      </c>
      <c r="C67" s="60">
        <v>0</v>
      </c>
      <c r="D67" s="60">
        <v>0</v>
      </c>
      <c r="E67" s="60">
        <v>0</v>
      </c>
      <c r="F67" s="60">
        <v>0</v>
      </c>
      <c r="G67" s="60">
        <v>0</v>
      </c>
      <c r="H67" s="60">
        <v>-14000</v>
      </c>
      <c r="I67" s="60">
        <v>0</v>
      </c>
      <c r="J67" s="60">
        <v>0</v>
      </c>
      <c r="K67" s="60">
        <v>0</v>
      </c>
      <c r="L67" s="60">
        <v>0</v>
      </c>
      <c r="M67" s="60">
        <v>0</v>
      </c>
      <c r="N67" s="60">
        <v>0</v>
      </c>
      <c r="O67" s="60">
        <v>0</v>
      </c>
      <c r="P67" s="60">
        <v>0</v>
      </c>
      <c r="Q67" s="60">
        <v>0</v>
      </c>
      <c r="R67" s="60">
        <v>0</v>
      </c>
      <c r="S67" s="60">
        <v>0</v>
      </c>
      <c r="T67" s="60">
        <v>0</v>
      </c>
      <c r="U67" s="60">
        <v>-2551</v>
      </c>
      <c r="V67" s="60">
        <v>0</v>
      </c>
      <c r="W67" s="113"/>
      <c r="X67" s="113"/>
    </row>
    <row r="68" spans="1:24" ht="15" customHeight="1" thickBot="1">
      <c r="A68" s="58"/>
      <c r="B68" s="59" t="s">
        <v>310</v>
      </c>
      <c r="C68" s="60">
        <v>728</v>
      </c>
      <c r="D68" s="60">
        <v>-1077</v>
      </c>
      <c r="E68" s="60">
        <v>1556</v>
      </c>
      <c r="F68" s="60">
        <v>2127</v>
      </c>
      <c r="G68" s="60">
        <v>651</v>
      </c>
      <c r="H68" s="60">
        <v>-4168</v>
      </c>
      <c r="I68" s="60">
        <v>0</v>
      </c>
      <c r="J68" s="60">
        <v>0</v>
      </c>
      <c r="K68" s="60">
        <v>0</v>
      </c>
      <c r="L68" s="60">
        <v>0</v>
      </c>
      <c r="M68" s="60">
        <v>0</v>
      </c>
      <c r="N68" s="60">
        <v>0</v>
      </c>
      <c r="O68" s="60">
        <v>0</v>
      </c>
      <c r="P68" s="60">
        <v>0</v>
      </c>
      <c r="Q68" s="60">
        <v>0</v>
      </c>
      <c r="R68" s="60">
        <v>0</v>
      </c>
      <c r="S68" s="60">
        <v>0</v>
      </c>
      <c r="T68" s="60">
        <v>0</v>
      </c>
      <c r="U68" s="60">
        <v>0</v>
      </c>
      <c r="V68" s="60">
        <v>0</v>
      </c>
      <c r="W68" s="113"/>
      <c r="X68" s="113"/>
    </row>
    <row r="69" spans="1:24" ht="15" customHeight="1" thickBot="1">
      <c r="A69" s="58"/>
      <c r="B69" s="59" t="s">
        <v>344</v>
      </c>
      <c r="C69" s="60">
        <v>-51534</v>
      </c>
      <c r="D69" s="148">
        <v>-126480</v>
      </c>
      <c r="E69" s="60">
        <v>-68524</v>
      </c>
      <c r="F69" s="60">
        <v>-50745</v>
      </c>
      <c r="G69" s="60">
        <v>-24440</v>
      </c>
      <c r="H69" s="148">
        <v>-62170</v>
      </c>
      <c r="I69" s="60">
        <v>-49412</v>
      </c>
      <c r="J69" s="60">
        <v>-32109</v>
      </c>
      <c r="K69" s="60">
        <v>-18250</v>
      </c>
      <c r="L69" s="60">
        <v>-56556</v>
      </c>
      <c r="M69" s="60">
        <v>-41552</v>
      </c>
      <c r="N69" s="60">
        <v>-34441</v>
      </c>
      <c r="O69" s="60">
        <v>-9985</v>
      </c>
      <c r="P69" s="60">
        <v>-46756</v>
      </c>
      <c r="Q69" s="60">
        <v>-35364</v>
      </c>
      <c r="R69" s="60">
        <v>-22137</v>
      </c>
      <c r="S69" s="60">
        <v>-10148</v>
      </c>
      <c r="T69" s="60">
        <v>-42805</v>
      </c>
      <c r="U69" s="60">
        <v>0</v>
      </c>
      <c r="V69" s="60">
        <v>0</v>
      </c>
      <c r="W69" s="113"/>
      <c r="X69" s="113"/>
    </row>
    <row r="70" spans="1:24" s="126" customFormat="1" ht="15" customHeight="1" thickBot="1">
      <c r="A70" s="132"/>
      <c r="B70" s="136" t="s">
        <v>233</v>
      </c>
      <c r="C70" s="137">
        <f>SUM(C64:C69)</f>
        <v>88550</v>
      </c>
      <c r="D70" s="137">
        <f>SUM(D64:D69)</f>
        <v>563332</v>
      </c>
      <c r="E70" s="137">
        <f>SUM(E64:E69)</f>
        <v>471479</v>
      </c>
      <c r="F70" s="137">
        <f>SUM(F64:F69)</f>
        <v>314713</v>
      </c>
      <c r="G70" s="137">
        <f>SUM(G64:G69)</f>
        <v>97519</v>
      </c>
      <c r="H70" s="137">
        <v>317716</v>
      </c>
      <c r="I70" s="137">
        <f t="shared" ref="I70:V70" si="5">SUM(I64:I69)</f>
        <v>274729</v>
      </c>
      <c r="J70" s="137">
        <f t="shared" si="5"/>
        <v>216616</v>
      </c>
      <c r="K70" s="137">
        <f t="shared" si="5"/>
        <v>-4692</v>
      </c>
      <c r="L70" s="137">
        <f t="shared" si="5"/>
        <v>41472</v>
      </c>
      <c r="M70" s="137">
        <f t="shared" si="5"/>
        <v>-82152</v>
      </c>
      <c r="N70" s="137">
        <f t="shared" si="5"/>
        <v>-114012</v>
      </c>
      <c r="O70" s="137">
        <f t="shared" si="5"/>
        <v>-65152</v>
      </c>
      <c r="P70" s="137">
        <f t="shared" si="5"/>
        <v>65912</v>
      </c>
      <c r="Q70" s="137">
        <f t="shared" si="5"/>
        <v>38723</v>
      </c>
      <c r="R70" s="137">
        <f t="shared" si="5"/>
        <v>-1986</v>
      </c>
      <c r="S70" s="137">
        <f t="shared" si="5"/>
        <v>-16034</v>
      </c>
      <c r="T70" s="137">
        <f t="shared" si="5"/>
        <v>12136</v>
      </c>
      <c r="U70" s="137">
        <f t="shared" si="5"/>
        <v>46100</v>
      </c>
      <c r="V70" s="137">
        <f t="shared" si="5"/>
        <v>51898</v>
      </c>
      <c r="W70" s="129"/>
      <c r="X70" s="129"/>
    </row>
    <row r="71" spans="1:24" s="121" customFormat="1" ht="2.15" customHeight="1">
      <c r="A71" s="117"/>
      <c r="B71" s="128"/>
      <c r="C71" s="120"/>
      <c r="D71" s="129"/>
      <c r="E71" s="120"/>
      <c r="F71" s="120"/>
      <c r="G71" s="120"/>
      <c r="H71" s="129"/>
      <c r="I71" s="129"/>
      <c r="J71" s="129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</row>
    <row r="72" spans="1:24" ht="15" customHeight="1" thickBot="1">
      <c r="B72" s="131" t="s">
        <v>234</v>
      </c>
      <c r="C72" s="135">
        <v>-27797</v>
      </c>
      <c r="D72" s="135">
        <v>331695</v>
      </c>
      <c r="E72" s="135">
        <v>28761</v>
      </c>
      <c r="F72" s="135">
        <v>58131</v>
      </c>
      <c r="G72" s="135">
        <v>-25244</v>
      </c>
      <c r="H72" s="135">
        <v>24978.62480999995</v>
      </c>
      <c r="I72" s="135">
        <f t="shared" ref="I72:V72" si="6">I52+I61+I70</f>
        <v>125238</v>
      </c>
      <c r="J72" s="135">
        <f t="shared" si="6"/>
        <v>54307</v>
      </c>
      <c r="K72" s="135">
        <f t="shared" si="6"/>
        <v>-40489</v>
      </c>
      <c r="L72" s="135">
        <f t="shared" si="6"/>
        <v>27198</v>
      </c>
      <c r="M72" s="135">
        <f t="shared" si="6"/>
        <v>-25172</v>
      </c>
      <c r="N72" s="135">
        <f t="shared" si="6"/>
        <v>2105</v>
      </c>
      <c r="O72" s="135">
        <f t="shared" si="6"/>
        <v>-21227</v>
      </c>
      <c r="P72" s="135">
        <f t="shared" si="6"/>
        <v>23372</v>
      </c>
      <c r="Q72" s="135">
        <f t="shared" si="6"/>
        <v>-13257</v>
      </c>
      <c r="R72" s="135">
        <f t="shared" si="6"/>
        <v>278</v>
      </c>
      <c r="S72" s="135">
        <f t="shared" si="6"/>
        <v>4533</v>
      </c>
      <c r="T72" s="135">
        <f t="shared" si="6"/>
        <v>16201</v>
      </c>
      <c r="U72" s="135">
        <f t="shared" si="6"/>
        <v>18137</v>
      </c>
      <c r="V72" s="135">
        <f t="shared" si="6"/>
        <v>13751</v>
      </c>
    </row>
    <row r="73" spans="1:24" ht="15" customHeight="1" thickBot="1">
      <c r="B73" s="134" t="s">
        <v>235</v>
      </c>
      <c r="C73" s="133">
        <v>440036</v>
      </c>
      <c r="D73" s="133">
        <v>108341</v>
      </c>
      <c r="E73" s="133">
        <v>108341</v>
      </c>
      <c r="F73" s="133">
        <v>108341</v>
      </c>
      <c r="G73" s="133">
        <v>108341</v>
      </c>
      <c r="H73" s="133">
        <v>83362</v>
      </c>
      <c r="I73" s="133">
        <f>L74</f>
        <v>83362</v>
      </c>
      <c r="J73" s="133">
        <f>L74</f>
        <v>83362</v>
      </c>
      <c r="K73" s="133">
        <f>L74</f>
        <v>83362</v>
      </c>
      <c r="L73" s="133">
        <v>56164</v>
      </c>
      <c r="M73" s="133">
        <v>56166</v>
      </c>
      <c r="N73" s="133">
        <v>44641</v>
      </c>
      <c r="O73" s="133">
        <f>P74</f>
        <v>56164</v>
      </c>
      <c r="P73" s="133">
        <f>T74</f>
        <v>32792</v>
      </c>
      <c r="Q73" s="133">
        <f>R73</f>
        <v>32792</v>
      </c>
      <c r="R73" s="133">
        <f>T74</f>
        <v>32792</v>
      </c>
      <c r="S73" s="133">
        <f>T74</f>
        <v>32792</v>
      </c>
      <c r="T73" s="133">
        <f>V74</f>
        <v>16591</v>
      </c>
      <c r="U73" s="133">
        <f>V74</f>
        <v>16591</v>
      </c>
      <c r="V73" s="133">
        <v>2840</v>
      </c>
    </row>
    <row r="74" spans="1:24" s="126" customFormat="1" ht="15" customHeight="1" thickBot="1">
      <c r="A74" s="132"/>
      <c r="B74" s="118" t="s">
        <v>236</v>
      </c>
      <c r="C74" s="119">
        <f>C72+C73</f>
        <v>412239</v>
      </c>
      <c r="D74" s="119">
        <f>D72+D73</f>
        <v>440036</v>
      </c>
      <c r="E74" s="119">
        <f>E72+E73</f>
        <v>137102</v>
      </c>
      <c r="F74" s="119">
        <f>F72+F73</f>
        <v>166472</v>
      </c>
      <c r="G74" s="119">
        <f>G72+G73</f>
        <v>83097</v>
      </c>
      <c r="H74" s="119">
        <v>108340.62480999995</v>
      </c>
      <c r="I74" s="119">
        <f t="shared" ref="I74:V74" si="7">I72+I73</f>
        <v>208600</v>
      </c>
      <c r="J74" s="119">
        <f t="shared" si="7"/>
        <v>137669</v>
      </c>
      <c r="K74" s="119">
        <f t="shared" si="7"/>
        <v>42873</v>
      </c>
      <c r="L74" s="119">
        <f t="shared" si="7"/>
        <v>83362</v>
      </c>
      <c r="M74" s="119">
        <f t="shared" si="7"/>
        <v>30994</v>
      </c>
      <c r="N74" s="119">
        <f t="shared" si="7"/>
        <v>46746</v>
      </c>
      <c r="O74" s="119">
        <f t="shared" si="7"/>
        <v>34937</v>
      </c>
      <c r="P74" s="119">
        <f t="shared" si="7"/>
        <v>56164</v>
      </c>
      <c r="Q74" s="119">
        <f t="shared" si="7"/>
        <v>19535</v>
      </c>
      <c r="R74" s="119">
        <f t="shared" si="7"/>
        <v>33070</v>
      </c>
      <c r="S74" s="119">
        <f t="shared" si="7"/>
        <v>37325</v>
      </c>
      <c r="T74" s="119">
        <f t="shared" si="7"/>
        <v>32792</v>
      </c>
      <c r="U74" s="119">
        <f t="shared" si="7"/>
        <v>34728</v>
      </c>
      <c r="V74" s="119">
        <f t="shared" si="7"/>
        <v>16591</v>
      </c>
      <c r="W74" s="129"/>
      <c r="X74" s="129"/>
    </row>
    <row r="75" spans="1:24" s="81" customFormat="1" ht="15" customHeight="1">
      <c r="B75" s="115"/>
      <c r="C75" s="86"/>
      <c r="D75" s="86"/>
      <c r="E75" s="86"/>
      <c r="F75" s="86"/>
      <c r="G75" s="86"/>
      <c r="H75" s="86"/>
      <c r="I75" s="86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</row>
    <row r="76" spans="1:24" s="213" customFormat="1">
      <c r="B76" s="220" t="s">
        <v>281</v>
      </c>
      <c r="C76" s="218"/>
      <c r="D76" s="218"/>
      <c r="E76" s="218">
        <f>E74-'2. BP'!E12</f>
        <v>0</v>
      </c>
      <c r="F76" s="218">
        <f>F74-'2. BP'!F12</f>
        <v>0</v>
      </c>
      <c r="G76" s="218">
        <f>G74-'2. BP'!G12</f>
        <v>0</v>
      </c>
      <c r="H76" s="218"/>
      <c r="I76" s="218">
        <f>I74-'2. BP'!I12</f>
        <v>89076</v>
      </c>
      <c r="J76" s="218">
        <f>J74-'2. BP'!J12</f>
        <v>0</v>
      </c>
      <c r="K76" s="218">
        <f>K74-'2. BP'!K12</f>
        <v>0</v>
      </c>
      <c r="L76" s="218">
        <f>L74-'2. BP'!L12</f>
        <v>0</v>
      </c>
      <c r="M76" s="218">
        <f>M74-'2. BP'!M12</f>
        <v>0</v>
      </c>
      <c r="N76" s="218">
        <f>N74-'2. BP'!N12</f>
        <v>0</v>
      </c>
      <c r="O76" s="218">
        <f>O74-'2. BP'!O12</f>
        <v>0</v>
      </c>
      <c r="P76" s="218">
        <f>P74-'2. BP'!P12</f>
        <v>0</v>
      </c>
      <c r="Q76" s="218">
        <f>Q74-'2. BP'!Q12</f>
        <v>0</v>
      </c>
      <c r="R76" s="218">
        <f>R74-'2. BP'!R12</f>
        <v>0</v>
      </c>
      <c r="S76" s="218">
        <f>S74-'2. BP'!S12</f>
        <v>0</v>
      </c>
      <c r="T76" s="218">
        <f>T74-'2. BP'!T12</f>
        <v>0</v>
      </c>
      <c r="U76" s="218">
        <f>U74-'2. BP'!U12</f>
        <v>0</v>
      </c>
      <c r="V76" s="218">
        <f>V74-'2. BP'!V12</f>
        <v>0</v>
      </c>
    </row>
    <row r="77" spans="1:24" s="81" customFormat="1">
      <c r="B77" s="115"/>
    </row>
    <row r="78" spans="1:24" s="81" customFormat="1">
      <c r="B78" s="115"/>
    </row>
    <row r="79" spans="1:24" s="81" customFormat="1">
      <c r="B79" s="115"/>
    </row>
    <row r="80" spans="1:24">
      <c r="B80" s="115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</row>
    <row r="81" spans="2:22">
      <c r="B81" s="115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</row>
    <row r="82" spans="2:22">
      <c r="B82" s="115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</row>
    <row r="83" spans="2:22">
      <c r="B83" s="115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</row>
    <row r="84" spans="2:22">
      <c r="B84" s="115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</row>
    <row r="85" spans="2:22">
      <c r="B85" s="115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</row>
    <row r="86" spans="2:22">
      <c r="B86" s="115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</row>
    <row r="87" spans="2:22">
      <c r="B87" s="115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</row>
    <row r="88" spans="2:22">
      <c r="B88" s="115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</row>
    <row r="89" spans="2:22">
      <c r="B89" s="115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</row>
    <row r="90" spans="2:22">
      <c r="B90" s="115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</row>
    <row r="91" spans="2:22">
      <c r="B91" s="115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</row>
    <row r="92" spans="2:22">
      <c r="B92" s="115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</row>
    <row r="93" spans="2:22">
      <c r="B93" s="115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</row>
    <row r="94" spans="2:22">
      <c r="B94" s="115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</row>
    <row r="95" spans="2:22">
      <c r="B95" s="115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</row>
    <row r="96" spans="2:22">
      <c r="B96" s="115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</row>
    <row r="97" spans="2:20">
      <c r="B97" s="115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</row>
    <row r="98" spans="2:20">
      <c r="B98" s="115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</row>
    <row r="99" spans="2:20">
      <c r="B99" s="115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</row>
  </sheetData>
  <sheetProtection algorithmName="SHA-512" hashValue="UlRv359kVWJspF46iCJg0zE4XSKvFJijMBRwBe6486xZDUIZyarowDNUWk5LGB8Qno/uOyUtn0U8Pdayyaigkg==" saltValue="voAEa5eeYZGM7Dci5xxppA==" spinCount="100000" sheet="1" selectLockedCells="1" selectUnlockedCells="1"/>
  <pageMargins left="0.511811024" right="0.511811024" top="0.78740157499999996" bottom="0.78740157499999996" header="0.31496062000000002" footer="0.31496062000000002"/>
  <pageSetup paperSize="9" orientation="portrait" r:id="rId1"/>
  <ignoredErrors>
    <ignoredError sqref="I11:W13 I51:W54 I69:W69 I16:W18 G75 G11 G14 G19 I14:L14 I29:W48 I55:R55 W55 I67:W67 I71:W72 I70:N70 P70:W70 I74:W76 I73:R73 U73:W73 J20:W20 I19:N19 P19:W19 I15:K15 M15:W15 I27:W27 I21:N21 P21:W21 N14:W14 F11:F20 F37 J28:W28 I22:W25 E51:E63 D11:D13 E11:E41 E45:E49 D42:H44 I56:W65 D20 D14:D19 D21 D23:D29 D37 C15:C16 C11:C14 C17:C19" unlockedFormula="1"/>
    <ignoredError sqref="G61" formulaRange="1"/>
    <ignoredError sqref="O70" formulaRange="1" unlockedFormula="1"/>
    <ignoredError sqref="S73:T73" formula="1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05B78-7570-4665-9F37-41DA54F71636}">
  <sheetPr codeName="Planilha8"/>
  <dimension ref="A1:XFA68"/>
  <sheetViews>
    <sheetView showGridLines="0" zoomScale="85" zoomScaleNormal="85" workbookViewId="0">
      <pane xSplit="2" ySplit="7" topLeftCell="C8" activePane="bottomRight" state="frozen"/>
      <selection activeCell="F27" sqref="F27"/>
      <selection pane="topRight" activeCell="F27" sqref="F27"/>
      <selection pane="bottomLeft" activeCell="F27" sqref="F27"/>
      <selection pane="bottomRight" activeCell="C18" sqref="C18"/>
    </sheetView>
  </sheetViews>
  <sheetFormatPr defaultColWidth="8.81640625" defaultRowHeight="13"/>
  <cols>
    <col min="1" max="1" width="2.81640625" style="61" customWidth="1"/>
    <col min="2" max="2" width="38.26953125" style="94" customWidth="1"/>
    <col min="3" max="8" width="11.453125" style="90" customWidth="1"/>
    <col min="9" max="11" width="10.54296875" style="90" customWidth="1"/>
    <col min="12" max="12" width="12.453125" style="90" customWidth="1"/>
    <col min="13" max="15" width="10.54296875" style="90" customWidth="1"/>
    <col min="16" max="16" width="11.81640625" style="90" customWidth="1"/>
    <col min="17" max="19" width="10.54296875" style="90" customWidth="1"/>
    <col min="20" max="20" width="12" style="90" customWidth="1"/>
    <col min="21" max="21" width="11.54296875" style="90" customWidth="1"/>
    <col min="22" max="22" width="11.81640625" style="90" customWidth="1"/>
    <col min="23" max="23" width="8.81640625" style="61"/>
    <col min="24" max="24" width="10.453125" style="61" customWidth="1"/>
    <col min="25" max="16384" width="8.81640625" style="61"/>
  </cols>
  <sheetData>
    <row r="1" spans="1:1021 1028:2045 2052:3069 3076:4093 4100:5117 5124:6141 6148:7165 7172:8189 8196:9213 9220:10237 10244:11261 11268:12285 12292:13309 13316:14333 14340:15357 15364:16381" s="4" customFormat="1" ht="5.25" customHeight="1">
      <c r="B1" s="10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</row>
    <row r="2" spans="1:1021 1028:2045 2052:3069 3076:4093 4100:5117 5124:6141 6148:7165 7172:8189 8196:9213 9220:10237 10244:11261 11268:12285 12292:13309 13316:14333 14340:15357 15364:16381" s="4" customFormat="1">
      <c r="A2" s="25"/>
      <c r="B2" s="10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</row>
    <row r="3" spans="1:1021 1028:2045 2052:3069 3076:4093 4100:5117 5124:6141 6148:7165 7172:8189 8196:9213 9220:10237 10244:11261 11268:12285 12292:13309 13316:14333 14340:15357 15364:16381" s="4" customFormat="1" ht="14.9" customHeight="1">
      <c r="A3" s="25"/>
      <c r="B3" s="227"/>
      <c r="C3" s="182"/>
      <c r="D3" s="182"/>
      <c r="E3" s="182"/>
      <c r="F3" s="182"/>
      <c r="G3" s="228"/>
      <c r="H3" s="228"/>
      <c r="I3" s="228"/>
      <c r="J3" s="183"/>
      <c r="K3" s="85"/>
      <c r="L3" s="228"/>
      <c r="M3" s="228"/>
      <c r="N3" s="183"/>
      <c r="O3" s="85"/>
      <c r="P3" s="85"/>
      <c r="Q3" s="85"/>
      <c r="R3" s="85"/>
      <c r="S3" s="85"/>
      <c r="T3" s="85"/>
      <c r="U3" s="85"/>
      <c r="V3" s="85"/>
      <c r="Y3" s="189"/>
    </row>
    <row r="4" spans="1:1021 1028:2045 2052:3069 3076:4093 4100:5117 5124:6141 6148:7165 7172:8189 8196:9213 9220:10237 10244:11261 11268:12285 12292:13309 13316:14333 14340:15357 15364:16381" s="4" customFormat="1" ht="14.9" customHeight="1">
      <c r="A4" s="25"/>
      <c r="B4" s="227"/>
      <c r="C4" s="182"/>
      <c r="D4" s="182"/>
      <c r="E4" s="182"/>
      <c r="F4" s="182"/>
      <c r="G4" s="228"/>
      <c r="H4" s="228"/>
      <c r="I4" s="228"/>
      <c r="J4" s="183"/>
      <c r="K4" s="85"/>
      <c r="L4" s="228"/>
      <c r="M4" s="228"/>
      <c r="N4" s="183"/>
      <c r="O4" s="85"/>
      <c r="P4" s="85"/>
      <c r="Q4" s="85"/>
      <c r="R4" s="85"/>
      <c r="S4" s="85"/>
      <c r="T4" s="85"/>
      <c r="U4" s="85"/>
      <c r="V4" s="85"/>
    </row>
    <row r="5" spans="1:1021 1028:2045 2052:3069 3076:4093 4100:5117 5124:6141 6148:7165 7172:8189 8196:9213 9220:10237 10244:11261 11268:12285 12292:13309 13316:14333 14340:15357 15364:16381" s="4" customFormat="1" ht="31.5" customHeight="1">
      <c r="A5" s="25"/>
      <c r="B5" s="181"/>
      <c r="C5" s="85"/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</row>
    <row r="6" spans="1:1021 1028:2045 2052:3069 3076:4093 4100:5117 5124:6141 6148:7165 7172:8189 8196:9213 9220:10237 10244:11261 11268:12285 12292:13309 13316:14333 14340:15357 15364:16381" s="4" customFormat="1">
      <c r="B6" s="10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</row>
    <row r="7" spans="1:1021 1028:2045 2052:3069 3076:4093 4100:5117 5124:6141 6148:7165 7172:8189 8196:9213 9220:10237 10244:11261 11268:12285 12292:13309 13316:14333 14340:15357 15364:16381" s="104" customFormat="1" ht="20.149999999999999" customHeight="1" thickBot="1">
      <c r="A7" s="4"/>
      <c r="B7" s="52" t="s">
        <v>103</v>
      </c>
      <c r="C7" s="54" t="s">
        <v>377</v>
      </c>
      <c r="D7" s="53" t="s">
        <v>366</v>
      </c>
      <c r="E7" s="54" t="s">
        <v>368</v>
      </c>
      <c r="F7" s="54" t="s">
        <v>365</v>
      </c>
      <c r="G7" s="54" t="s">
        <v>347</v>
      </c>
      <c r="H7" s="53" t="s">
        <v>312</v>
      </c>
      <c r="I7" s="54" t="s">
        <v>313</v>
      </c>
      <c r="J7" s="54" t="s">
        <v>314</v>
      </c>
      <c r="K7" s="54" t="s">
        <v>311</v>
      </c>
      <c r="L7" s="53" t="s">
        <v>172</v>
      </c>
      <c r="M7" s="55" t="s">
        <v>300</v>
      </c>
      <c r="N7" s="54" t="s">
        <v>299</v>
      </c>
      <c r="O7" s="54" t="s">
        <v>175</v>
      </c>
      <c r="P7" s="53" t="s">
        <v>171</v>
      </c>
      <c r="Q7" s="54" t="s">
        <v>291</v>
      </c>
      <c r="R7" s="54" t="s">
        <v>290</v>
      </c>
      <c r="S7" s="54" t="s">
        <v>91</v>
      </c>
      <c r="T7" s="53" t="s">
        <v>173</v>
      </c>
      <c r="U7" s="54" t="s">
        <v>174</v>
      </c>
      <c r="V7" s="53" t="s">
        <v>180</v>
      </c>
      <c r="AB7" s="56"/>
      <c r="AC7" s="105"/>
      <c r="AJ7" s="56"/>
      <c r="AK7" s="105"/>
      <c r="AR7" s="56"/>
      <c r="AS7" s="105"/>
      <c r="AZ7" s="56"/>
      <c r="BA7" s="105"/>
      <c r="BH7" s="56"/>
      <c r="BI7" s="105"/>
      <c r="BP7" s="56"/>
      <c r="BQ7" s="105"/>
      <c r="BX7" s="56"/>
      <c r="BY7" s="105"/>
      <c r="CF7" s="56"/>
      <c r="CG7" s="105"/>
      <c r="CN7" s="56"/>
      <c r="CO7" s="105"/>
      <c r="CV7" s="56"/>
      <c r="CW7" s="105"/>
      <c r="DD7" s="56"/>
      <c r="DE7" s="105"/>
      <c r="DL7" s="56"/>
      <c r="DM7" s="105"/>
      <c r="DT7" s="56"/>
      <c r="DU7" s="105"/>
      <c r="EB7" s="56"/>
      <c r="EC7" s="105"/>
      <c r="EJ7" s="56"/>
      <c r="EK7" s="105"/>
      <c r="ER7" s="56"/>
      <c r="ES7" s="105"/>
      <c r="EZ7" s="56"/>
      <c r="FA7" s="105"/>
      <c r="FH7" s="56"/>
      <c r="FI7" s="105"/>
      <c r="FP7" s="56"/>
      <c r="FQ7" s="105"/>
      <c r="FX7" s="56"/>
      <c r="FY7" s="105"/>
      <c r="GF7" s="56"/>
      <c r="GG7" s="105"/>
      <c r="GN7" s="56"/>
      <c r="GO7" s="105"/>
      <c r="GV7" s="56"/>
      <c r="GW7" s="105"/>
      <c r="HD7" s="56"/>
      <c r="HE7" s="105"/>
      <c r="HL7" s="56"/>
      <c r="HM7" s="105"/>
      <c r="HT7" s="56"/>
      <c r="HU7" s="105"/>
      <c r="IB7" s="56"/>
      <c r="IC7" s="105"/>
      <c r="IJ7" s="56"/>
      <c r="IK7" s="105"/>
      <c r="IR7" s="56"/>
      <c r="IS7" s="105"/>
      <c r="IZ7" s="56"/>
      <c r="JA7" s="105"/>
      <c r="JH7" s="56"/>
      <c r="JI7" s="105"/>
      <c r="JP7" s="56"/>
      <c r="JQ7" s="105"/>
      <c r="JX7" s="56"/>
      <c r="JY7" s="105"/>
      <c r="KF7" s="56"/>
      <c r="KG7" s="105"/>
      <c r="KN7" s="56"/>
      <c r="KO7" s="105"/>
      <c r="KV7" s="56"/>
      <c r="KW7" s="105"/>
      <c r="LD7" s="56"/>
      <c r="LE7" s="105"/>
      <c r="LL7" s="56"/>
      <c r="LM7" s="105"/>
      <c r="LT7" s="56"/>
      <c r="LU7" s="105"/>
      <c r="MB7" s="56"/>
      <c r="MC7" s="105"/>
      <c r="MJ7" s="56"/>
      <c r="MK7" s="105"/>
      <c r="MR7" s="56"/>
      <c r="MS7" s="105"/>
      <c r="MZ7" s="56"/>
      <c r="NA7" s="105"/>
      <c r="NH7" s="56"/>
      <c r="NI7" s="105"/>
      <c r="NP7" s="56"/>
      <c r="NQ7" s="105"/>
      <c r="NX7" s="56"/>
      <c r="NY7" s="105"/>
      <c r="OF7" s="56"/>
      <c r="OG7" s="105"/>
      <c r="ON7" s="56"/>
      <c r="OO7" s="105"/>
      <c r="OV7" s="56"/>
      <c r="OW7" s="105"/>
      <c r="PD7" s="56"/>
      <c r="PE7" s="105"/>
      <c r="PL7" s="56"/>
      <c r="PM7" s="105"/>
      <c r="PT7" s="56"/>
      <c r="PU7" s="105"/>
      <c r="QB7" s="56"/>
      <c r="QC7" s="105"/>
      <c r="QJ7" s="56"/>
      <c r="QK7" s="105"/>
      <c r="QR7" s="56"/>
      <c r="QS7" s="105"/>
      <c r="QZ7" s="56"/>
      <c r="RA7" s="105"/>
      <c r="RH7" s="56"/>
      <c r="RI7" s="105"/>
      <c r="RP7" s="56"/>
      <c r="RQ7" s="105"/>
      <c r="RX7" s="56"/>
      <c r="RY7" s="105"/>
      <c r="SF7" s="56"/>
      <c r="SG7" s="105"/>
      <c r="SN7" s="56"/>
      <c r="SO7" s="105"/>
      <c r="SV7" s="56"/>
      <c r="SW7" s="105"/>
      <c r="TD7" s="56"/>
      <c r="TE7" s="105"/>
      <c r="TL7" s="56"/>
      <c r="TM7" s="105"/>
      <c r="TT7" s="56"/>
      <c r="TU7" s="105"/>
      <c r="UB7" s="56"/>
      <c r="UC7" s="105"/>
      <c r="UJ7" s="56"/>
      <c r="UK7" s="105"/>
      <c r="UR7" s="56"/>
      <c r="US7" s="105"/>
      <c r="UZ7" s="56"/>
      <c r="VA7" s="105"/>
      <c r="VH7" s="56"/>
      <c r="VI7" s="105"/>
      <c r="VP7" s="56"/>
      <c r="VQ7" s="105"/>
      <c r="VX7" s="56"/>
      <c r="VY7" s="105"/>
      <c r="WF7" s="56"/>
      <c r="WG7" s="105"/>
      <c r="WN7" s="56"/>
      <c r="WO7" s="105"/>
      <c r="WV7" s="56"/>
      <c r="WW7" s="105"/>
      <c r="XD7" s="56"/>
      <c r="XE7" s="105"/>
      <c r="XL7" s="56"/>
      <c r="XM7" s="105"/>
      <c r="XT7" s="56"/>
      <c r="XU7" s="105"/>
      <c r="YB7" s="56"/>
      <c r="YC7" s="105"/>
      <c r="YJ7" s="56"/>
      <c r="YK7" s="105"/>
      <c r="YR7" s="56"/>
      <c r="YS7" s="105"/>
      <c r="YZ7" s="56"/>
      <c r="ZA7" s="105"/>
      <c r="ZH7" s="56"/>
      <c r="ZI7" s="105"/>
      <c r="ZP7" s="56"/>
      <c r="ZQ7" s="105"/>
      <c r="ZX7" s="56"/>
      <c r="ZY7" s="105"/>
      <c r="AAF7" s="56"/>
      <c r="AAG7" s="105"/>
      <c r="AAN7" s="56"/>
      <c r="AAO7" s="105"/>
      <c r="AAV7" s="56"/>
      <c r="AAW7" s="105"/>
      <c r="ABD7" s="56"/>
      <c r="ABE7" s="105"/>
      <c r="ABL7" s="56"/>
      <c r="ABM7" s="105"/>
      <c r="ABT7" s="56"/>
      <c r="ABU7" s="105"/>
      <c r="ACB7" s="56"/>
      <c r="ACC7" s="105"/>
      <c r="ACJ7" s="56"/>
      <c r="ACK7" s="105"/>
      <c r="ACR7" s="56"/>
      <c r="ACS7" s="105"/>
      <c r="ACZ7" s="56"/>
      <c r="ADA7" s="105"/>
      <c r="ADH7" s="56"/>
      <c r="ADI7" s="105"/>
      <c r="ADP7" s="56"/>
      <c r="ADQ7" s="105"/>
      <c r="ADX7" s="56"/>
      <c r="ADY7" s="105"/>
      <c r="AEF7" s="56"/>
      <c r="AEG7" s="105"/>
      <c r="AEN7" s="56"/>
      <c r="AEO7" s="105"/>
      <c r="AEV7" s="56"/>
      <c r="AEW7" s="105"/>
      <c r="AFD7" s="56"/>
      <c r="AFE7" s="105"/>
      <c r="AFL7" s="56"/>
      <c r="AFM7" s="105"/>
      <c r="AFT7" s="56"/>
      <c r="AFU7" s="105"/>
      <c r="AGB7" s="56"/>
      <c r="AGC7" s="105"/>
      <c r="AGJ7" s="56"/>
      <c r="AGK7" s="105"/>
      <c r="AGR7" s="56"/>
      <c r="AGS7" s="105"/>
      <c r="AGZ7" s="56"/>
      <c r="AHA7" s="105"/>
      <c r="AHH7" s="56"/>
      <c r="AHI7" s="105"/>
      <c r="AHP7" s="56"/>
      <c r="AHQ7" s="105"/>
      <c r="AHX7" s="56"/>
      <c r="AHY7" s="105"/>
      <c r="AIF7" s="56"/>
      <c r="AIG7" s="105"/>
      <c r="AIN7" s="56"/>
      <c r="AIO7" s="105"/>
      <c r="AIV7" s="56"/>
      <c r="AIW7" s="105"/>
      <c r="AJD7" s="56"/>
      <c r="AJE7" s="105"/>
      <c r="AJL7" s="56"/>
      <c r="AJM7" s="105"/>
      <c r="AJT7" s="56"/>
      <c r="AJU7" s="105"/>
      <c r="AKB7" s="56"/>
      <c r="AKC7" s="105"/>
      <c r="AKJ7" s="56"/>
      <c r="AKK7" s="105"/>
      <c r="AKR7" s="56"/>
      <c r="AKS7" s="105"/>
      <c r="AKZ7" s="56"/>
      <c r="ALA7" s="105"/>
      <c r="ALH7" s="56"/>
      <c r="ALI7" s="105"/>
      <c r="ALP7" s="56"/>
      <c r="ALQ7" s="105"/>
      <c r="ALX7" s="56"/>
      <c r="ALY7" s="105"/>
      <c r="AMF7" s="56"/>
      <c r="AMG7" s="105"/>
      <c r="AMN7" s="56"/>
      <c r="AMO7" s="105"/>
      <c r="AMV7" s="56"/>
      <c r="AMW7" s="105"/>
      <c r="AND7" s="56"/>
      <c r="ANE7" s="105"/>
      <c r="ANL7" s="56"/>
      <c r="ANM7" s="105"/>
      <c r="ANT7" s="56"/>
      <c r="ANU7" s="105"/>
      <c r="AOB7" s="56"/>
      <c r="AOC7" s="105"/>
      <c r="AOJ7" s="56"/>
      <c r="AOK7" s="105"/>
      <c r="AOR7" s="56"/>
      <c r="AOS7" s="105"/>
      <c r="AOZ7" s="56"/>
      <c r="APA7" s="105"/>
      <c r="APH7" s="56"/>
      <c r="API7" s="105"/>
      <c r="APP7" s="56"/>
      <c r="APQ7" s="105"/>
      <c r="APX7" s="56"/>
      <c r="APY7" s="105"/>
      <c r="AQF7" s="56"/>
      <c r="AQG7" s="105"/>
      <c r="AQN7" s="56"/>
      <c r="AQO7" s="105"/>
      <c r="AQV7" s="56"/>
      <c r="AQW7" s="105"/>
      <c r="ARD7" s="56"/>
      <c r="ARE7" s="105"/>
      <c r="ARL7" s="56"/>
      <c r="ARM7" s="105"/>
      <c r="ART7" s="56"/>
      <c r="ARU7" s="105"/>
      <c r="ASB7" s="56"/>
      <c r="ASC7" s="105"/>
      <c r="ASJ7" s="56"/>
      <c r="ASK7" s="105"/>
      <c r="ASR7" s="56"/>
      <c r="ASS7" s="105"/>
      <c r="ASZ7" s="56"/>
      <c r="ATA7" s="105"/>
      <c r="ATH7" s="56"/>
      <c r="ATI7" s="105"/>
      <c r="ATP7" s="56"/>
      <c r="ATQ7" s="105"/>
      <c r="ATX7" s="56"/>
      <c r="ATY7" s="105"/>
      <c r="AUF7" s="56"/>
      <c r="AUG7" s="105"/>
      <c r="AUN7" s="56"/>
      <c r="AUO7" s="105"/>
      <c r="AUV7" s="56"/>
      <c r="AUW7" s="105"/>
      <c r="AVD7" s="56"/>
      <c r="AVE7" s="105"/>
      <c r="AVL7" s="56"/>
      <c r="AVM7" s="105"/>
      <c r="AVT7" s="56"/>
      <c r="AVU7" s="105"/>
      <c r="AWB7" s="56"/>
      <c r="AWC7" s="105"/>
      <c r="AWJ7" s="56"/>
      <c r="AWK7" s="105"/>
      <c r="AWR7" s="56"/>
      <c r="AWS7" s="105"/>
      <c r="AWZ7" s="56"/>
      <c r="AXA7" s="105"/>
      <c r="AXH7" s="56"/>
      <c r="AXI7" s="105"/>
      <c r="AXP7" s="56"/>
      <c r="AXQ7" s="105"/>
      <c r="AXX7" s="56"/>
      <c r="AXY7" s="105"/>
      <c r="AYF7" s="56"/>
      <c r="AYG7" s="105"/>
      <c r="AYN7" s="56"/>
      <c r="AYO7" s="105"/>
      <c r="AYV7" s="56"/>
      <c r="AYW7" s="105"/>
      <c r="AZD7" s="56"/>
      <c r="AZE7" s="105"/>
      <c r="AZL7" s="56"/>
      <c r="AZM7" s="105"/>
      <c r="AZT7" s="56"/>
      <c r="AZU7" s="105"/>
      <c r="BAB7" s="56"/>
      <c r="BAC7" s="105"/>
      <c r="BAJ7" s="56"/>
      <c r="BAK7" s="105"/>
      <c r="BAR7" s="56"/>
      <c r="BAS7" s="105"/>
      <c r="BAZ7" s="56"/>
      <c r="BBA7" s="105"/>
      <c r="BBH7" s="56"/>
      <c r="BBI7" s="105"/>
      <c r="BBP7" s="56"/>
      <c r="BBQ7" s="105"/>
      <c r="BBX7" s="56"/>
      <c r="BBY7" s="105"/>
      <c r="BCF7" s="56"/>
      <c r="BCG7" s="105"/>
      <c r="BCN7" s="56"/>
      <c r="BCO7" s="105"/>
      <c r="BCV7" s="56"/>
      <c r="BCW7" s="105"/>
      <c r="BDD7" s="56"/>
      <c r="BDE7" s="105"/>
      <c r="BDL7" s="56"/>
      <c r="BDM7" s="105"/>
      <c r="BDT7" s="56"/>
      <c r="BDU7" s="105"/>
      <c r="BEB7" s="56"/>
      <c r="BEC7" s="105"/>
      <c r="BEJ7" s="56"/>
      <c r="BEK7" s="105"/>
      <c r="BER7" s="56"/>
      <c r="BES7" s="105"/>
      <c r="BEZ7" s="56"/>
      <c r="BFA7" s="105"/>
      <c r="BFH7" s="56"/>
      <c r="BFI7" s="105"/>
      <c r="BFP7" s="56"/>
      <c r="BFQ7" s="105"/>
      <c r="BFX7" s="56"/>
      <c r="BFY7" s="105"/>
      <c r="BGF7" s="56"/>
      <c r="BGG7" s="105"/>
      <c r="BGN7" s="56"/>
      <c r="BGO7" s="105"/>
      <c r="BGV7" s="56"/>
      <c r="BGW7" s="105"/>
      <c r="BHD7" s="56"/>
      <c r="BHE7" s="105"/>
      <c r="BHL7" s="56"/>
      <c r="BHM7" s="105"/>
      <c r="BHT7" s="56"/>
      <c r="BHU7" s="105"/>
      <c r="BIB7" s="56"/>
      <c r="BIC7" s="105"/>
      <c r="BIJ7" s="56"/>
      <c r="BIK7" s="105"/>
      <c r="BIR7" s="56"/>
      <c r="BIS7" s="105"/>
      <c r="BIZ7" s="56"/>
      <c r="BJA7" s="105"/>
      <c r="BJH7" s="56"/>
      <c r="BJI7" s="105"/>
      <c r="BJP7" s="56"/>
      <c r="BJQ7" s="105"/>
      <c r="BJX7" s="56"/>
      <c r="BJY7" s="105"/>
      <c r="BKF7" s="56"/>
      <c r="BKG7" s="105"/>
      <c r="BKN7" s="56"/>
      <c r="BKO7" s="105"/>
      <c r="BKV7" s="56"/>
      <c r="BKW7" s="105"/>
      <c r="BLD7" s="56"/>
      <c r="BLE7" s="105"/>
      <c r="BLL7" s="56"/>
      <c r="BLM7" s="105"/>
      <c r="BLT7" s="56"/>
      <c r="BLU7" s="105"/>
      <c r="BMB7" s="56"/>
      <c r="BMC7" s="105"/>
      <c r="BMJ7" s="56"/>
      <c r="BMK7" s="105"/>
      <c r="BMR7" s="56"/>
      <c r="BMS7" s="105"/>
      <c r="BMZ7" s="56"/>
      <c r="BNA7" s="105"/>
      <c r="BNH7" s="56"/>
      <c r="BNI7" s="105"/>
      <c r="BNP7" s="56"/>
      <c r="BNQ7" s="105"/>
      <c r="BNX7" s="56"/>
      <c r="BNY7" s="105"/>
      <c r="BOF7" s="56"/>
      <c r="BOG7" s="105"/>
      <c r="BON7" s="56"/>
      <c r="BOO7" s="105"/>
      <c r="BOV7" s="56"/>
      <c r="BOW7" s="105"/>
      <c r="BPD7" s="56"/>
      <c r="BPE7" s="105"/>
      <c r="BPL7" s="56"/>
      <c r="BPM7" s="105"/>
      <c r="BPT7" s="56"/>
      <c r="BPU7" s="105"/>
      <c r="BQB7" s="56"/>
      <c r="BQC7" s="105"/>
      <c r="BQJ7" s="56"/>
      <c r="BQK7" s="105"/>
      <c r="BQR7" s="56"/>
      <c r="BQS7" s="105"/>
      <c r="BQZ7" s="56"/>
      <c r="BRA7" s="105"/>
      <c r="BRH7" s="56"/>
      <c r="BRI7" s="105"/>
      <c r="BRP7" s="56"/>
      <c r="BRQ7" s="105"/>
      <c r="BRX7" s="56"/>
      <c r="BRY7" s="105"/>
      <c r="BSF7" s="56"/>
      <c r="BSG7" s="105"/>
      <c r="BSN7" s="56"/>
      <c r="BSO7" s="105"/>
      <c r="BSV7" s="56"/>
      <c r="BSW7" s="105"/>
      <c r="BTD7" s="56"/>
      <c r="BTE7" s="105"/>
      <c r="BTL7" s="56"/>
      <c r="BTM7" s="105"/>
      <c r="BTT7" s="56"/>
      <c r="BTU7" s="105"/>
      <c r="BUB7" s="56"/>
      <c r="BUC7" s="105"/>
      <c r="BUJ7" s="56"/>
      <c r="BUK7" s="105"/>
      <c r="BUR7" s="56"/>
      <c r="BUS7" s="105"/>
      <c r="BUZ7" s="56"/>
      <c r="BVA7" s="105"/>
      <c r="BVH7" s="56"/>
      <c r="BVI7" s="105"/>
      <c r="BVP7" s="56"/>
      <c r="BVQ7" s="105"/>
      <c r="BVX7" s="56"/>
      <c r="BVY7" s="105"/>
      <c r="BWF7" s="56"/>
      <c r="BWG7" s="105"/>
      <c r="BWN7" s="56"/>
      <c r="BWO7" s="105"/>
      <c r="BWV7" s="56"/>
      <c r="BWW7" s="105"/>
      <c r="BXD7" s="56"/>
      <c r="BXE7" s="105"/>
      <c r="BXL7" s="56"/>
      <c r="BXM7" s="105"/>
      <c r="BXT7" s="56"/>
      <c r="BXU7" s="105"/>
      <c r="BYB7" s="56"/>
      <c r="BYC7" s="105"/>
      <c r="BYJ7" s="56"/>
      <c r="BYK7" s="105"/>
      <c r="BYR7" s="56"/>
      <c r="BYS7" s="105"/>
      <c r="BYZ7" s="56"/>
      <c r="BZA7" s="105"/>
      <c r="BZH7" s="56"/>
      <c r="BZI7" s="105"/>
      <c r="BZP7" s="56"/>
      <c r="BZQ7" s="105"/>
      <c r="BZX7" s="56"/>
      <c r="BZY7" s="105"/>
      <c r="CAF7" s="56"/>
      <c r="CAG7" s="105"/>
      <c r="CAN7" s="56"/>
      <c r="CAO7" s="105"/>
      <c r="CAV7" s="56"/>
      <c r="CAW7" s="105"/>
      <c r="CBD7" s="56"/>
      <c r="CBE7" s="105"/>
      <c r="CBL7" s="56"/>
      <c r="CBM7" s="105"/>
      <c r="CBT7" s="56"/>
      <c r="CBU7" s="105"/>
      <c r="CCB7" s="56"/>
      <c r="CCC7" s="105"/>
      <c r="CCJ7" s="56"/>
      <c r="CCK7" s="105"/>
      <c r="CCR7" s="56"/>
      <c r="CCS7" s="105"/>
      <c r="CCZ7" s="56"/>
      <c r="CDA7" s="105"/>
      <c r="CDH7" s="56"/>
      <c r="CDI7" s="105"/>
      <c r="CDP7" s="56"/>
      <c r="CDQ7" s="105"/>
      <c r="CDX7" s="56"/>
      <c r="CDY7" s="105"/>
      <c r="CEF7" s="56"/>
      <c r="CEG7" s="105"/>
      <c r="CEN7" s="56"/>
      <c r="CEO7" s="105"/>
      <c r="CEV7" s="56"/>
      <c r="CEW7" s="105"/>
      <c r="CFD7" s="56"/>
      <c r="CFE7" s="105"/>
      <c r="CFL7" s="56"/>
      <c r="CFM7" s="105"/>
      <c r="CFT7" s="56"/>
      <c r="CFU7" s="105"/>
      <c r="CGB7" s="56"/>
      <c r="CGC7" s="105"/>
      <c r="CGJ7" s="56"/>
      <c r="CGK7" s="105"/>
      <c r="CGR7" s="56"/>
      <c r="CGS7" s="105"/>
      <c r="CGZ7" s="56"/>
      <c r="CHA7" s="105"/>
      <c r="CHH7" s="56"/>
      <c r="CHI7" s="105"/>
      <c r="CHP7" s="56"/>
      <c r="CHQ7" s="105"/>
      <c r="CHX7" s="56"/>
      <c r="CHY7" s="105"/>
      <c r="CIF7" s="56"/>
      <c r="CIG7" s="105"/>
      <c r="CIN7" s="56"/>
      <c r="CIO7" s="105"/>
      <c r="CIV7" s="56"/>
      <c r="CIW7" s="105"/>
      <c r="CJD7" s="56"/>
      <c r="CJE7" s="105"/>
      <c r="CJL7" s="56"/>
      <c r="CJM7" s="105"/>
      <c r="CJT7" s="56"/>
      <c r="CJU7" s="105"/>
      <c r="CKB7" s="56"/>
      <c r="CKC7" s="105"/>
      <c r="CKJ7" s="56"/>
      <c r="CKK7" s="105"/>
      <c r="CKR7" s="56"/>
      <c r="CKS7" s="105"/>
      <c r="CKZ7" s="56"/>
      <c r="CLA7" s="105"/>
      <c r="CLH7" s="56"/>
      <c r="CLI7" s="105"/>
      <c r="CLP7" s="56"/>
      <c r="CLQ7" s="105"/>
      <c r="CLX7" s="56"/>
      <c r="CLY7" s="105"/>
      <c r="CMF7" s="56"/>
      <c r="CMG7" s="105"/>
      <c r="CMN7" s="56"/>
      <c r="CMO7" s="105"/>
      <c r="CMV7" s="56"/>
      <c r="CMW7" s="105"/>
      <c r="CND7" s="56"/>
      <c r="CNE7" s="105"/>
      <c r="CNL7" s="56"/>
      <c r="CNM7" s="105"/>
      <c r="CNT7" s="56"/>
      <c r="CNU7" s="105"/>
      <c r="COB7" s="56"/>
      <c r="COC7" s="105"/>
      <c r="COJ7" s="56"/>
      <c r="COK7" s="105"/>
      <c r="COR7" s="56"/>
      <c r="COS7" s="105"/>
      <c r="COZ7" s="56"/>
      <c r="CPA7" s="105"/>
      <c r="CPH7" s="56"/>
      <c r="CPI7" s="105"/>
      <c r="CPP7" s="56"/>
      <c r="CPQ7" s="105"/>
      <c r="CPX7" s="56"/>
      <c r="CPY7" s="105"/>
      <c r="CQF7" s="56"/>
      <c r="CQG7" s="105"/>
      <c r="CQN7" s="56"/>
      <c r="CQO7" s="105"/>
      <c r="CQV7" s="56"/>
      <c r="CQW7" s="105"/>
      <c r="CRD7" s="56"/>
      <c r="CRE7" s="105"/>
      <c r="CRL7" s="56"/>
      <c r="CRM7" s="105"/>
      <c r="CRT7" s="56"/>
      <c r="CRU7" s="105"/>
      <c r="CSB7" s="56"/>
      <c r="CSC7" s="105"/>
      <c r="CSJ7" s="56"/>
      <c r="CSK7" s="105"/>
      <c r="CSR7" s="56"/>
      <c r="CSS7" s="105"/>
      <c r="CSZ7" s="56"/>
      <c r="CTA7" s="105"/>
      <c r="CTH7" s="56"/>
      <c r="CTI7" s="105"/>
      <c r="CTP7" s="56"/>
      <c r="CTQ7" s="105"/>
      <c r="CTX7" s="56"/>
      <c r="CTY7" s="105"/>
      <c r="CUF7" s="56"/>
      <c r="CUG7" s="105"/>
      <c r="CUN7" s="56"/>
      <c r="CUO7" s="105"/>
      <c r="CUV7" s="56"/>
      <c r="CUW7" s="105"/>
      <c r="CVD7" s="56"/>
      <c r="CVE7" s="105"/>
      <c r="CVL7" s="56"/>
      <c r="CVM7" s="105"/>
      <c r="CVT7" s="56"/>
      <c r="CVU7" s="105"/>
      <c r="CWB7" s="56"/>
      <c r="CWC7" s="105"/>
      <c r="CWJ7" s="56"/>
      <c r="CWK7" s="105"/>
      <c r="CWR7" s="56"/>
      <c r="CWS7" s="105"/>
      <c r="CWZ7" s="56"/>
      <c r="CXA7" s="105"/>
      <c r="CXH7" s="56"/>
      <c r="CXI7" s="105"/>
      <c r="CXP7" s="56"/>
      <c r="CXQ7" s="105"/>
      <c r="CXX7" s="56"/>
      <c r="CXY7" s="105"/>
      <c r="CYF7" s="56"/>
      <c r="CYG7" s="105"/>
      <c r="CYN7" s="56"/>
      <c r="CYO7" s="105"/>
      <c r="CYV7" s="56"/>
      <c r="CYW7" s="105"/>
      <c r="CZD7" s="56"/>
      <c r="CZE7" s="105"/>
      <c r="CZL7" s="56"/>
      <c r="CZM7" s="105"/>
      <c r="CZT7" s="56"/>
      <c r="CZU7" s="105"/>
      <c r="DAB7" s="56"/>
      <c r="DAC7" s="105"/>
      <c r="DAJ7" s="56"/>
      <c r="DAK7" s="105"/>
      <c r="DAR7" s="56"/>
      <c r="DAS7" s="105"/>
      <c r="DAZ7" s="56"/>
      <c r="DBA7" s="105"/>
      <c r="DBH7" s="56"/>
      <c r="DBI7" s="105"/>
      <c r="DBP7" s="56"/>
      <c r="DBQ7" s="105"/>
      <c r="DBX7" s="56"/>
      <c r="DBY7" s="105"/>
      <c r="DCF7" s="56"/>
      <c r="DCG7" s="105"/>
      <c r="DCN7" s="56"/>
      <c r="DCO7" s="105"/>
      <c r="DCV7" s="56"/>
      <c r="DCW7" s="105"/>
      <c r="DDD7" s="56"/>
      <c r="DDE7" s="105"/>
      <c r="DDL7" s="56"/>
      <c r="DDM7" s="105"/>
      <c r="DDT7" s="56"/>
      <c r="DDU7" s="105"/>
      <c r="DEB7" s="56"/>
      <c r="DEC7" s="105"/>
      <c r="DEJ7" s="56"/>
      <c r="DEK7" s="105"/>
      <c r="DER7" s="56"/>
      <c r="DES7" s="105"/>
      <c r="DEZ7" s="56"/>
      <c r="DFA7" s="105"/>
      <c r="DFH7" s="56"/>
      <c r="DFI7" s="105"/>
      <c r="DFP7" s="56"/>
      <c r="DFQ7" s="105"/>
      <c r="DFX7" s="56"/>
      <c r="DFY7" s="105"/>
      <c r="DGF7" s="56"/>
      <c r="DGG7" s="105"/>
      <c r="DGN7" s="56"/>
      <c r="DGO7" s="105"/>
      <c r="DGV7" s="56"/>
      <c r="DGW7" s="105"/>
      <c r="DHD7" s="56"/>
      <c r="DHE7" s="105"/>
      <c r="DHL7" s="56"/>
      <c r="DHM7" s="105"/>
      <c r="DHT7" s="56"/>
      <c r="DHU7" s="105"/>
      <c r="DIB7" s="56"/>
      <c r="DIC7" s="105"/>
      <c r="DIJ7" s="56"/>
      <c r="DIK7" s="105"/>
      <c r="DIR7" s="56"/>
      <c r="DIS7" s="105"/>
      <c r="DIZ7" s="56"/>
      <c r="DJA7" s="105"/>
      <c r="DJH7" s="56"/>
      <c r="DJI7" s="105"/>
      <c r="DJP7" s="56"/>
      <c r="DJQ7" s="105"/>
      <c r="DJX7" s="56"/>
      <c r="DJY7" s="105"/>
      <c r="DKF7" s="56"/>
      <c r="DKG7" s="105"/>
      <c r="DKN7" s="56"/>
      <c r="DKO7" s="105"/>
      <c r="DKV7" s="56"/>
      <c r="DKW7" s="105"/>
      <c r="DLD7" s="56"/>
      <c r="DLE7" s="105"/>
      <c r="DLL7" s="56"/>
      <c r="DLM7" s="105"/>
      <c r="DLT7" s="56"/>
      <c r="DLU7" s="105"/>
      <c r="DMB7" s="56"/>
      <c r="DMC7" s="105"/>
      <c r="DMJ7" s="56"/>
      <c r="DMK7" s="105"/>
      <c r="DMR7" s="56"/>
      <c r="DMS7" s="105"/>
      <c r="DMZ7" s="56"/>
      <c r="DNA7" s="105"/>
      <c r="DNH7" s="56"/>
      <c r="DNI7" s="105"/>
      <c r="DNP7" s="56"/>
      <c r="DNQ7" s="105"/>
      <c r="DNX7" s="56"/>
      <c r="DNY7" s="105"/>
      <c r="DOF7" s="56"/>
      <c r="DOG7" s="105"/>
      <c r="DON7" s="56"/>
      <c r="DOO7" s="105"/>
      <c r="DOV7" s="56"/>
      <c r="DOW7" s="105"/>
      <c r="DPD7" s="56"/>
      <c r="DPE7" s="105"/>
      <c r="DPL7" s="56"/>
      <c r="DPM7" s="105"/>
      <c r="DPT7" s="56"/>
      <c r="DPU7" s="105"/>
      <c r="DQB7" s="56"/>
      <c r="DQC7" s="105"/>
      <c r="DQJ7" s="56"/>
      <c r="DQK7" s="105"/>
      <c r="DQR7" s="56"/>
      <c r="DQS7" s="105"/>
      <c r="DQZ7" s="56"/>
      <c r="DRA7" s="105"/>
      <c r="DRH7" s="56"/>
      <c r="DRI7" s="105"/>
      <c r="DRP7" s="56"/>
      <c r="DRQ7" s="105"/>
      <c r="DRX7" s="56"/>
      <c r="DRY7" s="105"/>
      <c r="DSF7" s="56"/>
      <c r="DSG7" s="105"/>
      <c r="DSN7" s="56"/>
      <c r="DSO7" s="105"/>
      <c r="DSV7" s="56"/>
      <c r="DSW7" s="105"/>
      <c r="DTD7" s="56"/>
      <c r="DTE7" s="105"/>
      <c r="DTL7" s="56"/>
      <c r="DTM7" s="105"/>
      <c r="DTT7" s="56"/>
      <c r="DTU7" s="105"/>
      <c r="DUB7" s="56"/>
      <c r="DUC7" s="105"/>
      <c r="DUJ7" s="56"/>
      <c r="DUK7" s="105"/>
      <c r="DUR7" s="56"/>
      <c r="DUS7" s="105"/>
      <c r="DUZ7" s="56"/>
      <c r="DVA7" s="105"/>
      <c r="DVH7" s="56"/>
      <c r="DVI7" s="105"/>
      <c r="DVP7" s="56"/>
      <c r="DVQ7" s="105"/>
      <c r="DVX7" s="56"/>
      <c r="DVY7" s="105"/>
      <c r="DWF7" s="56"/>
      <c r="DWG7" s="105"/>
      <c r="DWN7" s="56"/>
      <c r="DWO7" s="105"/>
      <c r="DWV7" s="56"/>
      <c r="DWW7" s="105"/>
      <c r="DXD7" s="56"/>
      <c r="DXE7" s="105"/>
      <c r="DXL7" s="56"/>
      <c r="DXM7" s="105"/>
      <c r="DXT7" s="56"/>
      <c r="DXU7" s="105"/>
      <c r="DYB7" s="56"/>
      <c r="DYC7" s="105"/>
      <c r="DYJ7" s="56"/>
      <c r="DYK7" s="105"/>
      <c r="DYR7" s="56"/>
      <c r="DYS7" s="105"/>
      <c r="DYZ7" s="56"/>
      <c r="DZA7" s="105"/>
      <c r="DZH7" s="56"/>
      <c r="DZI7" s="105"/>
      <c r="DZP7" s="56"/>
      <c r="DZQ7" s="105"/>
      <c r="DZX7" s="56"/>
      <c r="DZY7" s="105"/>
      <c r="EAF7" s="56"/>
      <c r="EAG7" s="105"/>
      <c r="EAN7" s="56"/>
      <c r="EAO7" s="105"/>
      <c r="EAV7" s="56"/>
      <c r="EAW7" s="105"/>
      <c r="EBD7" s="56"/>
      <c r="EBE7" s="105"/>
      <c r="EBL7" s="56"/>
      <c r="EBM7" s="105"/>
      <c r="EBT7" s="56"/>
      <c r="EBU7" s="105"/>
      <c r="ECB7" s="56"/>
      <c r="ECC7" s="105"/>
      <c r="ECJ7" s="56"/>
      <c r="ECK7" s="105"/>
      <c r="ECR7" s="56"/>
      <c r="ECS7" s="105"/>
      <c r="ECZ7" s="56"/>
      <c r="EDA7" s="105"/>
      <c r="EDH7" s="56"/>
      <c r="EDI7" s="105"/>
      <c r="EDP7" s="56"/>
      <c r="EDQ7" s="105"/>
      <c r="EDX7" s="56"/>
      <c r="EDY7" s="105"/>
      <c r="EEF7" s="56"/>
      <c r="EEG7" s="105"/>
      <c r="EEN7" s="56"/>
      <c r="EEO7" s="105"/>
      <c r="EEV7" s="56"/>
      <c r="EEW7" s="105"/>
      <c r="EFD7" s="56"/>
      <c r="EFE7" s="105"/>
      <c r="EFL7" s="56"/>
      <c r="EFM7" s="105"/>
      <c r="EFT7" s="56"/>
      <c r="EFU7" s="105"/>
      <c r="EGB7" s="56"/>
      <c r="EGC7" s="105"/>
      <c r="EGJ7" s="56"/>
      <c r="EGK7" s="105"/>
      <c r="EGR7" s="56"/>
      <c r="EGS7" s="105"/>
      <c r="EGZ7" s="56"/>
      <c r="EHA7" s="105"/>
      <c r="EHH7" s="56"/>
      <c r="EHI7" s="105"/>
      <c r="EHP7" s="56"/>
      <c r="EHQ7" s="105"/>
      <c r="EHX7" s="56"/>
      <c r="EHY7" s="105"/>
      <c r="EIF7" s="56"/>
      <c r="EIG7" s="105"/>
      <c r="EIN7" s="56"/>
      <c r="EIO7" s="105"/>
      <c r="EIV7" s="56"/>
      <c r="EIW7" s="105"/>
      <c r="EJD7" s="56"/>
      <c r="EJE7" s="105"/>
      <c r="EJL7" s="56"/>
      <c r="EJM7" s="105"/>
      <c r="EJT7" s="56"/>
      <c r="EJU7" s="105"/>
      <c r="EKB7" s="56"/>
      <c r="EKC7" s="105"/>
      <c r="EKJ7" s="56"/>
      <c r="EKK7" s="105"/>
      <c r="EKR7" s="56"/>
      <c r="EKS7" s="105"/>
      <c r="EKZ7" s="56"/>
      <c r="ELA7" s="105"/>
      <c r="ELH7" s="56"/>
      <c r="ELI7" s="105"/>
      <c r="ELP7" s="56"/>
      <c r="ELQ7" s="105"/>
      <c r="ELX7" s="56"/>
      <c r="ELY7" s="105"/>
      <c r="EMF7" s="56"/>
      <c r="EMG7" s="105"/>
      <c r="EMN7" s="56"/>
      <c r="EMO7" s="105"/>
      <c r="EMV7" s="56"/>
      <c r="EMW7" s="105"/>
      <c r="END7" s="56"/>
      <c r="ENE7" s="105"/>
      <c r="ENL7" s="56"/>
      <c r="ENM7" s="105"/>
      <c r="ENT7" s="56"/>
      <c r="ENU7" s="105"/>
      <c r="EOB7" s="56"/>
      <c r="EOC7" s="105"/>
      <c r="EOJ7" s="56"/>
      <c r="EOK7" s="105"/>
      <c r="EOR7" s="56"/>
      <c r="EOS7" s="105"/>
      <c r="EOZ7" s="56"/>
      <c r="EPA7" s="105"/>
      <c r="EPH7" s="56"/>
      <c r="EPI7" s="105"/>
      <c r="EPP7" s="56"/>
      <c r="EPQ7" s="105"/>
      <c r="EPX7" s="56"/>
      <c r="EPY7" s="105"/>
      <c r="EQF7" s="56"/>
      <c r="EQG7" s="105"/>
      <c r="EQN7" s="56"/>
      <c r="EQO7" s="105"/>
      <c r="EQV7" s="56"/>
      <c r="EQW7" s="105"/>
      <c r="ERD7" s="56"/>
      <c r="ERE7" s="105"/>
      <c r="ERL7" s="56"/>
      <c r="ERM7" s="105"/>
      <c r="ERT7" s="56"/>
      <c r="ERU7" s="105"/>
      <c r="ESB7" s="56"/>
      <c r="ESC7" s="105"/>
      <c r="ESJ7" s="56"/>
      <c r="ESK7" s="105"/>
      <c r="ESR7" s="56"/>
      <c r="ESS7" s="105"/>
      <c r="ESZ7" s="56"/>
      <c r="ETA7" s="105"/>
      <c r="ETH7" s="56"/>
      <c r="ETI7" s="105"/>
      <c r="ETP7" s="56"/>
      <c r="ETQ7" s="105"/>
      <c r="ETX7" s="56"/>
      <c r="ETY7" s="105"/>
      <c r="EUF7" s="56"/>
      <c r="EUG7" s="105"/>
      <c r="EUN7" s="56"/>
      <c r="EUO7" s="105"/>
      <c r="EUV7" s="56"/>
      <c r="EUW7" s="105"/>
      <c r="EVD7" s="56"/>
      <c r="EVE7" s="105"/>
      <c r="EVL7" s="56"/>
      <c r="EVM7" s="105"/>
      <c r="EVT7" s="56"/>
      <c r="EVU7" s="105"/>
      <c r="EWB7" s="56"/>
      <c r="EWC7" s="105"/>
      <c r="EWJ7" s="56"/>
      <c r="EWK7" s="105"/>
      <c r="EWR7" s="56"/>
      <c r="EWS7" s="105"/>
      <c r="EWZ7" s="56"/>
      <c r="EXA7" s="105"/>
      <c r="EXH7" s="56"/>
      <c r="EXI7" s="105"/>
      <c r="EXP7" s="56"/>
      <c r="EXQ7" s="105"/>
      <c r="EXX7" s="56"/>
      <c r="EXY7" s="105"/>
      <c r="EYF7" s="56"/>
      <c r="EYG7" s="105"/>
      <c r="EYN7" s="56"/>
      <c r="EYO7" s="105"/>
      <c r="EYV7" s="56"/>
      <c r="EYW7" s="105"/>
      <c r="EZD7" s="56"/>
      <c r="EZE7" s="105"/>
      <c r="EZL7" s="56"/>
      <c r="EZM7" s="105"/>
      <c r="EZT7" s="56"/>
      <c r="EZU7" s="105"/>
      <c r="FAB7" s="56"/>
      <c r="FAC7" s="105"/>
      <c r="FAJ7" s="56"/>
      <c r="FAK7" s="105"/>
      <c r="FAR7" s="56"/>
      <c r="FAS7" s="105"/>
      <c r="FAZ7" s="56"/>
      <c r="FBA7" s="105"/>
      <c r="FBH7" s="56"/>
      <c r="FBI7" s="105"/>
      <c r="FBP7" s="56"/>
      <c r="FBQ7" s="105"/>
      <c r="FBX7" s="56"/>
      <c r="FBY7" s="105"/>
      <c r="FCF7" s="56"/>
      <c r="FCG7" s="105"/>
      <c r="FCN7" s="56"/>
      <c r="FCO7" s="105"/>
      <c r="FCV7" s="56"/>
      <c r="FCW7" s="105"/>
      <c r="FDD7" s="56"/>
      <c r="FDE7" s="105"/>
      <c r="FDL7" s="56"/>
      <c r="FDM7" s="105"/>
      <c r="FDT7" s="56"/>
      <c r="FDU7" s="105"/>
      <c r="FEB7" s="56"/>
      <c r="FEC7" s="105"/>
      <c r="FEJ7" s="56"/>
      <c r="FEK7" s="105"/>
      <c r="FER7" s="56"/>
      <c r="FES7" s="105"/>
      <c r="FEZ7" s="56"/>
      <c r="FFA7" s="105"/>
      <c r="FFH7" s="56"/>
      <c r="FFI7" s="105"/>
      <c r="FFP7" s="56"/>
      <c r="FFQ7" s="105"/>
      <c r="FFX7" s="56"/>
      <c r="FFY7" s="105"/>
      <c r="FGF7" s="56"/>
      <c r="FGG7" s="105"/>
      <c r="FGN7" s="56"/>
      <c r="FGO7" s="105"/>
      <c r="FGV7" s="56"/>
      <c r="FGW7" s="105"/>
      <c r="FHD7" s="56"/>
      <c r="FHE7" s="105"/>
      <c r="FHL7" s="56"/>
      <c r="FHM7" s="105"/>
      <c r="FHT7" s="56"/>
      <c r="FHU7" s="105"/>
      <c r="FIB7" s="56"/>
      <c r="FIC7" s="105"/>
      <c r="FIJ7" s="56"/>
      <c r="FIK7" s="105"/>
      <c r="FIR7" s="56"/>
      <c r="FIS7" s="105"/>
      <c r="FIZ7" s="56"/>
      <c r="FJA7" s="105"/>
      <c r="FJH7" s="56"/>
      <c r="FJI7" s="105"/>
      <c r="FJP7" s="56"/>
      <c r="FJQ7" s="105"/>
      <c r="FJX7" s="56"/>
      <c r="FJY7" s="105"/>
      <c r="FKF7" s="56"/>
      <c r="FKG7" s="105"/>
      <c r="FKN7" s="56"/>
      <c r="FKO7" s="105"/>
      <c r="FKV7" s="56"/>
      <c r="FKW7" s="105"/>
      <c r="FLD7" s="56"/>
      <c r="FLE7" s="105"/>
      <c r="FLL7" s="56"/>
      <c r="FLM7" s="105"/>
      <c r="FLT7" s="56"/>
      <c r="FLU7" s="105"/>
      <c r="FMB7" s="56"/>
      <c r="FMC7" s="105"/>
      <c r="FMJ7" s="56"/>
      <c r="FMK7" s="105"/>
      <c r="FMR7" s="56"/>
      <c r="FMS7" s="105"/>
      <c r="FMZ7" s="56"/>
      <c r="FNA7" s="105"/>
      <c r="FNH7" s="56"/>
      <c r="FNI7" s="105"/>
      <c r="FNP7" s="56"/>
      <c r="FNQ7" s="105"/>
      <c r="FNX7" s="56"/>
      <c r="FNY7" s="105"/>
      <c r="FOF7" s="56"/>
      <c r="FOG7" s="105"/>
      <c r="FON7" s="56"/>
      <c r="FOO7" s="105"/>
      <c r="FOV7" s="56"/>
      <c r="FOW7" s="105"/>
      <c r="FPD7" s="56"/>
      <c r="FPE7" s="105"/>
      <c r="FPL7" s="56"/>
      <c r="FPM7" s="105"/>
      <c r="FPT7" s="56"/>
      <c r="FPU7" s="105"/>
      <c r="FQB7" s="56"/>
      <c r="FQC7" s="105"/>
      <c r="FQJ7" s="56"/>
      <c r="FQK7" s="105"/>
      <c r="FQR7" s="56"/>
      <c r="FQS7" s="105"/>
      <c r="FQZ7" s="56"/>
      <c r="FRA7" s="105"/>
      <c r="FRH7" s="56"/>
      <c r="FRI7" s="105"/>
      <c r="FRP7" s="56"/>
      <c r="FRQ7" s="105"/>
      <c r="FRX7" s="56"/>
      <c r="FRY7" s="105"/>
      <c r="FSF7" s="56"/>
      <c r="FSG7" s="105"/>
      <c r="FSN7" s="56"/>
      <c r="FSO7" s="105"/>
      <c r="FSV7" s="56"/>
      <c r="FSW7" s="105"/>
      <c r="FTD7" s="56"/>
      <c r="FTE7" s="105"/>
      <c r="FTL7" s="56"/>
      <c r="FTM7" s="105"/>
      <c r="FTT7" s="56"/>
      <c r="FTU7" s="105"/>
      <c r="FUB7" s="56"/>
      <c r="FUC7" s="105"/>
      <c r="FUJ7" s="56"/>
      <c r="FUK7" s="105"/>
      <c r="FUR7" s="56"/>
      <c r="FUS7" s="105"/>
      <c r="FUZ7" s="56"/>
      <c r="FVA7" s="105"/>
      <c r="FVH7" s="56"/>
      <c r="FVI7" s="105"/>
      <c r="FVP7" s="56"/>
      <c r="FVQ7" s="105"/>
      <c r="FVX7" s="56"/>
      <c r="FVY7" s="105"/>
      <c r="FWF7" s="56"/>
      <c r="FWG7" s="105"/>
      <c r="FWN7" s="56"/>
      <c r="FWO7" s="105"/>
      <c r="FWV7" s="56"/>
      <c r="FWW7" s="105"/>
      <c r="FXD7" s="56"/>
      <c r="FXE7" s="105"/>
      <c r="FXL7" s="56"/>
      <c r="FXM7" s="105"/>
      <c r="FXT7" s="56"/>
      <c r="FXU7" s="105"/>
      <c r="FYB7" s="56"/>
      <c r="FYC7" s="105"/>
      <c r="FYJ7" s="56"/>
      <c r="FYK7" s="105"/>
      <c r="FYR7" s="56"/>
      <c r="FYS7" s="105"/>
      <c r="FYZ7" s="56"/>
      <c r="FZA7" s="105"/>
      <c r="FZH7" s="56"/>
      <c r="FZI7" s="105"/>
      <c r="FZP7" s="56"/>
      <c r="FZQ7" s="105"/>
      <c r="FZX7" s="56"/>
      <c r="FZY7" s="105"/>
      <c r="GAF7" s="56"/>
      <c r="GAG7" s="105"/>
      <c r="GAN7" s="56"/>
      <c r="GAO7" s="105"/>
      <c r="GAV7" s="56"/>
      <c r="GAW7" s="105"/>
      <c r="GBD7" s="56"/>
      <c r="GBE7" s="105"/>
      <c r="GBL7" s="56"/>
      <c r="GBM7" s="105"/>
      <c r="GBT7" s="56"/>
      <c r="GBU7" s="105"/>
      <c r="GCB7" s="56"/>
      <c r="GCC7" s="105"/>
      <c r="GCJ7" s="56"/>
      <c r="GCK7" s="105"/>
      <c r="GCR7" s="56"/>
      <c r="GCS7" s="105"/>
      <c r="GCZ7" s="56"/>
      <c r="GDA7" s="105"/>
      <c r="GDH7" s="56"/>
      <c r="GDI7" s="105"/>
      <c r="GDP7" s="56"/>
      <c r="GDQ7" s="105"/>
      <c r="GDX7" s="56"/>
      <c r="GDY7" s="105"/>
      <c r="GEF7" s="56"/>
      <c r="GEG7" s="105"/>
      <c r="GEN7" s="56"/>
      <c r="GEO7" s="105"/>
      <c r="GEV7" s="56"/>
      <c r="GEW7" s="105"/>
      <c r="GFD7" s="56"/>
      <c r="GFE7" s="105"/>
      <c r="GFL7" s="56"/>
      <c r="GFM7" s="105"/>
      <c r="GFT7" s="56"/>
      <c r="GFU7" s="105"/>
      <c r="GGB7" s="56"/>
      <c r="GGC7" s="105"/>
      <c r="GGJ7" s="56"/>
      <c r="GGK7" s="105"/>
      <c r="GGR7" s="56"/>
      <c r="GGS7" s="105"/>
      <c r="GGZ7" s="56"/>
      <c r="GHA7" s="105"/>
      <c r="GHH7" s="56"/>
      <c r="GHI7" s="105"/>
      <c r="GHP7" s="56"/>
      <c r="GHQ7" s="105"/>
      <c r="GHX7" s="56"/>
      <c r="GHY7" s="105"/>
      <c r="GIF7" s="56"/>
      <c r="GIG7" s="105"/>
      <c r="GIN7" s="56"/>
      <c r="GIO7" s="105"/>
      <c r="GIV7" s="56"/>
      <c r="GIW7" s="105"/>
      <c r="GJD7" s="56"/>
      <c r="GJE7" s="105"/>
      <c r="GJL7" s="56"/>
      <c r="GJM7" s="105"/>
      <c r="GJT7" s="56"/>
      <c r="GJU7" s="105"/>
      <c r="GKB7" s="56"/>
      <c r="GKC7" s="105"/>
      <c r="GKJ7" s="56"/>
      <c r="GKK7" s="105"/>
      <c r="GKR7" s="56"/>
      <c r="GKS7" s="105"/>
      <c r="GKZ7" s="56"/>
      <c r="GLA7" s="105"/>
      <c r="GLH7" s="56"/>
      <c r="GLI7" s="105"/>
      <c r="GLP7" s="56"/>
      <c r="GLQ7" s="105"/>
      <c r="GLX7" s="56"/>
      <c r="GLY7" s="105"/>
      <c r="GMF7" s="56"/>
      <c r="GMG7" s="105"/>
      <c r="GMN7" s="56"/>
      <c r="GMO7" s="105"/>
      <c r="GMV7" s="56"/>
      <c r="GMW7" s="105"/>
      <c r="GND7" s="56"/>
      <c r="GNE7" s="105"/>
      <c r="GNL7" s="56"/>
      <c r="GNM7" s="105"/>
      <c r="GNT7" s="56"/>
      <c r="GNU7" s="105"/>
      <c r="GOB7" s="56"/>
      <c r="GOC7" s="105"/>
      <c r="GOJ7" s="56"/>
      <c r="GOK7" s="105"/>
      <c r="GOR7" s="56"/>
      <c r="GOS7" s="105"/>
      <c r="GOZ7" s="56"/>
      <c r="GPA7" s="105"/>
      <c r="GPH7" s="56"/>
      <c r="GPI7" s="105"/>
      <c r="GPP7" s="56"/>
      <c r="GPQ7" s="105"/>
      <c r="GPX7" s="56"/>
      <c r="GPY7" s="105"/>
      <c r="GQF7" s="56"/>
      <c r="GQG7" s="105"/>
      <c r="GQN7" s="56"/>
      <c r="GQO7" s="105"/>
      <c r="GQV7" s="56"/>
      <c r="GQW7" s="105"/>
      <c r="GRD7" s="56"/>
      <c r="GRE7" s="105"/>
      <c r="GRL7" s="56"/>
      <c r="GRM7" s="105"/>
      <c r="GRT7" s="56"/>
      <c r="GRU7" s="105"/>
      <c r="GSB7" s="56"/>
      <c r="GSC7" s="105"/>
      <c r="GSJ7" s="56"/>
      <c r="GSK7" s="105"/>
      <c r="GSR7" s="56"/>
      <c r="GSS7" s="105"/>
      <c r="GSZ7" s="56"/>
      <c r="GTA7" s="105"/>
      <c r="GTH7" s="56"/>
      <c r="GTI7" s="105"/>
      <c r="GTP7" s="56"/>
      <c r="GTQ7" s="105"/>
      <c r="GTX7" s="56"/>
      <c r="GTY7" s="105"/>
      <c r="GUF7" s="56"/>
      <c r="GUG7" s="105"/>
      <c r="GUN7" s="56"/>
      <c r="GUO7" s="105"/>
      <c r="GUV7" s="56"/>
      <c r="GUW7" s="105"/>
      <c r="GVD7" s="56"/>
      <c r="GVE7" s="105"/>
      <c r="GVL7" s="56"/>
      <c r="GVM7" s="105"/>
      <c r="GVT7" s="56"/>
      <c r="GVU7" s="105"/>
      <c r="GWB7" s="56"/>
      <c r="GWC7" s="105"/>
      <c r="GWJ7" s="56"/>
      <c r="GWK7" s="105"/>
      <c r="GWR7" s="56"/>
      <c r="GWS7" s="105"/>
      <c r="GWZ7" s="56"/>
      <c r="GXA7" s="105"/>
      <c r="GXH7" s="56"/>
      <c r="GXI7" s="105"/>
      <c r="GXP7" s="56"/>
      <c r="GXQ7" s="105"/>
      <c r="GXX7" s="56"/>
      <c r="GXY7" s="105"/>
      <c r="GYF7" s="56"/>
      <c r="GYG7" s="105"/>
      <c r="GYN7" s="56"/>
      <c r="GYO7" s="105"/>
      <c r="GYV7" s="56"/>
      <c r="GYW7" s="105"/>
      <c r="GZD7" s="56"/>
      <c r="GZE7" s="105"/>
      <c r="GZL7" s="56"/>
      <c r="GZM7" s="105"/>
      <c r="GZT7" s="56"/>
      <c r="GZU7" s="105"/>
      <c r="HAB7" s="56"/>
      <c r="HAC7" s="105"/>
      <c r="HAJ7" s="56"/>
      <c r="HAK7" s="105"/>
      <c r="HAR7" s="56"/>
      <c r="HAS7" s="105"/>
      <c r="HAZ7" s="56"/>
      <c r="HBA7" s="105"/>
      <c r="HBH7" s="56"/>
      <c r="HBI7" s="105"/>
      <c r="HBP7" s="56"/>
      <c r="HBQ7" s="105"/>
      <c r="HBX7" s="56"/>
      <c r="HBY7" s="105"/>
      <c r="HCF7" s="56"/>
      <c r="HCG7" s="105"/>
      <c r="HCN7" s="56"/>
      <c r="HCO7" s="105"/>
      <c r="HCV7" s="56"/>
      <c r="HCW7" s="105"/>
      <c r="HDD7" s="56"/>
      <c r="HDE7" s="105"/>
      <c r="HDL7" s="56"/>
      <c r="HDM7" s="105"/>
      <c r="HDT7" s="56"/>
      <c r="HDU7" s="105"/>
      <c r="HEB7" s="56"/>
      <c r="HEC7" s="105"/>
      <c r="HEJ7" s="56"/>
      <c r="HEK7" s="105"/>
      <c r="HER7" s="56"/>
      <c r="HES7" s="105"/>
      <c r="HEZ7" s="56"/>
      <c r="HFA7" s="105"/>
      <c r="HFH7" s="56"/>
      <c r="HFI7" s="105"/>
      <c r="HFP7" s="56"/>
      <c r="HFQ7" s="105"/>
      <c r="HFX7" s="56"/>
      <c r="HFY7" s="105"/>
      <c r="HGF7" s="56"/>
      <c r="HGG7" s="105"/>
      <c r="HGN7" s="56"/>
      <c r="HGO7" s="105"/>
      <c r="HGV7" s="56"/>
      <c r="HGW7" s="105"/>
      <c r="HHD7" s="56"/>
      <c r="HHE7" s="105"/>
      <c r="HHL7" s="56"/>
      <c r="HHM7" s="105"/>
      <c r="HHT7" s="56"/>
      <c r="HHU7" s="105"/>
      <c r="HIB7" s="56"/>
      <c r="HIC7" s="105"/>
      <c r="HIJ7" s="56"/>
      <c r="HIK7" s="105"/>
      <c r="HIR7" s="56"/>
      <c r="HIS7" s="105"/>
      <c r="HIZ7" s="56"/>
      <c r="HJA7" s="105"/>
      <c r="HJH7" s="56"/>
      <c r="HJI7" s="105"/>
      <c r="HJP7" s="56"/>
      <c r="HJQ7" s="105"/>
      <c r="HJX7" s="56"/>
      <c r="HJY7" s="105"/>
      <c r="HKF7" s="56"/>
      <c r="HKG7" s="105"/>
      <c r="HKN7" s="56"/>
      <c r="HKO7" s="105"/>
      <c r="HKV7" s="56"/>
      <c r="HKW7" s="105"/>
      <c r="HLD7" s="56"/>
      <c r="HLE7" s="105"/>
      <c r="HLL7" s="56"/>
      <c r="HLM7" s="105"/>
      <c r="HLT7" s="56"/>
      <c r="HLU7" s="105"/>
      <c r="HMB7" s="56"/>
      <c r="HMC7" s="105"/>
      <c r="HMJ7" s="56"/>
      <c r="HMK7" s="105"/>
      <c r="HMR7" s="56"/>
      <c r="HMS7" s="105"/>
      <c r="HMZ7" s="56"/>
      <c r="HNA7" s="105"/>
      <c r="HNH7" s="56"/>
      <c r="HNI7" s="105"/>
      <c r="HNP7" s="56"/>
      <c r="HNQ7" s="105"/>
      <c r="HNX7" s="56"/>
      <c r="HNY7" s="105"/>
      <c r="HOF7" s="56"/>
      <c r="HOG7" s="105"/>
      <c r="HON7" s="56"/>
      <c r="HOO7" s="105"/>
      <c r="HOV7" s="56"/>
      <c r="HOW7" s="105"/>
      <c r="HPD7" s="56"/>
      <c r="HPE7" s="105"/>
      <c r="HPL7" s="56"/>
      <c r="HPM7" s="105"/>
      <c r="HPT7" s="56"/>
      <c r="HPU7" s="105"/>
      <c r="HQB7" s="56"/>
      <c r="HQC7" s="105"/>
      <c r="HQJ7" s="56"/>
      <c r="HQK7" s="105"/>
      <c r="HQR7" s="56"/>
      <c r="HQS7" s="105"/>
      <c r="HQZ7" s="56"/>
      <c r="HRA7" s="105"/>
      <c r="HRH7" s="56"/>
      <c r="HRI7" s="105"/>
      <c r="HRP7" s="56"/>
      <c r="HRQ7" s="105"/>
      <c r="HRX7" s="56"/>
      <c r="HRY7" s="105"/>
      <c r="HSF7" s="56"/>
      <c r="HSG7" s="105"/>
      <c r="HSN7" s="56"/>
      <c r="HSO7" s="105"/>
      <c r="HSV7" s="56"/>
      <c r="HSW7" s="105"/>
      <c r="HTD7" s="56"/>
      <c r="HTE7" s="105"/>
      <c r="HTL7" s="56"/>
      <c r="HTM7" s="105"/>
      <c r="HTT7" s="56"/>
      <c r="HTU7" s="105"/>
      <c r="HUB7" s="56"/>
      <c r="HUC7" s="105"/>
      <c r="HUJ7" s="56"/>
      <c r="HUK7" s="105"/>
      <c r="HUR7" s="56"/>
      <c r="HUS7" s="105"/>
      <c r="HUZ7" s="56"/>
      <c r="HVA7" s="105"/>
      <c r="HVH7" s="56"/>
      <c r="HVI7" s="105"/>
      <c r="HVP7" s="56"/>
      <c r="HVQ7" s="105"/>
      <c r="HVX7" s="56"/>
      <c r="HVY7" s="105"/>
      <c r="HWF7" s="56"/>
      <c r="HWG7" s="105"/>
      <c r="HWN7" s="56"/>
      <c r="HWO7" s="105"/>
      <c r="HWV7" s="56"/>
      <c r="HWW7" s="105"/>
      <c r="HXD7" s="56"/>
      <c r="HXE7" s="105"/>
      <c r="HXL7" s="56"/>
      <c r="HXM7" s="105"/>
      <c r="HXT7" s="56"/>
      <c r="HXU7" s="105"/>
      <c r="HYB7" s="56"/>
      <c r="HYC7" s="105"/>
      <c r="HYJ7" s="56"/>
      <c r="HYK7" s="105"/>
      <c r="HYR7" s="56"/>
      <c r="HYS7" s="105"/>
      <c r="HYZ7" s="56"/>
      <c r="HZA7" s="105"/>
      <c r="HZH7" s="56"/>
      <c r="HZI7" s="105"/>
      <c r="HZP7" s="56"/>
      <c r="HZQ7" s="105"/>
      <c r="HZX7" s="56"/>
      <c r="HZY7" s="105"/>
      <c r="IAF7" s="56"/>
      <c r="IAG7" s="105"/>
      <c r="IAN7" s="56"/>
      <c r="IAO7" s="105"/>
      <c r="IAV7" s="56"/>
      <c r="IAW7" s="105"/>
      <c r="IBD7" s="56"/>
      <c r="IBE7" s="105"/>
      <c r="IBL7" s="56"/>
      <c r="IBM7" s="105"/>
      <c r="IBT7" s="56"/>
      <c r="IBU7" s="105"/>
      <c r="ICB7" s="56"/>
      <c r="ICC7" s="105"/>
      <c r="ICJ7" s="56"/>
      <c r="ICK7" s="105"/>
      <c r="ICR7" s="56"/>
      <c r="ICS7" s="105"/>
      <c r="ICZ7" s="56"/>
      <c r="IDA7" s="105"/>
      <c r="IDH7" s="56"/>
      <c r="IDI7" s="105"/>
      <c r="IDP7" s="56"/>
      <c r="IDQ7" s="105"/>
      <c r="IDX7" s="56"/>
      <c r="IDY7" s="105"/>
      <c r="IEF7" s="56"/>
      <c r="IEG7" s="105"/>
      <c r="IEN7" s="56"/>
      <c r="IEO7" s="105"/>
      <c r="IEV7" s="56"/>
      <c r="IEW7" s="105"/>
      <c r="IFD7" s="56"/>
      <c r="IFE7" s="105"/>
      <c r="IFL7" s="56"/>
      <c r="IFM7" s="105"/>
      <c r="IFT7" s="56"/>
      <c r="IFU7" s="105"/>
      <c r="IGB7" s="56"/>
      <c r="IGC7" s="105"/>
      <c r="IGJ7" s="56"/>
      <c r="IGK7" s="105"/>
      <c r="IGR7" s="56"/>
      <c r="IGS7" s="105"/>
      <c r="IGZ7" s="56"/>
      <c r="IHA7" s="105"/>
      <c r="IHH7" s="56"/>
      <c r="IHI7" s="105"/>
      <c r="IHP7" s="56"/>
      <c r="IHQ7" s="105"/>
      <c r="IHX7" s="56"/>
      <c r="IHY7" s="105"/>
      <c r="IIF7" s="56"/>
      <c r="IIG7" s="105"/>
      <c r="IIN7" s="56"/>
      <c r="IIO7" s="105"/>
      <c r="IIV7" s="56"/>
      <c r="IIW7" s="105"/>
      <c r="IJD7" s="56"/>
      <c r="IJE7" s="105"/>
      <c r="IJL7" s="56"/>
      <c r="IJM7" s="105"/>
      <c r="IJT7" s="56"/>
      <c r="IJU7" s="105"/>
      <c r="IKB7" s="56"/>
      <c r="IKC7" s="105"/>
      <c r="IKJ7" s="56"/>
      <c r="IKK7" s="105"/>
      <c r="IKR7" s="56"/>
      <c r="IKS7" s="105"/>
      <c r="IKZ7" s="56"/>
      <c r="ILA7" s="105"/>
      <c r="ILH7" s="56"/>
      <c r="ILI7" s="105"/>
      <c r="ILP7" s="56"/>
      <c r="ILQ7" s="105"/>
      <c r="ILX7" s="56"/>
      <c r="ILY7" s="105"/>
      <c r="IMF7" s="56"/>
      <c r="IMG7" s="105"/>
      <c r="IMN7" s="56"/>
      <c r="IMO7" s="105"/>
      <c r="IMV7" s="56"/>
      <c r="IMW7" s="105"/>
      <c r="IND7" s="56"/>
      <c r="INE7" s="105"/>
      <c r="INL7" s="56"/>
      <c r="INM7" s="105"/>
      <c r="INT7" s="56"/>
      <c r="INU7" s="105"/>
      <c r="IOB7" s="56"/>
      <c r="IOC7" s="105"/>
      <c r="IOJ7" s="56"/>
      <c r="IOK7" s="105"/>
      <c r="IOR7" s="56"/>
      <c r="IOS7" s="105"/>
      <c r="IOZ7" s="56"/>
      <c r="IPA7" s="105"/>
      <c r="IPH7" s="56"/>
      <c r="IPI7" s="105"/>
      <c r="IPP7" s="56"/>
      <c r="IPQ7" s="105"/>
      <c r="IPX7" s="56"/>
      <c r="IPY7" s="105"/>
      <c r="IQF7" s="56"/>
      <c r="IQG7" s="105"/>
      <c r="IQN7" s="56"/>
      <c r="IQO7" s="105"/>
      <c r="IQV7" s="56"/>
      <c r="IQW7" s="105"/>
      <c r="IRD7" s="56"/>
      <c r="IRE7" s="105"/>
      <c r="IRL7" s="56"/>
      <c r="IRM7" s="105"/>
      <c r="IRT7" s="56"/>
      <c r="IRU7" s="105"/>
      <c r="ISB7" s="56"/>
      <c r="ISC7" s="105"/>
      <c r="ISJ7" s="56"/>
      <c r="ISK7" s="105"/>
      <c r="ISR7" s="56"/>
      <c r="ISS7" s="105"/>
      <c r="ISZ7" s="56"/>
      <c r="ITA7" s="105"/>
      <c r="ITH7" s="56"/>
      <c r="ITI7" s="105"/>
      <c r="ITP7" s="56"/>
      <c r="ITQ7" s="105"/>
      <c r="ITX7" s="56"/>
      <c r="ITY7" s="105"/>
      <c r="IUF7" s="56"/>
      <c r="IUG7" s="105"/>
      <c r="IUN7" s="56"/>
      <c r="IUO7" s="105"/>
      <c r="IUV7" s="56"/>
      <c r="IUW7" s="105"/>
      <c r="IVD7" s="56"/>
      <c r="IVE7" s="105"/>
      <c r="IVL7" s="56"/>
      <c r="IVM7" s="105"/>
      <c r="IVT7" s="56"/>
      <c r="IVU7" s="105"/>
      <c r="IWB7" s="56"/>
      <c r="IWC7" s="105"/>
      <c r="IWJ7" s="56"/>
      <c r="IWK7" s="105"/>
      <c r="IWR7" s="56"/>
      <c r="IWS7" s="105"/>
      <c r="IWZ7" s="56"/>
      <c r="IXA7" s="105"/>
      <c r="IXH7" s="56"/>
      <c r="IXI7" s="105"/>
      <c r="IXP7" s="56"/>
      <c r="IXQ7" s="105"/>
      <c r="IXX7" s="56"/>
      <c r="IXY7" s="105"/>
      <c r="IYF7" s="56"/>
      <c r="IYG7" s="105"/>
      <c r="IYN7" s="56"/>
      <c r="IYO7" s="105"/>
      <c r="IYV7" s="56"/>
      <c r="IYW7" s="105"/>
      <c r="IZD7" s="56"/>
      <c r="IZE7" s="105"/>
      <c r="IZL7" s="56"/>
      <c r="IZM7" s="105"/>
      <c r="IZT7" s="56"/>
      <c r="IZU7" s="105"/>
      <c r="JAB7" s="56"/>
      <c r="JAC7" s="105"/>
      <c r="JAJ7" s="56"/>
      <c r="JAK7" s="105"/>
      <c r="JAR7" s="56"/>
      <c r="JAS7" s="105"/>
      <c r="JAZ7" s="56"/>
      <c r="JBA7" s="105"/>
      <c r="JBH7" s="56"/>
      <c r="JBI7" s="105"/>
      <c r="JBP7" s="56"/>
      <c r="JBQ7" s="105"/>
      <c r="JBX7" s="56"/>
      <c r="JBY7" s="105"/>
      <c r="JCF7" s="56"/>
      <c r="JCG7" s="105"/>
      <c r="JCN7" s="56"/>
      <c r="JCO7" s="105"/>
      <c r="JCV7" s="56"/>
      <c r="JCW7" s="105"/>
      <c r="JDD7" s="56"/>
      <c r="JDE7" s="105"/>
      <c r="JDL7" s="56"/>
      <c r="JDM7" s="105"/>
      <c r="JDT7" s="56"/>
      <c r="JDU7" s="105"/>
      <c r="JEB7" s="56"/>
      <c r="JEC7" s="105"/>
      <c r="JEJ7" s="56"/>
      <c r="JEK7" s="105"/>
      <c r="JER7" s="56"/>
      <c r="JES7" s="105"/>
      <c r="JEZ7" s="56"/>
      <c r="JFA7" s="105"/>
      <c r="JFH7" s="56"/>
      <c r="JFI7" s="105"/>
      <c r="JFP7" s="56"/>
      <c r="JFQ7" s="105"/>
      <c r="JFX7" s="56"/>
      <c r="JFY7" s="105"/>
      <c r="JGF7" s="56"/>
      <c r="JGG7" s="105"/>
      <c r="JGN7" s="56"/>
      <c r="JGO7" s="105"/>
      <c r="JGV7" s="56"/>
      <c r="JGW7" s="105"/>
      <c r="JHD7" s="56"/>
      <c r="JHE7" s="105"/>
      <c r="JHL7" s="56"/>
      <c r="JHM7" s="105"/>
      <c r="JHT7" s="56"/>
      <c r="JHU7" s="105"/>
      <c r="JIB7" s="56"/>
      <c r="JIC7" s="105"/>
      <c r="JIJ7" s="56"/>
      <c r="JIK7" s="105"/>
      <c r="JIR7" s="56"/>
      <c r="JIS7" s="105"/>
      <c r="JIZ7" s="56"/>
      <c r="JJA7" s="105"/>
      <c r="JJH7" s="56"/>
      <c r="JJI7" s="105"/>
      <c r="JJP7" s="56"/>
      <c r="JJQ7" s="105"/>
      <c r="JJX7" s="56"/>
      <c r="JJY7" s="105"/>
      <c r="JKF7" s="56"/>
      <c r="JKG7" s="105"/>
      <c r="JKN7" s="56"/>
      <c r="JKO7" s="105"/>
      <c r="JKV7" s="56"/>
      <c r="JKW7" s="105"/>
      <c r="JLD7" s="56"/>
      <c r="JLE7" s="105"/>
      <c r="JLL7" s="56"/>
      <c r="JLM7" s="105"/>
      <c r="JLT7" s="56"/>
      <c r="JLU7" s="105"/>
      <c r="JMB7" s="56"/>
      <c r="JMC7" s="105"/>
      <c r="JMJ7" s="56"/>
      <c r="JMK7" s="105"/>
      <c r="JMR7" s="56"/>
      <c r="JMS7" s="105"/>
      <c r="JMZ7" s="56"/>
      <c r="JNA7" s="105"/>
      <c r="JNH7" s="56"/>
      <c r="JNI7" s="105"/>
      <c r="JNP7" s="56"/>
      <c r="JNQ7" s="105"/>
      <c r="JNX7" s="56"/>
      <c r="JNY7" s="105"/>
      <c r="JOF7" s="56"/>
      <c r="JOG7" s="105"/>
      <c r="JON7" s="56"/>
      <c r="JOO7" s="105"/>
      <c r="JOV7" s="56"/>
      <c r="JOW7" s="105"/>
      <c r="JPD7" s="56"/>
      <c r="JPE7" s="105"/>
      <c r="JPL7" s="56"/>
      <c r="JPM7" s="105"/>
      <c r="JPT7" s="56"/>
      <c r="JPU7" s="105"/>
      <c r="JQB7" s="56"/>
      <c r="JQC7" s="105"/>
      <c r="JQJ7" s="56"/>
      <c r="JQK7" s="105"/>
      <c r="JQR7" s="56"/>
      <c r="JQS7" s="105"/>
      <c r="JQZ7" s="56"/>
      <c r="JRA7" s="105"/>
      <c r="JRH7" s="56"/>
      <c r="JRI7" s="105"/>
      <c r="JRP7" s="56"/>
      <c r="JRQ7" s="105"/>
      <c r="JRX7" s="56"/>
      <c r="JRY7" s="105"/>
      <c r="JSF7" s="56"/>
      <c r="JSG7" s="105"/>
      <c r="JSN7" s="56"/>
      <c r="JSO7" s="105"/>
      <c r="JSV7" s="56"/>
      <c r="JSW7" s="105"/>
      <c r="JTD7" s="56"/>
      <c r="JTE7" s="105"/>
      <c r="JTL7" s="56"/>
      <c r="JTM7" s="105"/>
      <c r="JTT7" s="56"/>
      <c r="JTU7" s="105"/>
      <c r="JUB7" s="56"/>
      <c r="JUC7" s="105"/>
      <c r="JUJ7" s="56"/>
      <c r="JUK7" s="105"/>
      <c r="JUR7" s="56"/>
      <c r="JUS7" s="105"/>
      <c r="JUZ7" s="56"/>
      <c r="JVA7" s="105"/>
      <c r="JVH7" s="56"/>
      <c r="JVI7" s="105"/>
      <c r="JVP7" s="56"/>
      <c r="JVQ7" s="105"/>
      <c r="JVX7" s="56"/>
      <c r="JVY7" s="105"/>
      <c r="JWF7" s="56"/>
      <c r="JWG7" s="105"/>
      <c r="JWN7" s="56"/>
      <c r="JWO7" s="105"/>
      <c r="JWV7" s="56"/>
      <c r="JWW7" s="105"/>
      <c r="JXD7" s="56"/>
      <c r="JXE7" s="105"/>
      <c r="JXL7" s="56"/>
      <c r="JXM7" s="105"/>
      <c r="JXT7" s="56"/>
      <c r="JXU7" s="105"/>
      <c r="JYB7" s="56"/>
      <c r="JYC7" s="105"/>
      <c r="JYJ7" s="56"/>
      <c r="JYK7" s="105"/>
      <c r="JYR7" s="56"/>
      <c r="JYS7" s="105"/>
      <c r="JYZ7" s="56"/>
      <c r="JZA7" s="105"/>
      <c r="JZH7" s="56"/>
      <c r="JZI7" s="105"/>
      <c r="JZP7" s="56"/>
      <c r="JZQ7" s="105"/>
      <c r="JZX7" s="56"/>
      <c r="JZY7" s="105"/>
      <c r="KAF7" s="56"/>
      <c r="KAG7" s="105"/>
      <c r="KAN7" s="56"/>
      <c r="KAO7" s="105"/>
      <c r="KAV7" s="56"/>
      <c r="KAW7" s="105"/>
      <c r="KBD7" s="56"/>
      <c r="KBE7" s="105"/>
      <c r="KBL7" s="56"/>
      <c r="KBM7" s="105"/>
      <c r="KBT7" s="56"/>
      <c r="KBU7" s="105"/>
      <c r="KCB7" s="56"/>
      <c r="KCC7" s="105"/>
      <c r="KCJ7" s="56"/>
      <c r="KCK7" s="105"/>
      <c r="KCR7" s="56"/>
      <c r="KCS7" s="105"/>
      <c r="KCZ7" s="56"/>
      <c r="KDA7" s="105"/>
      <c r="KDH7" s="56"/>
      <c r="KDI7" s="105"/>
      <c r="KDP7" s="56"/>
      <c r="KDQ7" s="105"/>
      <c r="KDX7" s="56"/>
      <c r="KDY7" s="105"/>
      <c r="KEF7" s="56"/>
      <c r="KEG7" s="105"/>
      <c r="KEN7" s="56"/>
      <c r="KEO7" s="105"/>
      <c r="KEV7" s="56"/>
      <c r="KEW7" s="105"/>
      <c r="KFD7" s="56"/>
      <c r="KFE7" s="105"/>
      <c r="KFL7" s="56"/>
      <c r="KFM7" s="105"/>
      <c r="KFT7" s="56"/>
      <c r="KFU7" s="105"/>
      <c r="KGB7" s="56"/>
      <c r="KGC7" s="105"/>
      <c r="KGJ7" s="56"/>
      <c r="KGK7" s="105"/>
      <c r="KGR7" s="56"/>
      <c r="KGS7" s="105"/>
      <c r="KGZ7" s="56"/>
      <c r="KHA7" s="105"/>
      <c r="KHH7" s="56"/>
      <c r="KHI7" s="105"/>
      <c r="KHP7" s="56"/>
      <c r="KHQ7" s="105"/>
      <c r="KHX7" s="56"/>
      <c r="KHY7" s="105"/>
      <c r="KIF7" s="56"/>
      <c r="KIG7" s="105"/>
      <c r="KIN7" s="56"/>
      <c r="KIO7" s="105"/>
      <c r="KIV7" s="56"/>
      <c r="KIW7" s="105"/>
      <c r="KJD7" s="56"/>
      <c r="KJE7" s="105"/>
      <c r="KJL7" s="56"/>
      <c r="KJM7" s="105"/>
      <c r="KJT7" s="56"/>
      <c r="KJU7" s="105"/>
      <c r="KKB7" s="56"/>
      <c r="KKC7" s="105"/>
      <c r="KKJ7" s="56"/>
      <c r="KKK7" s="105"/>
      <c r="KKR7" s="56"/>
      <c r="KKS7" s="105"/>
      <c r="KKZ7" s="56"/>
      <c r="KLA7" s="105"/>
      <c r="KLH7" s="56"/>
      <c r="KLI7" s="105"/>
      <c r="KLP7" s="56"/>
      <c r="KLQ7" s="105"/>
      <c r="KLX7" s="56"/>
      <c r="KLY7" s="105"/>
      <c r="KMF7" s="56"/>
      <c r="KMG7" s="105"/>
      <c r="KMN7" s="56"/>
      <c r="KMO7" s="105"/>
      <c r="KMV7" s="56"/>
      <c r="KMW7" s="105"/>
      <c r="KND7" s="56"/>
      <c r="KNE7" s="105"/>
      <c r="KNL7" s="56"/>
      <c r="KNM7" s="105"/>
      <c r="KNT7" s="56"/>
      <c r="KNU7" s="105"/>
      <c r="KOB7" s="56"/>
      <c r="KOC7" s="105"/>
      <c r="KOJ7" s="56"/>
      <c r="KOK7" s="105"/>
      <c r="KOR7" s="56"/>
      <c r="KOS7" s="105"/>
      <c r="KOZ7" s="56"/>
      <c r="KPA7" s="105"/>
      <c r="KPH7" s="56"/>
      <c r="KPI7" s="105"/>
      <c r="KPP7" s="56"/>
      <c r="KPQ7" s="105"/>
      <c r="KPX7" s="56"/>
      <c r="KPY7" s="105"/>
      <c r="KQF7" s="56"/>
      <c r="KQG7" s="105"/>
      <c r="KQN7" s="56"/>
      <c r="KQO7" s="105"/>
      <c r="KQV7" s="56"/>
      <c r="KQW7" s="105"/>
      <c r="KRD7" s="56"/>
      <c r="KRE7" s="105"/>
      <c r="KRL7" s="56"/>
      <c r="KRM7" s="105"/>
      <c r="KRT7" s="56"/>
      <c r="KRU7" s="105"/>
      <c r="KSB7" s="56"/>
      <c r="KSC7" s="105"/>
      <c r="KSJ7" s="56"/>
      <c r="KSK7" s="105"/>
      <c r="KSR7" s="56"/>
      <c r="KSS7" s="105"/>
      <c r="KSZ7" s="56"/>
      <c r="KTA7" s="105"/>
      <c r="KTH7" s="56"/>
      <c r="KTI7" s="105"/>
      <c r="KTP7" s="56"/>
      <c r="KTQ7" s="105"/>
      <c r="KTX7" s="56"/>
      <c r="KTY7" s="105"/>
      <c r="KUF7" s="56"/>
      <c r="KUG7" s="105"/>
      <c r="KUN7" s="56"/>
      <c r="KUO7" s="105"/>
      <c r="KUV7" s="56"/>
      <c r="KUW7" s="105"/>
      <c r="KVD7" s="56"/>
      <c r="KVE7" s="105"/>
      <c r="KVL7" s="56"/>
      <c r="KVM7" s="105"/>
      <c r="KVT7" s="56"/>
      <c r="KVU7" s="105"/>
      <c r="KWB7" s="56"/>
      <c r="KWC7" s="105"/>
      <c r="KWJ7" s="56"/>
      <c r="KWK7" s="105"/>
      <c r="KWR7" s="56"/>
      <c r="KWS7" s="105"/>
      <c r="KWZ7" s="56"/>
      <c r="KXA7" s="105"/>
      <c r="KXH7" s="56"/>
      <c r="KXI7" s="105"/>
      <c r="KXP7" s="56"/>
      <c r="KXQ7" s="105"/>
      <c r="KXX7" s="56"/>
      <c r="KXY7" s="105"/>
      <c r="KYF7" s="56"/>
      <c r="KYG7" s="105"/>
      <c r="KYN7" s="56"/>
      <c r="KYO7" s="105"/>
      <c r="KYV7" s="56"/>
      <c r="KYW7" s="105"/>
      <c r="KZD7" s="56"/>
      <c r="KZE7" s="105"/>
      <c r="KZL7" s="56"/>
      <c r="KZM7" s="105"/>
      <c r="KZT7" s="56"/>
      <c r="KZU7" s="105"/>
      <c r="LAB7" s="56"/>
      <c r="LAC7" s="105"/>
      <c r="LAJ7" s="56"/>
      <c r="LAK7" s="105"/>
      <c r="LAR7" s="56"/>
      <c r="LAS7" s="105"/>
      <c r="LAZ7" s="56"/>
      <c r="LBA7" s="105"/>
      <c r="LBH7" s="56"/>
      <c r="LBI7" s="105"/>
      <c r="LBP7" s="56"/>
      <c r="LBQ7" s="105"/>
      <c r="LBX7" s="56"/>
      <c r="LBY7" s="105"/>
      <c r="LCF7" s="56"/>
      <c r="LCG7" s="105"/>
      <c r="LCN7" s="56"/>
      <c r="LCO7" s="105"/>
      <c r="LCV7" s="56"/>
      <c r="LCW7" s="105"/>
      <c r="LDD7" s="56"/>
      <c r="LDE7" s="105"/>
      <c r="LDL7" s="56"/>
      <c r="LDM7" s="105"/>
      <c r="LDT7" s="56"/>
      <c r="LDU7" s="105"/>
      <c r="LEB7" s="56"/>
      <c r="LEC7" s="105"/>
      <c r="LEJ7" s="56"/>
      <c r="LEK7" s="105"/>
      <c r="LER7" s="56"/>
      <c r="LES7" s="105"/>
      <c r="LEZ7" s="56"/>
      <c r="LFA7" s="105"/>
      <c r="LFH7" s="56"/>
      <c r="LFI7" s="105"/>
      <c r="LFP7" s="56"/>
      <c r="LFQ7" s="105"/>
      <c r="LFX7" s="56"/>
      <c r="LFY7" s="105"/>
      <c r="LGF7" s="56"/>
      <c r="LGG7" s="105"/>
      <c r="LGN7" s="56"/>
      <c r="LGO7" s="105"/>
      <c r="LGV7" s="56"/>
      <c r="LGW7" s="105"/>
      <c r="LHD7" s="56"/>
      <c r="LHE7" s="105"/>
      <c r="LHL7" s="56"/>
      <c r="LHM7" s="105"/>
      <c r="LHT7" s="56"/>
      <c r="LHU7" s="105"/>
      <c r="LIB7" s="56"/>
      <c r="LIC7" s="105"/>
      <c r="LIJ7" s="56"/>
      <c r="LIK7" s="105"/>
      <c r="LIR7" s="56"/>
      <c r="LIS7" s="105"/>
      <c r="LIZ7" s="56"/>
      <c r="LJA7" s="105"/>
      <c r="LJH7" s="56"/>
      <c r="LJI7" s="105"/>
      <c r="LJP7" s="56"/>
      <c r="LJQ7" s="105"/>
      <c r="LJX7" s="56"/>
      <c r="LJY7" s="105"/>
      <c r="LKF7" s="56"/>
      <c r="LKG7" s="105"/>
      <c r="LKN7" s="56"/>
      <c r="LKO7" s="105"/>
      <c r="LKV7" s="56"/>
      <c r="LKW7" s="105"/>
      <c r="LLD7" s="56"/>
      <c r="LLE7" s="105"/>
      <c r="LLL7" s="56"/>
      <c r="LLM7" s="105"/>
      <c r="LLT7" s="56"/>
      <c r="LLU7" s="105"/>
      <c r="LMB7" s="56"/>
      <c r="LMC7" s="105"/>
      <c r="LMJ7" s="56"/>
      <c r="LMK7" s="105"/>
      <c r="LMR7" s="56"/>
      <c r="LMS7" s="105"/>
      <c r="LMZ7" s="56"/>
      <c r="LNA7" s="105"/>
      <c r="LNH7" s="56"/>
      <c r="LNI7" s="105"/>
      <c r="LNP7" s="56"/>
      <c r="LNQ7" s="105"/>
      <c r="LNX7" s="56"/>
      <c r="LNY7" s="105"/>
      <c r="LOF7" s="56"/>
      <c r="LOG7" s="105"/>
      <c r="LON7" s="56"/>
      <c r="LOO7" s="105"/>
      <c r="LOV7" s="56"/>
      <c r="LOW7" s="105"/>
      <c r="LPD7" s="56"/>
      <c r="LPE7" s="105"/>
      <c r="LPL7" s="56"/>
      <c r="LPM7" s="105"/>
      <c r="LPT7" s="56"/>
      <c r="LPU7" s="105"/>
      <c r="LQB7" s="56"/>
      <c r="LQC7" s="105"/>
      <c r="LQJ7" s="56"/>
      <c r="LQK7" s="105"/>
      <c r="LQR7" s="56"/>
      <c r="LQS7" s="105"/>
      <c r="LQZ7" s="56"/>
      <c r="LRA7" s="105"/>
      <c r="LRH7" s="56"/>
      <c r="LRI7" s="105"/>
      <c r="LRP7" s="56"/>
      <c r="LRQ7" s="105"/>
      <c r="LRX7" s="56"/>
      <c r="LRY7" s="105"/>
      <c r="LSF7" s="56"/>
      <c r="LSG7" s="105"/>
      <c r="LSN7" s="56"/>
      <c r="LSO7" s="105"/>
      <c r="LSV7" s="56"/>
      <c r="LSW7" s="105"/>
      <c r="LTD7" s="56"/>
      <c r="LTE7" s="105"/>
      <c r="LTL7" s="56"/>
      <c r="LTM7" s="105"/>
      <c r="LTT7" s="56"/>
      <c r="LTU7" s="105"/>
      <c r="LUB7" s="56"/>
      <c r="LUC7" s="105"/>
      <c r="LUJ7" s="56"/>
      <c r="LUK7" s="105"/>
      <c r="LUR7" s="56"/>
      <c r="LUS7" s="105"/>
      <c r="LUZ7" s="56"/>
      <c r="LVA7" s="105"/>
      <c r="LVH7" s="56"/>
      <c r="LVI7" s="105"/>
      <c r="LVP7" s="56"/>
      <c r="LVQ7" s="105"/>
      <c r="LVX7" s="56"/>
      <c r="LVY7" s="105"/>
      <c r="LWF7" s="56"/>
      <c r="LWG7" s="105"/>
      <c r="LWN7" s="56"/>
      <c r="LWO7" s="105"/>
      <c r="LWV7" s="56"/>
      <c r="LWW7" s="105"/>
      <c r="LXD7" s="56"/>
      <c r="LXE7" s="105"/>
      <c r="LXL7" s="56"/>
      <c r="LXM7" s="105"/>
      <c r="LXT7" s="56"/>
      <c r="LXU7" s="105"/>
      <c r="LYB7" s="56"/>
      <c r="LYC7" s="105"/>
      <c r="LYJ7" s="56"/>
      <c r="LYK7" s="105"/>
      <c r="LYR7" s="56"/>
      <c r="LYS7" s="105"/>
      <c r="LYZ7" s="56"/>
      <c r="LZA7" s="105"/>
      <c r="LZH7" s="56"/>
      <c r="LZI7" s="105"/>
      <c r="LZP7" s="56"/>
      <c r="LZQ7" s="105"/>
      <c r="LZX7" s="56"/>
      <c r="LZY7" s="105"/>
      <c r="MAF7" s="56"/>
      <c r="MAG7" s="105"/>
      <c r="MAN7" s="56"/>
      <c r="MAO7" s="105"/>
      <c r="MAV7" s="56"/>
      <c r="MAW7" s="105"/>
      <c r="MBD7" s="56"/>
      <c r="MBE7" s="105"/>
      <c r="MBL7" s="56"/>
      <c r="MBM7" s="105"/>
      <c r="MBT7" s="56"/>
      <c r="MBU7" s="105"/>
      <c r="MCB7" s="56"/>
      <c r="MCC7" s="105"/>
      <c r="MCJ7" s="56"/>
      <c r="MCK7" s="105"/>
      <c r="MCR7" s="56"/>
      <c r="MCS7" s="105"/>
      <c r="MCZ7" s="56"/>
      <c r="MDA7" s="105"/>
      <c r="MDH7" s="56"/>
      <c r="MDI7" s="105"/>
      <c r="MDP7" s="56"/>
      <c r="MDQ7" s="105"/>
      <c r="MDX7" s="56"/>
      <c r="MDY7" s="105"/>
      <c r="MEF7" s="56"/>
      <c r="MEG7" s="105"/>
      <c r="MEN7" s="56"/>
      <c r="MEO7" s="105"/>
      <c r="MEV7" s="56"/>
      <c r="MEW7" s="105"/>
      <c r="MFD7" s="56"/>
      <c r="MFE7" s="105"/>
      <c r="MFL7" s="56"/>
      <c r="MFM7" s="105"/>
      <c r="MFT7" s="56"/>
      <c r="MFU7" s="105"/>
      <c r="MGB7" s="56"/>
      <c r="MGC7" s="105"/>
      <c r="MGJ7" s="56"/>
      <c r="MGK7" s="105"/>
      <c r="MGR7" s="56"/>
      <c r="MGS7" s="105"/>
      <c r="MGZ7" s="56"/>
      <c r="MHA7" s="105"/>
      <c r="MHH7" s="56"/>
      <c r="MHI7" s="105"/>
      <c r="MHP7" s="56"/>
      <c r="MHQ7" s="105"/>
      <c r="MHX7" s="56"/>
      <c r="MHY7" s="105"/>
      <c r="MIF7" s="56"/>
      <c r="MIG7" s="105"/>
      <c r="MIN7" s="56"/>
      <c r="MIO7" s="105"/>
      <c r="MIV7" s="56"/>
      <c r="MIW7" s="105"/>
      <c r="MJD7" s="56"/>
      <c r="MJE7" s="105"/>
      <c r="MJL7" s="56"/>
      <c r="MJM7" s="105"/>
      <c r="MJT7" s="56"/>
      <c r="MJU7" s="105"/>
      <c r="MKB7" s="56"/>
      <c r="MKC7" s="105"/>
      <c r="MKJ7" s="56"/>
      <c r="MKK7" s="105"/>
      <c r="MKR7" s="56"/>
      <c r="MKS7" s="105"/>
      <c r="MKZ7" s="56"/>
      <c r="MLA7" s="105"/>
      <c r="MLH7" s="56"/>
      <c r="MLI7" s="105"/>
      <c r="MLP7" s="56"/>
      <c r="MLQ7" s="105"/>
      <c r="MLX7" s="56"/>
      <c r="MLY7" s="105"/>
      <c r="MMF7" s="56"/>
      <c r="MMG7" s="105"/>
      <c r="MMN7" s="56"/>
      <c r="MMO7" s="105"/>
      <c r="MMV7" s="56"/>
      <c r="MMW7" s="105"/>
      <c r="MND7" s="56"/>
      <c r="MNE7" s="105"/>
      <c r="MNL7" s="56"/>
      <c r="MNM7" s="105"/>
      <c r="MNT7" s="56"/>
      <c r="MNU7" s="105"/>
      <c r="MOB7" s="56"/>
      <c r="MOC7" s="105"/>
      <c r="MOJ7" s="56"/>
      <c r="MOK7" s="105"/>
      <c r="MOR7" s="56"/>
      <c r="MOS7" s="105"/>
      <c r="MOZ7" s="56"/>
      <c r="MPA7" s="105"/>
      <c r="MPH7" s="56"/>
      <c r="MPI7" s="105"/>
      <c r="MPP7" s="56"/>
      <c r="MPQ7" s="105"/>
      <c r="MPX7" s="56"/>
      <c r="MPY7" s="105"/>
      <c r="MQF7" s="56"/>
      <c r="MQG7" s="105"/>
      <c r="MQN7" s="56"/>
      <c r="MQO7" s="105"/>
      <c r="MQV7" s="56"/>
      <c r="MQW7" s="105"/>
      <c r="MRD7" s="56"/>
      <c r="MRE7" s="105"/>
      <c r="MRL7" s="56"/>
      <c r="MRM7" s="105"/>
      <c r="MRT7" s="56"/>
      <c r="MRU7" s="105"/>
      <c r="MSB7" s="56"/>
      <c r="MSC7" s="105"/>
      <c r="MSJ7" s="56"/>
      <c r="MSK7" s="105"/>
      <c r="MSR7" s="56"/>
      <c r="MSS7" s="105"/>
      <c r="MSZ7" s="56"/>
      <c r="MTA7" s="105"/>
      <c r="MTH7" s="56"/>
      <c r="MTI7" s="105"/>
      <c r="MTP7" s="56"/>
      <c r="MTQ7" s="105"/>
      <c r="MTX7" s="56"/>
      <c r="MTY7" s="105"/>
      <c r="MUF7" s="56"/>
      <c r="MUG7" s="105"/>
      <c r="MUN7" s="56"/>
      <c r="MUO7" s="105"/>
      <c r="MUV7" s="56"/>
      <c r="MUW7" s="105"/>
      <c r="MVD7" s="56"/>
      <c r="MVE7" s="105"/>
      <c r="MVL7" s="56"/>
      <c r="MVM7" s="105"/>
      <c r="MVT7" s="56"/>
      <c r="MVU7" s="105"/>
      <c r="MWB7" s="56"/>
      <c r="MWC7" s="105"/>
      <c r="MWJ7" s="56"/>
      <c r="MWK7" s="105"/>
      <c r="MWR7" s="56"/>
      <c r="MWS7" s="105"/>
      <c r="MWZ7" s="56"/>
      <c r="MXA7" s="105"/>
      <c r="MXH7" s="56"/>
      <c r="MXI7" s="105"/>
      <c r="MXP7" s="56"/>
      <c r="MXQ7" s="105"/>
      <c r="MXX7" s="56"/>
      <c r="MXY7" s="105"/>
      <c r="MYF7" s="56"/>
      <c r="MYG7" s="105"/>
      <c r="MYN7" s="56"/>
      <c r="MYO7" s="105"/>
      <c r="MYV7" s="56"/>
      <c r="MYW7" s="105"/>
      <c r="MZD7" s="56"/>
      <c r="MZE7" s="105"/>
      <c r="MZL7" s="56"/>
      <c r="MZM7" s="105"/>
      <c r="MZT7" s="56"/>
      <c r="MZU7" s="105"/>
      <c r="NAB7" s="56"/>
      <c r="NAC7" s="105"/>
      <c r="NAJ7" s="56"/>
      <c r="NAK7" s="105"/>
      <c r="NAR7" s="56"/>
      <c r="NAS7" s="105"/>
      <c r="NAZ7" s="56"/>
      <c r="NBA7" s="105"/>
      <c r="NBH7" s="56"/>
      <c r="NBI7" s="105"/>
      <c r="NBP7" s="56"/>
      <c r="NBQ7" s="105"/>
      <c r="NBX7" s="56"/>
      <c r="NBY7" s="105"/>
      <c r="NCF7" s="56"/>
      <c r="NCG7" s="105"/>
      <c r="NCN7" s="56"/>
      <c r="NCO7" s="105"/>
      <c r="NCV7" s="56"/>
      <c r="NCW7" s="105"/>
      <c r="NDD7" s="56"/>
      <c r="NDE7" s="105"/>
      <c r="NDL7" s="56"/>
      <c r="NDM7" s="105"/>
      <c r="NDT7" s="56"/>
      <c r="NDU7" s="105"/>
      <c r="NEB7" s="56"/>
      <c r="NEC7" s="105"/>
      <c r="NEJ7" s="56"/>
      <c r="NEK7" s="105"/>
      <c r="NER7" s="56"/>
      <c r="NES7" s="105"/>
      <c r="NEZ7" s="56"/>
      <c r="NFA7" s="105"/>
      <c r="NFH7" s="56"/>
      <c r="NFI7" s="105"/>
      <c r="NFP7" s="56"/>
      <c r="NFQ7" s="105"/>
      <c r="NFX7" s="56"/>
      <c r="NFY7" s="105"/>
      <c r="NGF7" s="56"/>
      <c r="NGG7" s="105"/>
      <c r="NGN7" s="56"/>
      <c r="NGO7" s="105"/>
      <c r="NGV7" s="56"/>
      <c r="NGW7" s="105"/>
      <c r="NHD7" s="56"/>
      <c r="NHE7" s="105"/>
      <c r="NHL7" s="56"/>
      <c r="NHM7" s="105"/>
      <c r="NHT7" s="56"/>
      <c r="NHU7" s="105"/>
      <c r="NIB7" s="56"/>
      <c r="NIC7" s="105"/>
      <c r="NIJ7" s="56"/>
      <c r="NIK7" s="105"/>
      <c r="NIR7" s="56"/>
      <c r="NIS7" s="105"/>
      <c r="NIZ7" s="56"/>
      <c r="NJA7" s="105"/>
      <c r="NJH7" s="56"/>
      <c r="NJI7" s="105"/>
      <c r="NJP7" s="56"/>
      <c r="NJQ7" s="105"/>
      <c r="NJX7" s="56"/>
      <c r="NJY7" s="105"/>
      <c r="NKF7" s="56"/>
      <c r="NKG7" s="105"/>
      <c r="NKN7" s="56"/>
      <c r="NKO7" s="105"/>
      <c r="NKV7" s="56"/>
      <c r="NKW7" s="105"/>
      <c r="NLD7" s="56"/>
      <c r="NLE7" s="105"/>
      <c r="NLL7" s="56"/>
      <c r="NLM7" s="105"/>
      <c r="NLT7" s="56"/>
      <c r="NLU7" s="105"/>
      <c r="NMB7" s="56"/>
      <c r="NMC7" s="105"/>
      <c r="NMJ7" s="56"/>
      <c r="NMK7" s="105"/>
      <c r="NMR7" s="56"/>
      <c r="NMS7" s="105"/>
      <c r="NMZ7" s="56"/>
      <c r="NNA7" s="105"/>
      <c r="NNH7" s="56"/>
      <c r="NNI7" s="105"/>
      <c r="NNP7" s="56"/>
      <c r="NNQ7" s="105"/>
      <c r="NNX7" s="56"/>
      <c r="NNY7" s="105"/>
      <c r="NOF7" s="56"/>
      <c r="NOG7" s="105"/>
      <c r="NON7" s="56"/>
      <c r="NOO7" s="105"/>
      <c r="NOV7" s="56"/>
      <c r="NOW7" s="105"/>
      <c r="NPD7" s="56"/>
      <c r="NPE7" s="105"/>
      <c r="NPL7" s="56"/>
      <c r="NPM7" s="105"/>
      <c r="NPT7" s="56"/>
      <c r="NPU7" s="105"/>
      <c r="NQB7" s="56"/>
      <c r="NQC7" s="105"/>
      <c r="NQJ7" s="56"/>
      <c r="NQK7" s="105"/>
      <c r="NQR7" s="56"/>
      <c r="NQS7" s="105"/>
      <c r="NQZ7" s="56"/>
      <c r="NRA7" s="105"/>
      <c r="NRH7" s="56"/>
      <c r="NRI7" s="105"/>
      <c r="NRP7" s="56"/>
      <c r="NRQ7" s="105"/>
      <c r="NRX7" s="56"/>
      <c r="NRY7" s="105"/>
      <c r="NSF7" s="56"/>
      <c r="NSG7" s="105"/>
      <c r="NSN7" s="56"/>
      <c r="NSO7" s="105"/>
      <c r="NSV7" s="56"/>
      <c r="NSW7" s="105"/>
      <c r="NTD7" s="56"/>
      <c r="NTE7" s="105"/>
      <c r="NTL7" s="56"/>
      <c r="NTM7" s="105"/>
      <c r="NTT7" s="56"/>
      <c r="NTU7" s="105"/>
      <c r="NUB7" s="56"/>
      <c r="NUC7" s="105"/>
      <c r="NUJ7" s="56"/>
      <c r="NUK7" s="105"/>
      <c r="NUR7" s="56"/>
      <c r="NUS7" s="105"/>
      <c r="NUZ7" s="56"/>
      <c r="NVA7" s="105"/>
      <c r="NVH7" s="56"/>
      <c r="NVI7" s="105"/>
      <c r="NVP7" s="56"/>
      <c r="NVQ7" s="105"/>
      <c r="NVX7" s="56"/>
      <c r="NVY7" s="105"/>
      <c r="NWF7" s="56"/>
      <c r="NWG7" s="105"/>
      <c r="NWN7" s="56"/>
      <c r="NWO7" s="105"/>
      <c r="NWV7" s="56"/>
      <c r="NWW7" s="105"/>
      <c r="NXD7" s="56"/>
      <c r="NXE7" s="105"/>
      <c r="NXL7" s="56"/>
      <c r="NXM7" s="105"/>
      <c r="NXT7" s="56"/>
      <c r="NXU7" s="105"/>
      <c r="NYB7" s="56"/>
      <c r="NYC7" s="105"/>
      <c r="NYJ7" s="56"/>
      <c r="NYK7" s="105"/>
      <c r="NYR7" s="56"/>
      <c r="NYS7" s="105"/>
      <c r="NYZ7" s="56"/>
      <c r="NZA7" s="105"/>
      <c r="NZH7" s="56"/>
      <c r="NZI7" s="105"/>
      <c r="NZP7" s="56"/>
      <c r="NZQ7" s="105"/>
      <c r="NZX7" s="56"/>
      <c r="NZY7" s="105"/>
      <c r="OAF7" s="56"/>
      <c r="OAG7" s="105"/>
      <c r="OAN7" s="56"/>
      <c r="OAO7" s="105"/>
      <c r="OAV7" s="56"/>
      <c r="OAW7" s="105"/>
      <c r="OBD7" s="56"/>
      <c r="OBE7" s="105"/>
      <c r="OBL7" s="56"/>
      <c r="OBM7" s="105"/>
      <c r="OBT7" s="56"/>
      <c r="OBU7" s="105"/>
      <c r="OCB7" s="56"/>
      <c r="OCC7" s="105"/>
      <c r="OCJ7" s="56"/>
      <c r="OCK7" s="105"/>
      <c r="OCR7" s="56"/>
      <c r="OCS7" s="105"/>
      <c r="OCZ7" s="56"/>
      <c r="ODA7" s="105"/>
      <c r="ODH7" s="56"/>
      <c r="ODI7" s="105"/>
      <c r="ODP7" s="56"/>
      <c r="ODQ7" s="105"/>
      <c r="ODX7" s="56"/>
      <c r="ODY7" s="105"/>
      <c r="OEF7" s="56"/>
      <c r="OEG7" s="105"/>
      <c r="OEN7" s="56"/>
      <c r="OEO7" s="105"/>
      <c r="OEV7" s="56"/>
      <c r="OEW7" s="105"/>
      <c r="OFD7" s="56"/>
      <c r="OFE7" s="105"/>
      <c r="OFL7" s="56"/>
      <c r="OFM7" s="105"/>
      <c r="OFT7" s="56"/>
      <c r="OFU7" s="105"/>
      <c r="OGB7" s="56"/>
      <c r="OGC7" s="105"/>
      <c r="OGJ7" s="56"/>
      <c r="OGK7" s="105"/>
      <c r="OGR7" s="56"/>
      <c r="OGS7" s="105"/>
      <c r="OGZ7" s="56"/>
      <c r="OHA7" s="105"/>
      <c r="OHH7" s="56"/>
      <c r="OHI7" s="105"/>
      <c r="OHP7" s="56"/>
      <c r="OHQ7" s="105"/>
      <c r="OHX7" s="56"/>
      <c r="OHY7" s="105"/>
      <c r="OIF7" s="56"/>
      <c r="OIG7" s="105"/>
      <c r="OIN7" s="56"/>
      <c r="OIO7" s="105"/>
      <c r="OIV7" s="56"/>
      <c r="OIW7" s="105"/>
      <c r="OJD7" s="56"/>
      <c r="OJE7" s="105"/>
      <c r="OJL7" s="56"/>
      <c r="OJM7" s="105"/>
      <c r="OJT7" s="56"/>
      <c r="OJU7" s="105"/>
      <c r="OKB7" s="56"/>
      <c r="OKC7" s="105"/>
      <c r="OKJ7" s="56"/>
      <c r="OKK7" s="105"/>
      <c r="OKR7" s="56"/>
      <c r="OKS7" s="105"/>
      <c r="OKZ7" s="56"/>
      <c r="OLA7" s="105"/>
      <c r="OLH7" s="56"/>
      <c r="OLI7" s="105"/>
      <c r="OLP7" s="56"/>
      <c r="OLQ7" s="105"/>
      <c r="OLX7" s="56"/>
      <c r="OLY7" s="105"/>
      <c r="OMF7" s="56"/>
      <c r="OMG7" s="105"/>
      <c r="OMN7" s="56"/>
      <c r="OMO7" s="105"/>
      <c r="OMV7" s="56"/>
      <c r="OMW7" s="105"/>
      <c r="OND7" s="56"/>
      <c r="ONE7" s="105"/>
      <c r="ONL7" s="56"/>
      <c r="ONM7" s="105"/>
      <c r="ONT7" s="56"/>
      <c r="ONU7" s="105"/>
      <c r="OOB7" s="56"/>
      <c r="OOC7" s="105"/>
      <c r="OOJ7" s="56"/>
      <c r="OOK7" s="105"/>
      <c r="OOR7" s="56"/>
      <c r="OOS7" s="105"/>
      <c r="OOZ7" s="56"/>
      <c r="OPA7" s="105"/>
      <c r="OPH7" s="56"/>
      <c r="OPI7" s="105"/>
      <c r="OPP7" s="56"/>
      <c r="OPQ7" s="105"/>
      <c r="OPX7" s="56"/>
      <c r="OPY7" s="105"/>
      <c r="OQF7" s="56"/>
      <c r="OQG7" s="105"/>
      <c r="OQN7" s="56"/>
      <c r="OQO7" s="105"/>
      <c r="OQV7" s="56"/>
      <c r="OQW7" s="105"/>
      <c r="ORD7" s="56"/>
      <c r="ORE7" s="105"/>
      <c r="ORL7" s="56"/>
      <c r="ORM7" s="105"/>
      <c r="ORT7" s="56"/>
      <c r="ORU7" s="105"/>
      <c r="OSB7" s="56"/>
      <c r="OSC7" s="105"/>
      <c r="OSJ7" s="56"/>
      <c r="OSK7" s="105"/>
      <c r="OSR7" s="56"/>
      <c r="OSS7" s="105"/>
      <c r="OSZ7" s="56"/>
      <c r="OTA7" s="105"/>
      <c r="OTH7" s="56"/>
      <c r="OTI7" s="105"/>
      <c r="OTP7" s="56"/>
      <c r="OTQ7" s="105"/>
      <c r="OTX7" s="56"/>
      <c r="OTY7" s="105"/>
      <c r="OUF7" s="56"/>
      <c r="OUG7" s="105"/>
      <c r="OUN7" s="56"/>
      <c r="OUO7" s="105"/>
      <c r="OUV7" s="56"/>
      <c r="OUW7" s="105"/>
      <c r="OVD7" s="56"/>
      <c r="OVE7" s="105"/>
      <c r="OVL7" s="56"/>
      <c r="OVM7" s="105"/>
      <c r="OVT7" s="56"/>
      <c r="OVU7" s="105"/>
      <c r="OWB7" s="56"/>
      <c r="OWC7" s="105"/>
      <c r="OWJ7" s="56"/>
      <c r="OWK7" s="105"/>
      <c r="OWR7" s="56"/>
      <c r="OWS7" s="105"/>
      <c r="OWZ7" s="56"/>
      <c r="OXA7" s="105"/>
      <c r="OXH7" s="56"/>
      <c r="OXI7" s="105"/>
      <c r="OXP7" s="56"/>
      <c r="OXQ7" s="105"/>
      <c r="OXX7" s="56"/>
      <c r="OXY7" s="105"/>
      <c r="OYF7" s="56"/>
      <c r="OYG7" s="105"/>
      <c r="OYN7" s="56"/>
      <c r="OYO7" s="105"/>
      <c r="OYV7" s="56"/>
      <c r="OYW7" s="105"/>
      <c r="OZD7" s="56"/>
      <c r="OZE7" s="105"/>
      <c r="OZL7" s="56"/>
      <c r="OZM7" s="105"/>
      <c r="OZT7" s="56"/>
      <c r="OZU7" s="105"/>
      <c r="PAB7" s="56"/>
      <c r="PAC7" s="105"/>
      <c r="PAJ7" s="56"/>
      <c r="PAK7" s="105"/>
      <c r="PAR7" s="56"/>
      <c r="PAS7" s="105"/>
      <c r="PAZ7" s="56"/>
      <c r="PBA7" s="105"/>
      <c r="PBH7" s="56"/>
      <c r="PBI7" s="105"/>
      <c r="PBP7" s="56"/>
      <c r="PBQ7" s="105"/>
      <c r="PBX7" s="56"/>
      <c r="PBY7" s="105"/>
      <c r="PCF7" s="56"/>
      <c r="PCG7" s="105"/>
      <c r="PCN7" s="56"/>
      <c r="PCO7" s="105"/>
      <c r="PCV7" s="56"/>
      <c r="PCW7" s="105"/>
      <c r="PDD7" s="56"/>
      <c r="PDE7" s="105"/>
      <c r="PDL7" s="56"/>
      <c r="PDM7" s="105"/>
      <c r="PDT7" s="56"/>
      <c r="PDU7" s="105"/>
      <c r="PEB7" s="56"/>
      <c r="PEC7" s="105"/>
      <c r="PEJ7" s="56"/>
      <c r="PEK7" s="105"/>
      <c r="PER7" s="56"/>
      <c r="PES7" s="105"/>
      <c r="PEZ7" s="56"/>
      <c r="PFA7" s="105"/>
      <c r="PFH7" s="56"/>
      <c r="PFI7" s="105"/>
      <c r="PFP7" s="56"/>
      <c r="PFQ7" s="105"/>
      <c r="PFX7" s="56"/>
      <c r="PFY7" s="105"/>
      <c r="PGF7" s="56"/>
      <c r="PGG7" s="105"/>
      <c r="PGN7" s="56"/>
      <c r="PGO7" s="105"/>
      <c r="PGV7" s="56"/>
      <c r="PGW7" s="105"/>
      <c r="PHD7" s="56"/>
      <c r="PHE7" s="105"/>
      <c r="PHL7" s="56"/>
      <c r="PHM7" s="105"/>
      <c r="PHT7" s="56"/>
      <c r="PHU7" s="105"/>
      <c r="PIB7" s="56"/>
      <c r="PIC7" s="105"/>
      <c r="PIJ7" s="56"/>
      <c r="PIK7" s="105"/>
      <c r="PIR7" s="56"/>
      <c r="PIS7" s="105"/>
      <c r="PIZ7" s="56"/>
      <c r="PJA7" s="105"/>
      <c r="PJH7" s="56"/>
      <c r="PJI7" s="105"/>
      <c r="PJP7" s="56"/>
      <c r="PJQ7" s="105"/>
      <c r="PJX7" s="56"/>
      <c r="PJY7" s="105"/>
      <c r="PKF7" s="56"/>
      <c r="PKG7" s="105"/>
      <c r="PKN7" s="56"/>
      <c r="PKO7" s="105"/>
      <c r="PKV7" s="56"/>
      <c r="PKW7" s="105"/>
      <c r="PLD7" s="56"/>
      <c r="PLE7" s="105"/>
      <c r="PLL7" s="56"/>
      <c r="PLM7" s="105"/>
      <c r="PLT7" s="56"/>
      <c r="PLU7" s="105"/>
      <c r="PMB7" s="56"/>
      <c r="PMC7" s="105"/>
      <c r="PMJ7" s="56"/>
      <c r="PMK7" s="105"/>
      <c r="PMR7" s="56"/>
      <c r="PMS7" s="105"/>
      <c r="PMZ7" s="56"/>
      <c r="PNA7" s="105"/>
      <c r="PNH7" s="56"/>
      <c r="PNI7" s="105"/>
      <c r="PNP7" s="56"/>
      <c r="PNQ7" s="105"/>
      <c r="PNX7" s="56"/>
      <c r="PNY7" s="105"/>
      <c r="POF7" s="56"/>
      <c r="POG7" s="105"/>
      <c r="PON7" s="56"/>
      <c r="POO7" s="105"/>
      <c r="POV7" s="56"/>
      <c r="POW7" s="105"/>
      <c r="PPD7" s="56"/>
      <c r="PPE7" s="105"/>
      <c r="PPL7" s="56"/>
      <c r="PPM7" s="105"/>
      <c r="PPT7" s="56"/>
      <c r="PPU7" s="105"/>
      <c r="PQB7" s="56"/>
      <c r="PQC7" s="105"/>
      <c r="PQJ7" s="56"/>
      <c r="PQK7" s="105"/>
      <c r="PQR7" s="56"/>
      <c r="PQS7" s="105"/>
      <c r="PQZ7" s="56"/>
      <c r="PRA7" s="105"/>
      <c r="PRH7" s="56"/>
      <c r="PRI7" s="105"/>
      <c r="PRP7" s="56"/>
      <c r="PRQ7" s="105"/>
      <c r="PRX7" s="56"/>
      <c r="PRY7" s="105"/>
      <c r="PSF7" s="56"/>
      <c r="PSG7" s="105"/>
      <c r="PSN7" s="56"/>
      <c r="PSO7" s="105"/>
      <c r="PSV7" s="56"/>
      <c r="PSW7" s="105"/>
      <c r="PTD7" s="56"/>
      <c r="PTE7" s="105"/>
      <c r="PTL7" s="56"/>
      <c r="PTM7" s="105"/>
      <c r="PTT7" s="56"/>
      <c r="PTU7" s="105"/>
      <c r="PUB7" s="56"/>
      <c r="PUC7" s="105"/>
      <c r="PUJ7" s="56"/>
      <c r="PUK7" s="105"/>
      <c r="PUR7" s="56"/>
      <c r="PUS7" s="105"/>
      <c r="PUZ7" s="56"/>
      <c r="PVA7" s="105"/>
      <c r="PVH7" s="56"/>
      <c r="PVI7" s="105"/>
      <c r="PVP7" s="56"/>
      <c r="PVQ7" s="105"/>
      <c r="PVX7" s="56"/>
      <c r="PVY7" s="105"/>
      <c r="PWF7" s="56"/>
      <c r="PWG7" s="105"/>
      <c r="PWN7" s="56"/>
      <c r="PWO7" s="105"/>
      <c r="PWV7" s="56"/>
      <c r="PWW7" s="105"/>
      <c r="PXD7" s="56"/>
      <c r="PXE7" s="105"/>
      <c r="PXL7" s="56"/>
      <c r="PXM7" s="105"/>
      <c r="PXT7" s="56"/>
      <c r="PXU7" s="105"/>
      <c r="PYB7" s="56"/>
      <c r="PYC7" s="105"/>
      <c r="PYJ7" s="56"/>
      <c r="PYK7" s="105"/>
      <c r="PYR7" s="56"/>
      <c r="PYS7" s="105"/>
      <c r="PYZ7" s="56"/>
      <c r="PZA7" s="105"/>
      <c r="PZH7" s="56"/>
      <c r="PZI7" s="105"/>
      <c r="PZP7" s="56"/>
      <c r="PZQ7" s="105"/>
      <c r="PZX7" s="56"/>
      <c r="PZY7" s="105"/>
      <c r="QAF7" s="56"/>
      <c r="QAG7" s="105"/>
      <c r="QAN7" s="56"/>
      <c r="QAO7" s="105"/>
      <c r="QAV7" s="56"/>
      <c r="QAW7" s="105"/>
      <c r="QBD7" s="56"/>
      <c r="QBE7" s="105"/>
      <c r="QBL7" s="56"/>
      <c r="QBM7" s="105"/>
      <c r="QBT7" s="56"/>
      <c r="QBU7" s="105"/>
      <c r="QCB7" s="56"/>
      <c r="QCC7" s="105"/>
      <c r="QCJ7" s="56"/>
      <c r="QCK7" s="105"/>
      <c r="QCR7" s="56"/>
      <c r="QCS7" s="105"/>
      <c r="QCZ7" s="56"/>
      <c r="QDA7" s="105"/>
      <c r="QDH7" s="56"/>
      <c r="QDI7" s="105"/>
      <c r="QDP7" s="56"/>
      <c r="QDQ7" s="105"/>
      <c r="QDX7" s="56"/>
      <c r="QDY7" s="105"/>
      <c r="QEF7" s="56"/>
      <c r="QEG7" s="105"/>
      <c r="QEN7" s="56"/>
      <c r="QEO7" s="105"/>
      <c r="QEV7" s="56"/>
      <c r="QEW7" s="105"/>
      <c r="QFD7" s="56"/>
      <c r="QFE7" s="105"/>
      <c r="QFL7" s="56"/>
      <c r="QFM7" s="105"/>
      <c r="QFT7" s="56"/>
      <c r="QFU7" s="105"/>
      <c r="QGB7" s="56"/>
      <c r="QGC7" s="105"/>
      <c r="QGJ7" s="56"/>
      <c r="QGK7" s="105"/>
      <c r="QGR7" s="56"/>
      <c r="QGS7" s="105"/>
      <c r="QGZ7" s="56"/>
      <c r="QHA7" s="105"/>
      <c r="QHH7" s="56"/>
      <c r="QHI7" s="105"/>
      <c r="QHP7" s="56"/>
      <c r="QHQ7" s="105"/>
      <c r="QHX7" s="56"/>
      <c r="QHY7" s="105"/>
      <c r="QIF7" s="56"/>
      <c r="QIG7" s="105"/>
      <c r="QIN7" s="56"/>
      <c r="QIO7" s="105"/>
      <c r="QIV7" s="56"/>
      <c r="QIW7" s="105"/>
      <c r="QJD7" s="56"/>
      <c r="QJE7" s="105"/>
      <c r="QJL7" s="56"/>
      <c r="QJM7" s="105"/>
      <c r="QJT7" s="56"/>
      <c r="QJU7" s="105"/>
      <c r="QKB7" s="56"/>
      <c r="QKC7" s="105"/>
      <c r="QKJ7" s="56"/>
      <c r="QKK7" s="105"/>
      <c r="QKR7" s="56"/>
      <c r="QKS7" s="105"/>
      <c r="QKZ7" s="56"/>
      <c r="QLA7" s="105"/>
      <c r="QLH7" s="56"/>
      <c r="QLI7" s="105"/>
      <c r="QLP7" s="56"/>
      <c r="QLQ7" s="105"/>
      <c r="QLX7" s="56"/>
      <c r="QLY7" s="105"/>
      <c r="QMF7" s="56"/>
      <c r="QMG7" s="105"/>
      <c r="QMN7" s="56"/>
      <c r="QMO7" s="105"/>
      <c r="QMV7" s="56"/>
      <c r="QMW7" s="105"/>
      <c r="QND7" s="56"/>
      <c r="QNE7" s="105"/>
      <c r="QNL7" s="56"/>
      <c r="QNM7" s="105"/>
      <c r="QNT7" s="56"/>
      <c r="QNU7" s="105"/>
      <c r="QOB7" s="56"/>
      <c r="QOC7" s="105"/>
      <c r="QOJ7" s="56"/>
      <c r="QOK7" s="105"/>
      <c r="QOR7" s="56"/>
      <c r="QOS7" s="105"/>
      <c r="QOZ7" s="56"/>
      <c r="QPA7" s="105"/>
      <c r="QPH7" s="56"/>
      <c r="QPI7" s="105"/>
      <c r="QPP7" s="56"/>
      <c r="QPQ7" s="105"/>
      <c r="QPX7" s="56"/>
      <c r="QPY7" s="105"/>
      <c r="QQF7" s="56"/>
      <c r="QQG7" s="105"/>
      <c r="QQN7" s="56"/>
      <c r="QQO7" s="105"/>
      <c r="QQV7" s="56"/>
      <c r="QQW7" s="105"/>
      <c r="QRD7" s="56"/>
      <c r="QRE7" s="105"/>
      <c r="QRL7" s="56"/>
      <c r="QRM7" s="105"/>
      <c r="QRT7" s="56"/>
      <c r="QRU7" s="105"/>
      <c r="QSB7" s="56"/>
      <c r="QSC7" s="105"/>
      <c r="QSJ7" s="56"/>
      <c r="QSK7" s="105"/>
      <c r="QSR7" s="56"/>
      <c r="QSS7" s="105"/>
      <c r="QSZ7" s="56"/>
      <c r="QTA7" s="105"/>
      <c r="QTH7" s="56"/>
      <c r="QTI7" s="105"/>
      <c r="QTP7" s="56"/>
      <c r="QTQ7" s="105"/>
      <c r="QTX7" s="56"/>
      <c r="QTY7" s="105"/>
      <c r="QUF7" s="56"/>
      <c r="QUG7" s="105"/>
      <c r="QUN7" s="56"/>
      <c r="QUO7" s="105"/>
      <c r="QUV7" s="56"/>
      <c r="QUW7" s="105"/>
      <c r="QVD7" s="56"/>
      <c r="QVE7" s="105"/>
      <c r="QVL7" s="56"/>
      <c r="QVM7" s="105"/>
      <c r="QVT7" s="56"/>
      <c r="QVU7" s="105"/>
      <c r="QWB7" s="56"/>
      <c r="QWC7" s="105"/>
      <c r="QWJ7" s="56"/>
      <c r="QWK7" s="105"/>
      <c r="QWR7" s="56"/>
      <c r="QWS7" s="105"/>
      <c r="QWZ7" s="56"/>
      <c r="QXA7" s="105"/>
      <c r="QXH7" s="56"/>
      <c r="QXI7" s="105"/>
      <c r="QXP7" s="56"/>
      <c r="QXQ7" s="105"/>
      <c r="QXX7" s="56"/>
      <c r="QXY7" s="105"/>
      <c r="QYF7" s="56"/>
      <c r="QYG7" s="105"/>
      <c r="QYN7" s="56"/>
      <c r="QYO7" s="105"/>
      <c r="QYV7" s="56"/>
      <c r="QYW7" s="105"/>
      <c r="QZD7" s="56"/>
      <c r="QZE7" s="105"/>
      <c r="QZL7" s="56"/>
      <c r="QZM7" s="105"/>
      <c r="QZT7" s="56"/>
      <c r="QZU7" s="105"/>
      <c r="RAB7" s="56"/>
      <c r="RAC7" s="105"/>
      <c r="RAJ7" s="56"/>
      <c r="RAK7" s="105"/>
      <c r="RAR7" s="56"/>
      <c r="RAS7" s="105"/>
      <c r="RAZ7" s="56"/>
      <c r="RBA7" s="105"/>
      <c r="RBH7" s="56"/>
      <c r="RBI7" s="105"/>
      <c r="RBP7" s="56"/>
      <c r="RBQ7" s="105"/>
      <c r="RBX7" s="56"/>
      <c r="RBY7" s="105"/>
      <c r="RCF7" s="56"/>
      <c r="RCG7" s="105"/>
      <c r="RCN7" s="56"/>
      <c r="RCO7" s="105"/>
      <c r="RCV7" s="56"/>
      <c r="RCW7" s="105"/>
      <c r="RDD7" s="56"/>
      <c r="RDE7" s="105"/>
      <c r="RDL7" s="56"/>
      <c r="RDM7" s="105"/>
      <c r="RDT7" s="56"/>
      <c r="RDU7" s="105"/>
      <c r="REB7" s="56"/>
      <c r="REC7" s="105"/>
      <c r="REJ7" s="56"/>
      <c r="REK7" s="105"/>
      <c r="RER7" s="56"/>
      <c r="RES7" s="105"/>
      <c r="REZ7" s="56"/>
      <c r="RFA7" s="105"/>
      <c r="RFH7" s="56"/>
      <c r="RFI7" s="105"/>
      <c r="RFP7" s="56"/>
      <c r="RFQ7" s="105"/>
      <c r="RFX7" s="56"/>
      <c r="RFY7" s="105"/>
      <c r="RGF7" s="56"/>
      <c r="RGG7" s="105"/>
      <c r="RGN7" s="56"/>
      <c r="RGO7" s="105"/>
      <c r="RGV7" s="56"/>
      <c r="RGW7" s="105"/>
      <c r="RHD7" s="56"/>
      <c r="RHE7" s="105"/>
      <c r="RHL7" s="56"/>
      <c r="RHM7" s="105"/>
      <c r="RHT7" s="56"/>
      <c r="RHU7" s="105"/>
      <c r="RIB7" s="56"/>
      <c r="RIC7" s="105"/>
      <c r="RIJ7" s="56"/>
      <c r="RIK7" s="105"/>
      <c r="RIR7" s="56"/>
      <c r="RIS7" s="105"/>
      <c r="RIZ7" s="56"/>
      <c r="RJA7" s="105"/>
      <c r="RJH7" s="56"/>
      <c r="RJI7" s="105"/>
      <c r="RJP7" s="56"/>
      <c r="RJQ7" s="105"/>
      <c r="RJX7" s="56"/>
      <c r="RJY7" s="105"/>
      <c r="RKF7" s="56"/>
      <c r="RKG7" s="105"/>
      <c r="RKN7" s="56"/>
      <c r="RKO7" s="105"/>
      <c r="RKV7" s="56"/>
      <c r="RKW7" s="105"/>
      <c r="RLD7" s="56"/>
      <c r="RLE7" s="105"/>
      <c r="RLL7" s="56"/>
      <c r="RLM7" s="105"/>
      <c r="RLT7" s="56"/>
      <c r="RLU7" s="105"/>
      <c r="RMB7" s="56"/>
      <c r="RMC7" s="105"/>
      <c r="RMJ7" s="56"/>
      <c r="RMK7" s="105"/>
      <c r="RMR7" s="56"/>
      <c r="RMS7" s="105"/>
      <c r="RMZ7" s="56"/>
      <c r="RNA7" s="105"/>
      <c r="RNH7" s="56"/>
      <c r="RNI7" s="105"/>
      <c r="RNP7" s="56"/>
      <c r="RNQ7" s="105"/>
      <c r="RNX7" s="56"/>
      <c r="RNY7" s="105"/>
      <c r="ROF7" s="56"/>
      <c r="ROG7" s="105"/>
      <c r="RON7" s="56"/>
      <c r="ROO7" s="105"/>
      <c r="ROV7" s="56"/>
      <c r="ROW7" s="105"/>
      <c r="RPD7" s="56"/>
      <c r="RPE7" s="105"/>
      <c r="RPL7" s="56"/>
      <c r="RPM7" s="105"/>
      <c r="RPT7" s="56"/>
      <c r="RPU7" s="105"/>
      <c r="RQB7" s="56"/>
      <c r="RQC7" s="105"/>
      <c r="RQJ7" s="56"/>
      <c r="RQK7" s="105"/>
      <c r="RQR7" s="56"/>
      <c r="RQS7" s="105"/>
      <c r="RQZ7" s="56"/>
      <c r="RRA7" s="105"/>
      <c r="RRH7" s="56"/>
      <c r="RRI7" s="105"/>
      <c r="RRP7" s="56"/>
      <c r="RRQ7" s="105"/>
      <c r="RRX7" s="56"/>
      <c r="RRY7" s="105"/>
      <c r="RSF7" s="56"/>
      <c r="RSG7" s="105"/>
      <c r="RSN7" s="56"/>
      <c r="RSO7" s="105"/>
      <c r="RSV7" s="56"/>
      <c r="RSW7" s="105"/>
      <c r="RTD7" s="56"/>
      <c r="RTE7" s="105"/>
      <c r="RTL7" s="56"/>
      <c r="RTM7" s="105"/>
      <c r="RTT7" s="56"/>
      <c r="RTU7" s="105"/>
      <c r="RUB7" s="56"/>
      <c r="RUC7" s="105"/>
      <c r="RUJ7" s="56"/>
      <c r="RUK7" s="105"/>
      <c r="RUR7" s="56"/>
      <c r="RUS7" s="105"/>
      <c r="RUZ7" s="56"/>
      <c r="RVA7" s="105"/>
      <c r="RVH7" s="56"/>
      <c r="RVI7" s="105"/>
      <c r="RVP7" s="56"/>
      <c r="RVQ7" s="105"/>
      <c r="RVX7" s="56"/>
      <c r="RVY7" s="105"/>
      <c r="RWF7" s="56"/>
      <c r="RWG7" s="105"/>
      <c r="RWN7" s="56"/>
      <c r="RWO7" s="105"/>
      <c r="RWV7" s="56"/>
      <c r="RWW7" s="105"/>
      <c r="RXD7" s="56"/>
      <c r="RXE7" s="105"/>
      <c r="RXL7" s="56"/>
      <c r="RXM7" s="105"/>
      <c r="RXT7" s="56"/>
      <c r="RXU7" s="105"/>
      <c r="RYB7" s="56"/>
      <c r="RYC7" s="105"/>
      <c r="RYJ7" s="56"/>
      <c r="RYK7" s="105"/>
      <c r="RYR7" s="56"/>
      <c r="RYS7" s="105"/>
      <c r="RYZ7" s="56"/>
      <c r="RZA7" s="105"/>
      <c r="RZH7" s="56"/>
      <c r="RZI7" s="105"/>
      <c r="RZP7" s="56"/>
      <c r="RZQ7" s="105"/>
      <c r="RZX7" s="56"/>
      <c r="RZY7" s="105"/>
      <c r="SAF7" s="56"/>
      <c r="SAG7" s="105"/>
      <c r="SAN7" s="56"/>
      <c r="SAO7" s="105"/>
      <c r="SAV7" s="56"/>
      <c r="SAW7" s="105"/>
      <c r="SBD7" s="56"/>
      <c r="SBE7" s="105"/>
      <c r="SBL7" s="56"/>
      <c r="SBM7" s="105"/>
      <c r="SBT7" s="56"/>
      <c r="SBU7" s="105"/>
      <c r="SCB7" s="56"/>
      <c r="SCC7" s="105"/>
      <c r="SCJ7" s="56"/>
      <c r="SCK7" s="105"/>
      <c r="SCR7" s="56"/>
      <c r="SCS7" s="105"/>
      <c r="SCZ7" s="56"/>
      <c r="SDA7" s="105"/>
      <c r="SDH7" s="56"/>
      <c r="SDI7" s="105"/>
      <c r="SDP7" s="56"/>
      <c r="SDQ7" s="105"/>
      <c r="SDX7" s="56"/>
      <c r="SDY7" s="105"/>
      <c r="SEF7" s="56"/>
      <c r="SEG7" s="105"/>
      <c r="SEN7" s="56"/>
      <c r="SEO7" s="105"/>
      <c r="SEV7" s="56"/>
      <c r="SEW7" s="105"/>
      <c r="SFD7" s="56"/>
      <c r="SFE7" s="105"/>
      <c r="SFL7" s="56"/>
      <c r="SFM7" s="105"/>
      <c r="SFT7" s="56"/>
      <c r="SFU7" s="105"/>
      <c r="SGB7" s="56"/>
      <c r="SGC7" s="105"/>
      <c r="SGJ7" s="56"/>
      <c r="SGK7" s="105"/>
      <c r="SGR7" s="56"/>
      <c r="SGS7" s="105"/>
      <c r="SGZ7" s="56"/>
      <c r="SHA7" s="105"/>
      <c r="SHH7" s="56"/>
      <c r="SHI7" s="105"/>
      <c r="SHP7" s="56"/>
      <c r="SHQ7" s="105"/>
      <c r="SHX7" s="56"/>
      <c r="SHY7" s="105"/>
      <c r="SIF7" s="56"/>
      <c r="SIG7" s="105"/>
      <c r="SIN7" s="56"/>
      <c r="SIO7" s="105"/>
      <c r="SIV7" s="56"/>
      <c r="SIW7" s="105"/>
      <c r="SJD7" s="56"/>
      <c r="SJE7" s="105"/>
      <c r="SJL7" s="56"/>
      <c r="SJM7" s="105"/>
      <c r="SJT7" s="56"/>
      <c r="SJU7" s="105"/>
      <c r="SKB7" s="56"/>
      <c r="SKC7" s="105"/>
      <c r="SKJ7" s="56"/>
      <c r="SKK7" s="105"/>
      <c r="SKR7" s="56"/>
      <c r="SKS7" s="105"/>
      <c r="SKZ7" s="56"/>
      <c r="SLA7" s="105"/>
      <c r="SLH7" s="56"/>
      <c r="SLI7" s="105"/>
      <c r="SLP7" s="56"/>
      <c r="SLQ7" s="105"/>
      <c r="SLX7" s="56"/>
      <c r="SLY7" s="105"/>
      <c r="SMF7" s="56"/>
      <c r="SMG7" s="105"/>
      <c r="SMN7" s="56"/>
      <c r="SMO7" s="105"/>
      <c r="SMV7" s="56"/>
      <c r="SMW7" s="105"/>
      <c r="SND7" s="56"/>
      <c r="SNE7" s="105"/>
      <c r="SNL7" s="56"/>
      <c r="SNM7" s="105"/>
      <c r="SNT7" s="56"/>
      <c r="SNU7" s="105"/>
      <c r="SOB7" s="56"/>
      <c r="SOC7" s="105"/>
      <c r="SOJ7" s="56"/>
      <c r="SOK7" s="105"/>
      <c r="SOR7" s="56"/>
      <c r="SOS7" s="105"/>
      <c r="SOZ7" s="56"/>
      <c r="SPA7" s="105"/>
      <c r="SPH7" s="56"/>
      <c r="SPI7" s="105"/>
      <c r="SPP7" s="56"/>
      <c r="SPQ7" s="105"/>
      <c r="SPX7" s="56"/>
      <c r="SPY7" s="105"/>
      <c r="SQF7" s="56"/>
      <c r="SQG7" s="105"/>
      <c r="SQN7" s="56"/>
      <c r="SQO7" s="105"/>
      <c r="SQV7" s="56"/>
      <c r="SQW7" s="105"/>
      <c r="SRD7" s="56"/>
      <c r="SRE7" s="105"/>
      <c r="SRL7" s="56"/>
      <c r="SRM7" s="105"/>
      <c r="SRT7" s="56"/>
      <c r="SRU7" s="105"/>
      <c r="SSB7" s="56"/>
      <c r="SSC7" s="105"/>
      <c r="SSJ7" s="56"/>
      <c r="SSK7" s="105"/>
      <c r="SSR7" s="56"/>
      <c r="SSS7" s="105"/>
      <c r="SSZ7" s="56"/>
      <c r="STA7" s="105"/>
      <c r="STH7" s="56"/>
      <c r="STI7" s="105"/>
      <c r="STP7" s="56"/>
      <c r="STQ7" s="105"/>
      <c r="STX7" s="56"/>
      <c r="STY7" s="105"/>
      <c r="SUF7" s="56"/>
      <c r="SUG7" s="105"/>
      <c r="SUN7" s="56"/>
      <c r="SUO7" s="105"/>
      <c r="SUV7" s="56"/>
      <c r="SUW7" s="105"/>
      <c r="SVD7" s="56"/>
      <c r="SVE7" s="105"/>
      <c r="SVL7" s="56"/>
      <c r="SVM7" s="105"/>
      <c r="SVT7" s="56"/>
      <c r="SVU7" s="105"/>
      <c r="SWB7" s="56"/>
      <c r="SWC7" s="105"/>
      <c r="SWJ7" s="56"/>
      <c r="SWK7" s="105"/>
      <c r="SWR7" s="56"/>
      <c r="SWS7" s="105"/>
      <c r="SWZ7" s="56"/>
      <c r="SXA7" s="105"/>
      <c r="SXH7" s="56"/>
      <c r="SXI7" s="105"/>
      <c r="SXP7" s="56"/>
      <c r="SXQ7" s="105"/>
      <c r="SXX7" s="56"/>
      <c r="SXY7" s="105"/>
      <c r="SYF7" s="56"/>
      <c r="SYG7" s="105"/>
      <c r="SYN7" s="56"/>
      <c r="SYO7" s="105"/>
      <c r="SYV7" s="56"/>
      <c r="SYW7" s="105"/>
      <c r="SZD7" s="56"/>
      <c r="SZE7" s="105"/>
      <c r="SZL7" s="56"/>
      <c r="SZM7" s="105"/>
      <c r="SZT7" s="56"/>
      <c r="SZU7" s="105"/>
      <c r="TAB7" s="56"/>
      <c r="TAC7" s="105"/>
      <c r="TAJ7" s="56"/>
      <c r="TAK7" s="105"/>
      <c r="TAR7" s="56"/>
      <c r="TAS7" s="105"/>
      <c r="TAZ7" s="56"/>
      <c r="TBA7" s="105"/>
      <c r="TBH7" s="56"/>
      <c r="TBI7" s="105"/>
      <c r="TBP7" s="56"/>
      <c r="TBQ7" s="105"/>
      <c r="TBX7" s="56"/>
      <c r="TBY7" s="105"/>
      <c r="TCF7" s="56"/>
      <c r="TCG7" s="105"/>
      <c r="TCN7" s="56"/>
      <c r="TCO7" s="105"/>
      <c r="TCV7" s="56"/>
      <c r="TCW7" s="105"/>
      <c r="TDD7" s="56"/>
      <c r="TDE7" s="105"/>
      <c r="TDL7" s="56"/>
      <c r="TDM7" s="105"/>
      <c r="TDT7" s="56"/>
      <c r="TDU7" s="105"/>
      <c r="TEB7" s="56"/>
      <c r="TEC7" s="105"/>
      <c r="TEJ7" s="56"/>
      <c r="TEK7" s="105"/>
      <c r="TER7" s="56"/>
      <c r="TES7" s="105"/>
      <c r="TEZ7" s="56"/>
      <c r="TFA7" s="105"/>
      <c r="TFH7" s="56"/>
      <c r="TFI7" s="105"/>
      <c r="TFP7" s="56"/>
      <c r="TFQ7" s="105"/>
      <c r="TFX7" s="56"/>
      <c r="TFY7" s="105"/>
      <c r="TGF7" s="56"/>
      <c r="TGG7" s="105"/>
      <c r="TGN7" s="56"/>
      <c r="TGO7" s="105"/>
      <c r="TGV7" s="56"/>
      <c r="TGW7" s="105"/>
      <c r="THD7" s="56"/>
      <c r="THE7" s="105"/>
      <c r="THL7" s="56"/>
      <c r="THM7" s="105"/>
      <c r="THT7" s="56"/>
      <c r="THU7" s="105"/>
      <c r="TIB7" s="56"/>
      <c r="TIC7" s="105"/>
      <c r="TIJ7" s="56"/>
      <c r="TIK7" s="105"/>
      <c r="TIR7" s="56"/>
      <c r="TIS7" s="105"/>
      <c r="TIZ7" s="56"/>
      <c r="TJA7" s="105"/>
      <c r="TJH7" s="56"/>
      <c r="TJI7" s="105"/>
      <c r="TJP7" s="56"/>
      <c r="TJQ7" s="105"/>
      <c r="TJX7" s="56"/>
      <c r="TJY7" s="105"/>
      <c r="TKF7" s="56"/>
      <c r="TKG7" s="105"/>
      <c r="TKN7" s="56"/>
      <c r="TKO7" s="105"/>
      <c r="TKV7" s="56"/>
      <c r="TKW7" s="105"/>
      <c r="TLD7" s="56"/>
      <c r="TLE7" s="105"/>
      <c r="TLL7" s="56"/>
      <c r="TLM7" s="105"/>
      <c r="TLT7" s="56"/>
      <c r="TLU7" s="105"/>
      <c r="TMB7" s="56"/>
      <c r="TMC7" s="105"/>
      <c r="TMJ7" s="56"/>
      <c r="TMK7" s="105"/>
      <c r="TMR7" s="56"/>
      <c r="TMS7" s="105"/>
      <c r="TMZ7" s="56"/>
      <c r="TNA7" s="105"/>
      <c r="TNH7" s="56"/>
      <c r="TNI7" s="105"/>
      <c r="TNP7" s="56"/>
      <c r="TNQ7" s="105"/>
      <c r="TNX7" s="56"/>
      <c r="TNY7" s="105"/>
      <c r="TOF7" s="56"/>
      <c r="TOG7" s="105"/>
      <c r="TON7" s="56"/>
      <c r="TOO7" s="105"/>
      <c r="TOV7" s="56"/>
      <c r="TOW7" s="105"/>
      <c r="TPD7" s="56"/>
      <c r="TPE7" s="105"/>
      <c r="TPL7" s="56"/>
      <c r="TPM7" s="105"/>
      <c r="TPT7" s="56"/>
      <c r="TPU7" s="105"/>
      <c r="TQB7" s="56"/>
      <c r="TQC7" s="105"/>
      <c r="TQJ7" s="56"/>
      <c r="TQK7" s="105"/>
      <c r="TQR7" s="56"/>
      <c r="TQS7" s="105"/>
      <c r="TQZ7" s="56"/>
      <c r="TRA7" s="105"/>
      <c r="TRH7" s="56"/>
      <c r="TRI7" s="105"/>
      <c r="TRP7" s="56"/>
      <c r="TRQ7" s="105"/>
      <c r="TRX7" s="56"/>
      <c r="TRY7" s="105"/>
      <c r="TSF7" s="56"/>
      <c r="TSG7" s="105"/>
      <c r="TSN7" s="56"/>
      <c r="TSO7" s="105"/>
      <c r="TSV7" s="56"/>
      <c r="TSW7" s="105"/>
      <c r="TTD7" s="56"/>
      <c r="TTE7" s="105"/>
      <c r="TTL7" s="56"/>
      <c r="TTM7" s="105"/>
      <c r="TTT7" s="56"/>
      <c r="TTU7" s="105"/>
      <c r="TUB7" s="56"/>
      <c r="TUC7" s="105"/>
      <c r="TUJ7" s="56"/>
      <c r="TUK7" s="105"/>
      <c r="TUR7" s="56"/>
      <c r="TUS7" s="105"/>
      <c r="TUZ7" s="56"/>
      <c r="TVA7" s="105"/>
      <c r="TVH7" s="56"/>
      <c r="TVI7" s="105"/>
      <c r="TVP7" s="56"/>
      <c r="TVQ7" s="105"/>
      <c r="TVX7" s="56"/>
      <c r="TVY7" s="105"/>
      <c r="TWF7" s="56"/>
      <c r="TWG7" s="105"/>
      <c r="TWN7" s="56"/>
      <c r="TWO7" s="105"/>
      <c r="TWV7" s="56"/>
      <c r="TWW7" s="105"/>
      <c r="TXD7" s="56"/>
      <c r="TXE7" s="105"/>
      <c r="TXL7" s="56"/>
      <c r="TXM7" s="105"/>
      <c r="TXT7" s="56"/>
      <c r="TXU7" s="105"/>
      <c r="TYB7" s="56"/>
      <c r="TYC7" s="105"/>
      <c r="TYJ7" s="56"/>
      <c r="TYK7" s="105"/>
      <c r="TYR7" s="56"/>
      <c r="TYS7" s="105"/>
      <c r="TYZ7" s="56"/>
      <c r="TZA7" s="105"/>
      <c r="TZH7" s="56"/>
      <c r="TZI7" s="105"/>
      <c r="TZP7" s="56"/>
      <c r="TZQ7" s="105"/>
      <c r="TZX7" s="56"/>
      <c r="TZY7" s="105"/>
      <c r="UAF7" s="56"/>
      <c r="UAG7" s="105"/>
      <c r="UAN7" s="56"/>
      <c r="UAO7" s="105"/>
      <c r="UAV7" s="56"/>
      <c r="UAW7" s="105"/>
      <c r="UBD7" s="56"/>
      <c r="UBE7" s="105"/>
      <c r="UBL7" s="56"/>
      <c r="UBM7" s="105"/>
      <c r="UBT7" s="56"/>
      <c r="UBU7" s="105"/>
      <c r="UCB7" s="56"/>
      <c r="UCC7" s="105"/>
      <c r="UCJ7" s="56"/>
      <c r="UCK7" s="105"/>
      <c r="UCR7" s="56"/>
      <c r="UCS7" s="105"/>
      <c r="UCZ7" s="56"/>
      <c r="UDA7" s="105"/>
      <c r="UDH7" s="56"/>
      <c r="UDI7" s="105"/>
      <c r="UDP7" s="56"/>
      <c r="UDQ7" s="105"/>
      <c r="UDX7" s="56"/>
      <c r="UDY7" s="105"/>
      <c r="UEF7" s="56"/>
      <c r="UEG7" s="105"/>
      <c r="UEN7" s="56"/>
      <c r="UEO7" s="105"/>
      <c r="UEV7" s="56"/>
      <c r="UEW7" s="105"/>
      <c r="UFD7" s="56"/>
      <c r="UFE7" s="105"/>
      <c r="UFL7" s="56"/>
      <c r="UFM7" s="105"/>
      <c r="UFT7" s="56"/>
      <c r="UFU7" s="105"/>
      <c r="UGB7" s="56"/>
      <c r="UGC7" s="105"/>
      <c r="UGJ7" s="56"/>
      <c r="UGK7" s="105"/>
      <c r="UGR7" s="56"/>
      <c r="UGS7" s="105"/>
      <c r="UGZ7" s="56"/>
      <c r="UHA7" s="105"/>
      <c r="UHH7" s="56"/>
      <c r="UHI7" s="105"/>
      <c r="UHP7" s="56"/>
      <c r="UHQ7" s="105"/>
      <c r="UHX7" s="56"/>
      <c r="UHY7" s="105"/>
      <c r="UIF7" s="56"/>
      <c r="UIG7" s="105"/>
      <c r="UIN7" s="56"/>
      <c r="UIO7" s="105"/>
      <c r="UIV7" s="56"/>
      <c r="UIW7" s="105"/>
      <c r="UJD7" s="56"/>
      <c r="UJE7" s="105"/>
      <c r="UJL7" s="56"/>
      <c r="UJM7" s="105"/>
      <c r="UJT7" s="56"/>
      <c r="UJU7" s="105"/>
      <c r="UKB7" s="56"/>
      <c r="UKC7" s="105"/>
      <c r="UKJ7" s="56"/>
      <c r="UKK7" s="105"/>
      <c r="UKR7" s="56"/>
      <c r="UKS7" s="105"/>
      <c r="UKZ7" s="56"/>
      <c r="ULA7" s="105"/>
      <c r="ULH7" s="56"/>
      <c r="ULI7" s="105"/>
      <c r="ULP7" s="56"/>
      <c r="ULQ7" s="105"/>
      <c r="ULX7" s="56"/>
      <c r="ULY7" s="105"/>
      <c r="UMF7" s="56"/>
      <c r="UMG7" s="105"/>
      <c r="UMN7" s="56"/>
      <c r="UMO7" s="105"/>
      <c r="UMV7" s="56"/>
      <c r="UMW7" s="105"/>
      <c r="UND7" s="56"/>
      <c r="UNE7" s="105"/>
      <c r="UNL7" s="56"/>
      <c r="UNM7" s="105"/>
      <c r="UNT7" s="56"/>
      <c r="UNU7" s="105"/>
      <c r="UOB7" s="56"/>
      <c r="UOC7" s="105"/>
      <c r="UOJ7" s="56"/>
      <c r="UOK7" s="105"/>
      <c r="UOR7" s="56"/>
      <c r="UOS7" s="105"/>
      <c r="UOZ7" s="56"/>
      <c r="UPA7" s="105"/>
      <c r="UPH7" s="56"/>
      <c r="UPI7" s="105"/>
      <c r="UPP7" s="56"/>
      <c r="UPQ7" s="105"/>
      <c r="UPX7" s="56"/>
      <c r="UPY7" s="105"/>
      <c r="UQF7" s="56"/>
      <c r="UQG7" s="105"/>
      <c r="UQN7" s="56"/>
      <c r="UQO7" s="105"/>
      <c r="UQV7" s="56"/>
      <c r="UQW7" s="105"/>
      <c r="URD7" s="56"/>
      <c r="URE7" s="105"/>
      <c r="URL7" s="56"/>
      <c r="URM7" s="105"/>
      <c r="URT7" s="56"/>
      <c r="URU7" s="105"/>
      <c r="USB7" s="56"/>
      <c r="USC7" s="105"/>
      <c r="USJ7" s="56"/>
      <c r="USK7" s="105"/>
      <c r="USR7" s="56"/>
      <c r="USS7" s="105"/>
      <c r="USZ7" s="56"/>
      <c r="UTA7" s="105"/>
      <c r="UTH7" s="56"/>
      <c r="UTI7" s="105"/>
      <c r="UTP7" s="56"/>
      <c r="UTQ7" s="105"/>
      <c r="UTX7" s="56"/>
      <c r="UTY7" s="105"/>
      <c r="UUF7" s="56"/>
      <c r="UUG7" s="105"/>
      <c r="UUN7" s="56"/>
      <c r="UUO7" s="105"/>
      <c r="UUV7" s="56"/>
      <c r="UUW7" s="105"/>
      <c r="UVD7" s="56"/>
      <c r="UVE7" s="105"/>
      <c r="UVL7" s="56"/>
      <c r="UVM7" s="105"/>
      <c r="UVT7" s="56"/>
      <c r="UVU7" s="105"/>
      <c r="UWB7" s="56"/>
      <c r="UWC7" s="105"/>
      <c r="UWJ7" s="56"/>
      <c r="UWK7" s="105"/>
      <c r="UWR7" s="56"/>
      <c r="UWS7" s="105"/>
      <c r="UWZ7" s="56"/>
      <c r="UXA7" s="105"/>
      <c r="UXH7" s="56"/>
      <c r="UXI7" s="105"/>
      <c r="UXP7" s="56"/>
      <c r="UXQ7" s="105"/>
      <c r="UXX7" s="56"/>
      <c r="UXY7" s="105"/>
      <c r="UYF7" s="56"/>
      <c r="UYG7" s="105"/>
      <c r="UYN7" s="56"/>
      <c r="UYO7" s="105"/>
      <c r="UYV7" s="56"/>
      <c r="UYW7" s="105"/>
      <c r="UZD7" s="56"/>
      <c r="UZE7" s="105"/>
      <c r="UZL7" s="56"/>
      <c r="UZM7" s="105"/>
      <c r="UZT7" s="56"/>
      <c r="UZU7" s="105"/>
      <c r="VAB7" s="56"/>
      <c r="VAC7" s="105"/>
      <c r="VAJ7" s="56"/>
      <c r="VAK7" s="105"/>
      <c r="VAR7" s="56"/>
      <c r="VAS7" s="105"/>
      <c r="VAZ7" s="56"/>
      <c r="VBA7" s="105"/>
      <c r="VBH7" s="56"/>
      <c r="VBI7" s="105"/>
      <c r="VBP7" s="56"/>
      <c r="VBQ7" s="105"/>
      <c r="VBX7" s="56"/>
      <c r="VBY7" s="105"/>
      <c r="VCF7" s="56"/>
      <c r="VCG7" s="105"/>
      <c r="VCN7" s="56"/>
      <c r="VCO7" s="105"/>
      <c r="VCV7" s="56"/>
      <c r="VCW7" s="105"/>
      <c r="VDD7" s="56"/>
      <c r="VDE7" s="105"/>
      <c r="VDL7" s="56"/>
      <c r="VDM7" s="105"/>
      <c r="VDT7" s="56"/>
      <c r="VDU7" s="105"/>
      <c r="VEB7" s="56"/>
      <c r="VEC7" s="105"/>
      <c r="VEJ7" s="56"/>
      <c r="VEK7" s="105"/>
      <c r="VER7" s="56"/>
      <c r="VES7" s="105"/>
      <c r="VEZ7" s="56"/>
      <c r="VFA7" s="105"/>
      <c r="VFH7" s="56"/>
      <c r="VFI7" s="105"/>
      <c r="VFP7" s="56"/>
      <c r="VFQ7" s="105"/>
      <c r="VFX7" s="56"/>
      <c r="VFY7" s="105"/>
      <c r="VGF7" s="56"/>
      <c r="VGG7" s="105"/>
      <c r="VGN7" s="56"/>
      <c r="VGO7" s="105"/>
      <c r="VGV7" s="56"/>
      <c r="VGW7" s="105"/>
      <c r="VHD7" s="56"/>
      <c r="VHE7" s="105"/>
      <c r="VHL7" s="56"/>
      <c r="VHM7" s="105"/>
      <c r="VHT7" s="56"/>
      <c r="VHU7" s="105"/>
      <c r="VIB7" s="56"/>
      <c r="VIC7" s="105"/>
      <c r="VIJ7" s="56"/>
      <c r="VIK7" s="105"/>
      <c r="VIR7" s="56"/>
      <c r="VIS7" s="105"/>
      <c r="VIZ7" s="56"/>
      <c r="VJA7" s="105"/>
      <c r="VJH7" s="56"/>
      <c r="VJI7" s="105"/>
      <c r="VJP7" s="56"/>
      <c r="VJQ7" s="105"/>
      <c r="VJX7" s="56"/>
      <c r="VJY7" s="105"/>
      <c r="VKF7" s="56"/>
      <c r="VKG7" s="105"/>
      <c r="VKN7" s="56"/>
      <c r="VKO7" s="105"/>
      <c r="VKV7" s="56"/>
      <c r="VKW7" s="105"/>
      <c r="VLD7" s="56"/>
      <c r="VLE7" s="105"/>
      <c r="VLL7" s="56"/>
      <c r="VLM7" s="105"/>
      <c r="VLT7" s="56"/>
      <c r="VLU7" s="105"/>
      <c r="VMB7" s="56"/>
      <c r="VMC7" s="105"/>
      <c r="VMJ7" s="56"/>
      <c r="VMK7" s="105"/>
      <c r="VMR7" s="56"/>
      <c r="VMS7" s="105"/>
      <c r="VMZ7" s="56"/>
      <c r="VNA7" s="105"/>
      <c r="VNH7" s="56"/>
      <c r="VNI7" s="105"/>
      <c r="VNP7" s="56"/>
      <c r="VNQ7" s="105"/>
      <c r="VNX7" s="56"/>
      <c r="VNY7" s="105"/>
      <c r="VOF7" s="56"/>
      <c r="VOG7" s="105"/>
      <c r="VON7" s="56"/>
      <c r="VOO7" s="105"/>
      <c r="VOV7" s="56"/>
      <c r="VOW7" s="105"/>
      <c r="VPD7" s="56"/>
      <c r="VPE7" s="105"/>
      <c r="VPL7" s="56"/>
      <c r="VPM7" s="105"/>
      <c r="VPT7" s="56"/>
      <c r="VPU7" s="105"/>
      <c r="VQB7" s="56"/>
      <c r="VQC7" s="105"/>
      <c r="VQJ7" s="56"/>
      <c r="VQK7" s="105"/>
      <c r="VQR7" s="56"/>
      <c r="VQS7" s="105"/>
      <c r="VQZ7" s="56"/>
      <c r="VRA7" s="105"/>
      <c r="VRH7" s="56"/>
      <c r="VRI7" s="105"/>
      <c r="VRP7" s="56"/>
      <c r="VRQ7" s="105"/>
      <c r="VRX7" s="56"/>
      <c r="VRY7" s="105"/>
      <c r="VSF7" s="56"/>
      <c r="VSG7" s="105"/>
      <c r="VSN7" s="56"/>
      <c r="VSO7" s="105"/>
      <c r="VSV7" s="56"/>
      <c r="VSW7" s="105"/>
      <c r="VTD7" s="56"/>
      <c r="VTE7" s="105"/>
      <c r="VTL7" s="56"/>
      <c r="VTM7" s="105"/>
      <c r="VTT7" s="56"/>
      <c r="VTU7" s="105"/>
      <c r="VUB7" s="56"/>
      <c r="VUC7" s="105"/>
      <c r="VUJ7" s="56"/>
      <c r="VUK7" s="105"/>
      <c r="VUR7" s="56"/>
      <c r="VUS7" s="105"/>
      <c r="VUZ7" s="56"/>
      <c r="VVA7" s="105"/>
      <c r="VVH7" s="56"/>
      <c r="VVI7" s="105"/>
      <c r="VVP7" s="56"/>
      <c r="VVQ7" s="105"/>
      <c r="VVX7" s="56"/>
      <c r="VVY7" s="105"/>
      <c r="VWF7" s="56"/>
      <c r="VWG7" s="105"/>
      <c r="VWN7" s="56"/>
      <c r="VWO7" s="105"/>
      <c r="VWV7" s="56"/>
      <c r="VWW7" s="105"/>
      <c r="VXD7" s="56"/>
      <c r="VXE7" s="105"/>
      <c r="VXL7" s="56"/>
      <c r="VXM7" s="105"/>
      <c r="VXT7" s="56"/>
      <c r="VXU7" s="105"/>
      <c r="VYB7" s="56"/>
      <c r="VYC7" s="105"/>
      <c r="VYJ7" s="56"/>
      <c r="VYK7" s="105"/>
      <c r="VYR7" s="56"/>
      <c r="VYS7" s="105"/>
      <c r="VYZ7" s="56"/>
      <c r="VZA7" s="105"/>
      <c r="VZH7" s="56"/>
      <c r="VZI7" s="105"/>
      <c r="VZP7" s="56"/>
      <c r="VZQ7" s="105"/>
      <c r="VZX7" s="56"/>
      <c r="VZY7" s="105"/>
      <c r="WAF7" s="56"/>
      <c r="WAG7" s="105"/>
      <c r="WAN7" s="56"/>
      <c r="WAO7" s="105"/>
      <c r="WAV7" s="56"/>
      <c r="WAW7" s="105"/>
      <c r="WBD7" s="56"/>
      <c r="WBE7" s="105"/>
      <c r="WBL7" s="56"/>
      <c r="WBM7" s="105"/>
      <c r="WBT7" s="56"/>
      <c r="WBU7" s="105"/>
      <c r="WCB7" s="56"/>
      <c r="WCC7" s="105"/>
      <c r="WCJ7" s="56"/>
      <c r="WCK7" s="105"/>
      <c r="WCR7" s="56"/>
      <c r="WCS7" s="105"/>
      <c r="WCZ7" s="56"/>
      <c r="WDA7" s="105"/>
      <c r="WDH7" s="56"/>
      <c r="WDI7" s="105"/>
      <c r="WDP7" s="56"/>
      <c r="WDQ7" s="105"/>
      <c r="WDX7" s="56"/>
      <c r="WDY7" s="105"/>
      <c r="WEF7" s="56"/>
      <c r="WEG7" s="105"/>
      <c r="WEN7" s="56"/>
      <c r="WEO7" s="105"/>
      <c r="WEV7" s="56"/>
      <c r="WEW7" s="105"/>
      <c r="WFD7" s="56"/>
      <c r="WFE7" s="105"/>
      <c r="WFL7" s="56"/>
      <c r="WFM7" s="105"/>
      <c r="WFT7" s="56"/>
      <c r="WFU7" s="105"/>
      <c r="WGB7" s="56"/>
      <c r="WGC7" s="105"/>
      <c r="WGJ7" s="56"/>
      <c r="WGK7" s="105"/>
      <c r="WGR7" s="56"/>
      <c r="WGS7" s="105"/>
      <c r="WGZ7" s="56"/>
      <c r="WHA7" s="105"/>
      <c r="WHH7" s="56"/>
      <c r="WHI7" s="105"/>
      <c r="WHP7" s="56"/>
      <c r="WHQ7" s="105"/>
      <c r="WHX7" s="56"/>
      <c r="WHY7" s="105"/>
      <c r="WIF7" s="56"/>
      <c r="WIG7" s="105"/>
      <c r="WIN7" s="56"/>
      <c r="WIO7" s="105"/>
      <c r="WIV7" s="56"/>
      <c r="WIW7" s="105"/>
      <c r="WJD7" s="56"/>
      <c r="WJE7" s="105"/>
      <c r="WJL7" s="56"/>
      <c r="WJM7" s="105"/>
      <c r="WJT7" s="56"/>
      <c r="WJU7" s="105"/>
      <c r="WKB7" s="56"/>
      <c r="WKC7" s="105"/>
      <c r="WKJ7" s="56"/>
      <c r="WKK7" s="105"/>
      <c r="WKR7" s="56"/>
      <c r="WKS7" s="105"/>
      <c r="WKZ7" s="56"/>
      <c r="WLA7" s="105"/>
      <c r="WLH7" s="56"/>
      <c r="WLI7" s="105"/>
      <c r="WLP7" s="56"/>
      <c r="WLQ7" s="105"/>
      <c r="WLX7" s="56"/>
      <c r="WLY7" s="105"/>
      <c r="WMF7" s="56"/>
      <c r="WMG7" s="105"/>
      <c r="WMN7" s="56"/>
      <c r="WMO7" s="105"/>
      <c r="WMV7" s="56"/>
      <c r="WMW7" s="105"/>
      <c r="WND7" s="56"/>
      <c r="WNE7" s="105"/>
      <c r="WNL7" s="56"/>
      <c r="WNM7" s="105"/>
      <c r="WNT7" s="56"/>
      <c r="WNU7" s="105"/>
      <c r="WOB7" s="56"/>
      <c r="WOC7" s="105"/>
      <c r="WOJ7" s="56"/>
      <c r="WOK7" s="105"/>
      <c r="WOR7" s="56"/>
      <c r="WOS7" s="105"/>
      <c r="WOZ7" s="56"/>
      <c r="WPA7" s="105"/>
      <c r="WPH7" s="56"/>
      <c r="WPI7" s="105"/>
      <c r="WPP7" s="56"/>
      <c r="WPQ7" s="105"/>
      <c r="WPX7" s="56"/>
      <c r="WPY7" s="105"/>
      <c r="WQF7" s="56"/>
      <c r="WQG7" s="105"/>
      <c r="WQN7" s="56"/>
      <c r="WQO7" s="105"/>
      <c r="WQV7" s="56"/>
      <c r="WQW7" s="105"/>
      <c r="WRD7" s="56"/>
      <c r="WRE7" s="105"/>
      <c r="WRL7" s="56"/>
      <c r="WRM7" s="105"/>
      <c r="WRT7" s="56"/>
      <c r="WRU7" s="105"/>
      <c r="WSB7" s="56"/>
      <c r="WSC7" s="105"/>
      <c r="WSJ7" s="56"/>
      <c r="WSK7" s="105"/>
      <c r="WSR7" s="56"/>
      <c r="WSS7" s="105"/>
      <c r="WSZ7" s="56"/>
      <c r="WTA7" s="105"/>
      <c r="WTH7" s="56"/>
      <c r="WTI7" s="105"/>
      <c r="WTP7" s="56"/>
      <c r="WTQ7" s="105"/>
      <c r="WTX7" s="56"/>
      <c r="WTY7" s="105"/>
      <c r="WUF7" s="56"/>
      <c r="WUG7" s="105"/>
      <c r="WUN7" s="56"/>
      <c r="WUO7" s="105"/>
      <c r="WUV7" s="56"/>
      <c r="WUW7" s="105"/>
      <c r="WVD7" s="56"/>
      <c r="WVE7" s="105"/>
      <c r="WVL7" s="56"/>
      <c r="WVM7" s="105"/>
      <c r="WVT7" s="56"/>
      <c r="WVU7" s="105"/>
      <c r="WWB7" s="56"/>
      <c r="WWC7" s="105"/>
      <c r="WWJ7" s="56"/>
      <c r="WWK7" s="105"/>
      <c r="WWR7" s="56"/>
      <c r="WWS7" s="105"/>
      <c r="WWZ7" s="56"/>
      <c r="WXA7" s="105"/>
      <c r="WXH7" s="56"/>
      <c r="WXI7" s="105"/>
      <c r="WXP7" s="56"/>
      <c r="WXQ7" s="105"/>
      <c r="WXX7" s="56"/>
      <c r="WXY7" s="105"/>
      <c r="WYF7" s="56"/>
      <c r="WYG7" s="105"/>
      <c r="WYN7" s="56"/>
      <c r="WYO7" s="105"/>
      <c r="WYV7" s="56"/>
      <c r="WYW7" s="105"/>
      <c r="WZD7" s="56"/>
      <c r="WZE7" s="105"/>
      <c r="WZL7" s="56"/>
      <c r="WZM7" s="105"/>
      <c r="WZT7" s="56"/>
      <c r="WZU7" s="105"/>
      <c r="XAB7" s="56"/>
      <c r="XAC7" s="105"/>
      <c r="XAJ7" s="56"/>
      <c r="XAK7" s="105"/>
      <c r="XAR7" s="56"/>
      <c r="XAS7" s="105"/>
      <c r="XAZ7" s="56"/>
      <c r="XBA7" s="105"/>
      <c r="XBH7" s="56"/>
      <c r="XBI7" s="105"/>
      <c r="XBP7" s="56"/>
      <c r="XBQ7" s="105"/>
      <c r="XBX7" s="56"/>
      <c r="XBY7" s="105"/>
      <c r="XCF7" s="56"/>
      <c r="XCG7" s="105"/>
      <c r="XCN7" s="56"/>
      <c r="XCO7" s="105"/>
      <c r="XCV7" s="56"/>
      <c r="XCW7" s="105"/>
      <c r="XDD7" s="56"/>
      <c r="XDE7" s="105"/>
      <c r="XDL7" s="56"/>
      <c r="XDM7" s="105"/>
      <c r="XDT7" s="56"/>
      <c r="XDU7" s="105"/>
      <c r="XEB7" s="56"/>
      <c r="XEC7" s="105"/>
      <c r="XEJ7" s="56"/>
      <c r="XEK7" s="105"/>
      <c r="XER7" s="56"/>
      <c r="XES7" s="105"/>
      <c r="XEZ7" s="56"/>
      <c r="XFA7" s="105"/>
    </row>
    <row r="8" spans="1:1021 1028:2045 2052:3069 3076:4093 4100:5117 5124:6141 6148:7165 7172:8189 8196:9213 9220:10237 10244:11261 11268:12285 12292:13309 13316:14333 14340:15357 15364:16381" ht="15" customHeight="1" thickBot="1">
      <c r="A8" s="58"/>
      <c r="B8" s="59" t="s">
        <v>120</v>
      </c>
      <c r="C8" s="60">
        <f>C31</f>
        <v>1489971.8444400001</v>
      </c>
      <c r="D8" s="60">
        <v>1211261</v>
      </c>
      <c r="E8" s="60">
        <f t="shared" ref="E8:H9" si="0">E31</f>
        <v>1009508</v>
      </c>
      <c r="F8" s="60">
        <f t="shared" si="0"/>
        <v>830920</v>
      </c>
      <c r="G8" s="60">
        <f t="shared" si="0"/>
        <v>621410</v>
      </c>
      <c r="H8" s="60">
        <f t="shared" si="0"/>
        <v>635032</v>
      </c>
      <c r="I8" s="60">
        <f t="shared" ref="I8:K12" si="1">I31</f>
        <v>558477</v>
      </c>
      <c r="J8" s="60">
        <f t="shared" si="1"/>
        <v>431785</v>
      </c>
      <c r="K8" s="60">
        <f t="shared" ref="K8:S8" si="2">K31</f>
        <v>193773</v>
      </c>
      <c r="L8" s="60">
        <f t="shared" si="2"/>
        <v>181957</v>
      </c>
      <c r="M8" s="60">
        <f t="shared" si="2"/>
        <v>246348</v>
      </c>
      <c r="N8" s="60">
        <f t="shared" si="2"/>
        <v>152062</v>
      </c>
      <c r="O8" s="60">
        <f t="shared" si="2"/>
        <v>167294</v>
      </c>
      <c r="P8" s="60">
        <f t="shared" si="2"/>
        <v>212121</v>
      </c>
      <c r="Q8" s="60">
        <f t="shared" si="2"/>
        <v>276524</v>
      </c>
      <c r="R8" s="60">
        <f t="shared" si="2"/>
        <v>171915</v>
      </c>
      <c r="S8" s="60">
        <f t="shared" si="2"/>
        <v>133978</v>
      </c>
      <c r="T8" s="60">
        <f t="shared" ref="T8:U12" si="3">T31</f>
        <v>116356</v>
      </c>
      <c r="U8" s="60">
        <f t="shared" si="3"/>
        <v>90876</v>
      </c>
      <c r="V8" s="60">
        <f>V31</f>
        <v>77116</v>
      </c>
    </row>
    <row r="9" spans="1:1021 1028:2045 2052:3069 3076:4093 4100:5117 5124:6141 6148:7165 7172:8189 8196:9213 9220:10237 10244:11261 11268:12285 12292:13309 13316:14333 14340:15357 15364:16381" ht="15" customHeight="1" thickBot="1">
      <c r="A9" s="58"/>
      <c r="B9" s="59" t="s">
        <v>125</v>
      </c>
      <c r="C9" s="60">
        <v>0</v>
      </c>
      <c r="D9" s="60">
        <v>0</v>
      </c>
      <c r="E9" s="60">
        <f t="shared" si="0"/>
        <v>0</v>
      </c>
      <c r="F9" s="60">
        <f t="shared" si="0"/>
        <v>0</v>
      </c>
      <c r="G9" s="60">
        <f t="shared" si="0"/>
        <v>0</v>
      </c>
      <c r="H9" s="60">
        <f t="shared" si="0"/>
        <v>3687</v>
      </c>
      <c r="I9" s="60">
        <f t="shared" si="1"/>
        <v>6975</v>
      </c>
      <c r="J9" s="60">
        <f t="shared" si="1"/>
        <v>52426</v>
      </c>
      <c r="K9" s="60">
        <f t="shared" si="1"/>
        <v>51854</v>
      </c>
      <c r="L9" s="60">
        <f t="shared" ref="L9:S12" si="4">L32</f>
        <v>64123</v>
      </c>
      <c r="M9" s="60">
        <f t="shared" si="4"/>
        <v>174813</v>
      </c>
      <c r="N9" s="60">
        <f t="shared" si="4"/>
        <v>212317</v>
      </c>
      <c r="O9" s="60">
        <f t="shared" si="4"/>
        <v>227201</v>
      </c>
      <c r="P9" s="60">
        <f t="shared" si="4"/>
        <v>247916</v>
      </c>
      <c r="Q9" s="60">
        <f t="shared" si="4"/>
        <v>221431</v>
      </c>
      <c r="R9" s="60">
        <f t="shared" si="4"/>
        <v>283472</v>
      </c>
      <c r="S9" s="60">
        <f t="shared" si="4"/>
        <v>287342</v>
      </c>
      <c r="T9" s="60">
        <f t="shared" si="3"/>
        <v>285386</v>
      </c>
      <c r="U9" s="60">
        <f t="shared" si="3"/>
        <v>276447</v>
      </c>
      <c r="V9" s="60">
        <f>V32</f>
        <v>244563</v>
      </c>
    </row>
    <row r="10" spans="1:1021 1028:2045 2052:3069 3076:4093 4100:5117 5124:6141 6148:7165 7172:8189 8196:9213 9220:10237 10244:11261 11268:12285 12292:13309 13316:14333 14340:15357 15364:16381" ht="15" customHeight="1" thickBot="1">
      <c r="A10" s="58"/>
      <c r="B10" s="59" t="s">
        <v>156</v>
      </c>
      <c r="C10" s="60">
        <f>C33</f>
        <v>498331</v>
      </c>
      <c r="D10" s="60">
        <v>602543</v>
      </c>
      <c r="E10" s="60">
        <f t="shared" ref="E10:H12" si="5">E33</f>
        <v>629364</v>
      </c>
      <c r="F10" s="60">
        <f t="shared" si="5"/>
        <v>594295</v>
      </c>
      <c r="G10" s="60">
        <f t="shared" si="5"/>
        <v>592615</v>
      </c>
      <c r="H10" s="60">
        <f t="shared" si="5"/>
        <v>452746</v>
      </c>
      <c r="I10" s="60">
        <f t="shared" si="1"/>
        <v>445570</v>
      </c>
      <c r="J10" s="60">
        <f t="shared" si="1"/>
        <v>444532</v>
      </c>
      <c r="K10" s="60">
        <f t="shared" si="1"/>
        <v>443357</v>
      </c>
      <c r="L10" s="60">
        <f t="shared" si="4"/>
        <v>442361</v>
      </c>
      <c r="M10" s="60">
        <f t="shared" si="4"/>
        <v>150411.92975000001</v>
      </c>
      <c r="N10" s="60">
        <f t="shared" si="4"/>
        <v>162592</v>
      </c>
      <c r="O10" s="60">
        <f t="shared" si="4"/>
        <v>145311</v>
      </c>
      <c r="P10" s="60">
        <f t="shared" si="4"/>
        <v>143361</v>
      </c>
      <c r="Q10" s="60">
        <f t="shared" si="4"/>
        <v>54448</v>
      </c>
      <c r="R10" s="60">
        <f t="shared" si="4"/>
        <v>53283</v>
      </c>
      <c r="S10" s="60">
        <f t="shared" si="4"/>
        <v>52094</v>
      </c>
      <c r="T10" s="60">
        <f t="shared" si="3"/>
        <v>52047</v>
      </c>
      <c r="U10" s="60">
        <f t="shared" si="3"/>
        <v>48958</v>
      </c>
      <c r="V10" s="60">
        <f>V33</f>
        <v>16185</v>
      </c>
    </row>
    <row r="11" spans="1:1021 1028:2045 2052:3069 3076:4093 4100:5117 5124:6141 6148:7165 7172:8189 8196:9213 9220:10237 10244:11261 11268:12285 12292:13309 13316:14333 14340:15357 15364:16381" ht="15" customHeight="1" thickBot="1">
      <c r="A11" s="58"/>
      <c r="B11" s="59" t="s">
        <v>114</v>
      </c>
      <c r="C11" s="60">
        <v>0</v>
      </c>
      <c r="D11" s="60">
        <f>D34</f>
        <v>0</v>
      </c>
      <c r="E11" s="60">
        <f t="shared" si="5"/>
        <v>0</v>
      </c>
      <c r="F11" s="60">
        <f t="shared" si="5"/>
        <v>0</v>
      </c>
      <c r="G11" s="60">
        <f t="shared" si="5"/>
        <v>0</v>
      </c>
      <c r="H11" s="60">
        <f t="shared" si="5"/>
        <v>0</v>
      </c>
      <c r="I11" s="60">
        <f t="shared" si="1"/>
        <v>0</v>
      </c>
      <c r="J11" s="60">
        <f t="shared" si="1"/>
        <v>0</v>
      </c>
      <c r="K11" s="60">
        <f t="shared" si="1"/>
        <v>0</v>
      </c>
      <c r="L11" s="60">
        <f t="shared" si="4"/>
        <v>0</v>
      </c>
      <c r="M11" s="60">
        <f t="shared" si="4"/>
        <v>0</v>
      </c>
      <c r="N11" s="60">
        <f t="shared" si="4"/>
        <v>0</v>
      </c>
      <c r="O11" s="60">
        <f t="shared" si="4"/>
        <v>0</v>
      </c>
      <c r="P11" s="60">
        <f t="shared" si="4"/>
        <v>0</v>
      </c>
      <c r="Q11" s="60">
        <f t="shared" si="4"/>
        <v>0</v>
      </c>
      <c r="R11" s="60">
        <f t="shared" si="4"/>
        <v>0</v>
      </c>
      <c r="S11" s="60">
        <f t="shared" si="4"/>
        <v>0</v>
      </c>
      <c r="T11" s="60">
        <f t="shared" si="3"/>
        <v>226</v>
      </c>
      <c r="U11" s="60">
        <f t="shared" si="3"/>
        <v>25387</v>
      </c>
      <c r="V11" s="60">
        <f>V34</f>
        <v>21863</v>
      </c>
    </row>
    <row r="12" spans="1:1021 1028:2045 2052:3069 3076:4093 4100:5117 5124:6141 6148:7165 7172:8189 8196:9213 9220:10237 10244:11261 11268:12285 12292:13309 13316:14333 14340:15357 15364:16381" ht="15" customHeight="1" thickBot="1">
      <c r="A12" s="58"/>
      <c r="B12" s="59" t="s">
        <v>69</v>
      </c>
      <c r="C12" s="60">
        <v>0</v>
      </c>
      <c r="D12" s="60">
        <f>D35</f>
        <v>0</v>
      </c>
      <c r="E12" s="60">
        <f t="shared" si="5"/>
        <v>0</v>
      </c>
      <c r="F12" s="60">
        <f t="shared" si="5"/>
        <v>0</v>
      </c>
      <c r="G12" s="60">
        <f t="shared" si="5"/>
        <v>0</v>
      </c>
      <c r="H12" s="60">
        <f t="shared" si="5"/>
        <v>0</v>
      </c>
      <c r="I12" s="60">
        <f t="shared" si="1"/>
        <v>0</v>
      </c>
      <c r="J12" s="60">
        <f t="shared" si="1"/>
        <v>0</v>
      </c>
      <c r="K12" s="60">
        <f t="shared" si="1"/>
        <v>0</v>
      </c>
      <c r="L12" s="60">
        <f t="shared" si="4"/>
        <v>0</v>
      </c>
      <c r="M12" s="60">
        <f t="shared" si="4"/>
        <v>0</v>
      </c>
      <c r="N12" s="60">
        <f t="shared" si="4"/>
        <v>0</v>
      </c>
      <c r="O12" s="60">
        <f t="shared" si="4"/>
        <v>0</v>
      </c>
      <c r="P12" s="60">
        <f t="shared" si="4"/>
        <v>0</v>
      </c>
      <c r="Q12" s="60">
        <f t="shared" si="4"/>
        <v>0</v>
      </c>
      <c r="R12" s="60">
        <f t="shared" si="4"/>
        <v>0</v>
      </c>
      <c r="S12" s="60">
        <f t="shared" si="4"/>
        <v>33</v>
      </c>
      <c r="T12" s="60">
        <f t="shared" si="3"/>
        <v>16533</v>
      </c>
      <c r="U12" s="60">
        <f t="shared" si="3"/>
        <v>16533</v>
      </c>
      <c r="V12" s="60">
        <f>V35</f>
        <v>68351</v>
      </c>
    </row>
    <row r="13" spans="1:1021 1028:2045 2052:3069 3076:4093 4100:5117 5124:6141 6148:7165 7172:8189 8196:9213 9220:10237 10244:11261 11268:12285 12292:13309 13316:14333 14340:15357 15364:16381" ht="15" customHeight="1" thickBot="1">
      <c r="A13" s="58"/>
      <c r="B13" s="59" t="s">
        <v>187</v>
      </c>
      <c r="C13" s="60">
        <f>C49</f>
        <v>64986.1</v>
      </c>
      <c r="D13" s="60">
        <f>D49</f>
        <v>68659.672779999994</v>
      </c>
      <c r="E13" s="60">
        <v>89220</v>
      </c>
      <c r="F13" s="60">
        <f t="shared" ref="F13:O13" si="6">F49</f>
        <v>104917</v>
      </c>
      <c r="G13" s="60">
        <f t="shared" si="6"/>
        <v>117955.23947000001</v>
      </c>
      <c r="H13" s="60">
        <f t="shared" si="6"/>
        <v>146548</v>
      </c>
      <c r="I13" s="60">
        <f t="shared" si="6"/>
        <v>167579</v>
      </c>
      <c r="J13" s="60">
        <f t="shared" si="6"/>
        <v>281566</v>
      </c>
      <c r="K13" s="60">
        <f t="shared" si="6"/>
        <v>297246</v>
      </c>
      <c r="L13" s="60">
        <f t="shared" si="6"/>
        <v>312710.21393000003</v>
      </c>
      <c r="M13" s="60">
        <f t="shared" si="6"/>
        <v>328006.73179506446</v>
      </c>
      <c r="N13" s="60">
        <f t="shared" si="6"/>
        <v>349767</v>
      </c>
      <c r="O13" s="60">
        <f t="shared" si="6"/>
        <v>367557</v>
      </c>
      <c r="P13" s="60">
        <f t="shared" ref="P13:V13" si="7">P49</f>
        <v>382039</v>
      </c>
      <c r="Q13" s="60">
        <f t="shared" si="7"/>
        <v>396665</v>
      </c>
      <c r="R13" s="60">
        <f t="shared" si="7"/>
        <v>412760</v>
      </c>
      <c r="S13" s="60">
        <f t="shared" si="7"/>
        <v>463454</v>
      </c>
      <c r="T13" s="60">
        <f>T49</f>
        <v>471592</v>
      </c>
      <c r="U13" s="60">
        <f>U49</f>
        <v>487278</v>
      </c>
      <c r="V13" s="60">
        <f t="shared" si="7"/>
        <v>494537</v>
      </c>
    </row>
    <row r="14" spans="1:1021 1028:2045 2052:3069 3076:4093 4100:5117 5124:6141 6148:7165 7172:8189 8196:9213 9220:10237 10244:11261 11268:12285 12292:13309 13316:14333 14340:15357 15364:16381" ht="15" customHeight="1" thickBot="1">
      <c r="A14" s="62"/>
      <c r="B14" s="63" t="s">
        <v>122</v>
      </c>
      <c r="C14" s="64">
        <f t="shared" ref="C14:H14" si="8">SUM(C8:C13)</f>
        <v>2053288.9444400002</v>
      </c>
      <c r="D14" s="64">
        <f t="shared" si="8"/>
        <v>1882463.6727799999</v>
      </c>
      <c r="E14" s="64">
        <f t="shared" si="8"/>
        <v>1728092</v>
      </c>
      <c r="F14" s="64">
        <f t="shared" si="8"/>
        <v>1530132</v>
      </c>
      <c r="G14" s="64">
        <f t="shared" si="8"/>
        <v>1331980.2394699999</v>
      </c>
      <c r="H14" s="64">
        <f t="shared" si="8"/>
        <v>1238013</v>
      </c>
      <c r="I14" s="64">
        <f t="shared" ref="I14:V14" si="9">SUM(I8:I13)</f>
        <v>1178601</v>
      </c>
      <c r="J14" s="64">
        <f t="shared" si="9"/>
        <v>1210309</v>
      </c>
      <c r="K14" s="64">
        <f t="shared" si="9"/>
        <v>986230</v>
      </c>
      <c r="L14" s="64">
        <f t="shared" si="9"/>
        <v>1001151.2139300001</v>
      </c>
      <c r="M14" s="64">
        <f t="shared" si="9"/>
        <v>899579.66154506453</v>
      </c>
      <c r="N14" s="64">
        <f t="shared" si="9"/>
        <v>876738</v>
      </c>
      <c r="O14" s="64">
        <f t="shared" si="9"/>
        <v>907363</v>
      </c>
      <c r="P14" s="64">
        <f t="shared" si="9"/>
        <v>985437</v>
      </c>
      <c r="Q14" s="64">
        <f t="shared" si="9"/>
        <v>949068</v>
      </c>
      <c r="R14" s="64">
        <f t="shared" si="9"/>
        <v>921430</v>
      </c>
      <c r="S14" s="64">
        <f t="shared" si="9"/>
        <v>936901</v>
      </c>
      <c r="T14" s="64">
        <f t="shared" si="9"/>
        <v>942140</v>
      </c>
      <c r="U14" s="64">
        <f t="shared" si="9"/>
        <v>945479</v>
      </c>
      <c r="V14" s="64">
        <f t="shared" si="9"/>
        <v>922615</v>
      </c>
    </row>
    <row r="15" spans="1:1021 1028:2045 2052:3069 3076:4093 4100:5117 5124:6141 6148:7165 7172:8189 8196:9213 9220:10237 10244:11261 11268:12285 12292:13309 13316:14333 14340:15357 15364:16381" ht="15" customHeight="1" thickBot="1">
      <c r="A15" s="58"/>
      <c r="B15" s="59" t="s">
        <v>115</v>
      </c>
      <c r="C15" s="60">
        <f>C37</f>
        <v>-464716.52403999999</v>
      </c>
      <c r="D15" s="60">
        <v>-497947.87162000005</v>
      </c>
      <c r="E15" s="60">
        <f t="shared" ref="E15:O15" si="10">E37</f>
        <v>-190077</v>
      </c>
      <c r="F15" s="60">
        <f t="shared" si="10"/>
        <v>-218810</v>
      </c>
      <c r="G15" s="60">
        <f t="shared" si="10"/>
        <v>-136907</v>
      </c>
      <c r="H15" s="60">
        <f t="shared" si="10"/>
        <v>-164717</v>
      </c>
      <c r="I15" s="60">
        <f t="shared" si="10"/>
        <v>-170387</v>
      </c>
      <c r="J15" s="60">
        <f t="shared" si="10"/>
        <v>-176779</v>
      </c>
      <c r="K15" s="60">
        <f t="shared" si="10"/>
        <v>-79314</v>
      </c>
      <c r="L15" s="60">
        <f t="shared" si="10"/>
        <v>-129949</v>
      </c>
      <c r="M15" s="60">
        <f t="shared" si="10"/>
        <v>-37410</v>
      </c>
      <c r="N15" s="60">
        <f t="shared" si="10"/>
        <v>-74997</v>
      </c>
      <c r="O15" s="60">
        <f t="shared" si="10"/>
        <v>-34937</v>
      </c>
      <c r="P15" s="60">
        <f t="shared" ref="P15:V15" si="11">P37</f>
        <v>-61363</v>
      </c>
      <c r="Q15" s="60">
        <f t="shared" si="11"/>
        <v>-19535</v>
      </c>
      <c r="R15" s="60">
        <f t="shared" si="11"/>
        <v>-33070</v>
      </c>
      <c r="S15" s="60">
        <f t="shared" si="11"/>
        <v>-37325</v>
      </c>
      <c r="T15" s="60">
        <f>T37</f>
        <v>-32792</v>
      </c>
      <c r="U15" s="60">
        <f>U37</f>
        <v>-34728</v>
      </c>
      <c r="V15" s="60">
        <f t="shared" si="11"/>
        <v>-16591</v>
      </c>
    </row>
    <row r="16" spans="1:1021 1028:2045 2052:3069 3076:4093 4100:5117 5124:6141 6148:7165 7172:8189 8196:9213 9220:10237 10244:11261 11268:12285 12292:13309 13316:14333 14340:15357 15364:16381" ht="15" customHeight="1" thickBot="1">
      <c r="A16" s="62"/>
      <c r="B16" s="63" t="s">
        <v>116</v>
      </c>
      <c r="C16" s="64">
        <f t="shared" ref="C16:H16" si="12">SUM(C15,C14)</f>
        <v>1588572.4204000002</v>
      </c>
      <c r="D16" s="64">
        <f t="shared" si="12"/>
        <v>1384515.8011599998</v>
      </c>
      <c r="E16" s="64">
        <f t="shared" si="12"/>
        <v>1538015</v>
      </c>
      <c r="F16" s="64">
        <f t="shared" si="12"/>
        <v>1311322</v>
      </c>
      <c r="G16" s="64">
        <f t="shared" si="12"/>
        <v>1195073.2394699999</v>
      </c>
      <c r="H16" s="64">
        <f t="shared" si="12"/>
        <v>1073296</v>
      </c>
      <c r="I16" s="64">
        <f t="shared" ref="I16:V16" si="13">SUM(I15,I14)</f>
        <v>1008214</v>
      </c>
      <c r="J16" s="64">
        <f t="shared" si="13"/>
        <v>1033530</v>
      </c>
      <c r="K16" s="64">
        <f t="shared" si="13"/>
        <v>906916</v>
      </c>
      <c r="L16" s="64">
        <f t="shared" si="13"/>
        <v>871202.21393000009</v>
      </c>
      <c r="M16" s="64">
        <f t="shared" si="13"/>
        <v>862169.66154506453</v>
      </c>
      <c r="N16" s="64">
        <f>SUM(N15,N14)</f>
        <v>801741</v>
      </c>
      <c r="O16" s="64">
        <f>SUM(O15,O14)</f>
        <v>872426</v>
      </c>
      <c r="P16" s="64">
        <f t="shared" si="13"/>
        <v>924074</v>
      </c>
      <c r="Q16" s="64">
        <f>SUM(Q15,Q14)</f>
        <v>929533</v>
      </c>
      <c r="R16" s="64">
        <f>SUM(R15,R14)</f>
        <v>888360</v>
      </c>
      <c r="S16" s="64">
        <f t="shared" si="13"/>
        <v>899576</v>
      </c>
      <c r="T16" s="64">
        <f>SUM(T15,T14)</f>
        <v>909348</v>
      </c>
      <c r="U16" s="64">
        <f>SUM(U15,U14)</f>
        <v>910751</v>
      </c>
      <c r="V16" s="64">
        <f t="shared" si="13"/>
        <v>906024</v>
      </c>
    </row>
    <row r="17" spans="1:1021 1028:2045 2052:3069 3076:4093 4100:5117 5124:6141 6148:7165 7172:8189 8196:9213 9220:10237 10244:11261 11268:12285 12292:13309 13316:14333 14340:15357 15364:16381" ht="15" customHeight="1" thickBot="1">
      <c r="A17" s="58"/>
      <c r="B17" s="59" t="s">
        <v>275</v>
      </c>
      <c r="C17" s="60">
        <v>665567</v>
      </c>
      <c r="D17" s="60">
        <v>649072</v>
      </c>
      <c r="E17" s="60">
        <f t="shared" ref="E17:O17" si="14">E39</f>
        <v>584537.4761817184</v>
      </c>
      <c r="F17" s="60">
        <f t="shared" si="14"/>
        <v>625966</v>
      </c>
      <c r="G17" s="60">
        <f t="shared" si="14"/>
        <v>700430</v>
      </c>
      <c r="H17" s="60">
        <f t="shared" si="14"/>
        <v>655805</v>
      </c>
      <c r="I17" s="60">
        <f t="shared" si="14"/>
        <v>649124</v>
      </c>
      <c r="J17" s="60">
        <f t="shared" si="14"/>
        <v>691507</v>
      </c>
      <c r="K17" s="60">
        <f t="shared" si="14"/>
        <v>683424</v>
      </c>
      <c r="L17" s="60">
        <f t="shared" si="14"/>
        <v>783517</v>
      </c>
      <c r="M17" s="60">
        <f t="shared" si="14"/>
        <v>655094</v>
      </c>
      <c r="N17" s="60">
        <f t="shared" si="14"/>
        <v>618836</v>
      </c>
      <c r="O17" s="60">
        <f t="shared" si="14"/>
        <v>556573</v>
      </c>
      <c r="P17" s="60">
        <f t="shared" ref="P17:V17" si="15">P39</f>
        <v>450535</v>
      </c>
      <c r="Q17" s="60">
        <f t="shared" si="15"/>
        <v>429150</v>
      </c>
      <c r="R17" s="60">
        <f t="shared" si="15"/>
        <v>420246</v>
      </c>
      <c r="S17" s="60">
        <f t="shared" si="15"/>
        <v>396071</v>
      </c>
      <c r="T17" s="60">
        <f>T39</f>
        <v>391859</v>
      </c>
      <c r="U17" s="60">
        <f>U39</f>
        <v>392972</v>
      </c>
      <c r="V17" s="60">
        <f t="shared" si="15"/>
        <v>283242</v>
      </c>
    </row>
    <row r="18" spans="1:1021 1028:2045 2052:3069 3076:4093 4100:5117 5124:6141 6148:7165 7172:8189 8196:9213 9220:10237 10244:11261 11268:12285 12292:13309 13316:14333 14340:15357 15364:16381" ht="15" customHeight="1" thickBot="1">
      <c r="A18" s="58"/>
      <c r="B18" s="99" t="s">
        <v>121</v>
      </c>
      <c r="C18" s="100">
        <f t="shared" ref="C18:V18" si="16">IFERROR(C16/C17,0)</f>
        <v>2.3867956500247161</v>
      </c>
      <c r="D18" s="100">
        <f t="shared" si="16"/>
        <v>2.1330696766460422</v>
      </c>
      <c r="E18" s="100">
        <f t="shared" si="16"/>
        <v>2.631165772375335</v>
      </c>
      <c r="F18" s="100">
        <f t="shared" si="16"/>
        <v>2.094877357556161</v>
      </c>
      <c r="G18" s="100">
        <f t="shared" si="16"/>
        <v>1.7061993910455004</v>
      </c>
      <c r="H18" s="100">
        <f t="shared" si="16"/>
        <v>1.636608443058531</v>
      </c>
      <c r="I18" s="100">
        <f t="shared" si="16"/>
        <v>1.5531916860260906</v>
      </c>
      <c r="J18" s="100">
        <f t="shared" si="16"/>
        <v>1.4946052606842737</v>
      </c>
      <c r="K18" s="100">
        <f t="shared" si="16"/>
        <v>1.3270180736994897</v>
      </c>
      <c r="L18" s="100">
        <f t="shared" si="16"/>
        <v>1.1119123311044943</v>
      </c>
      <c r="M18" s="100">
        <f t="shared" si="16"/>
        <v>1.3161006840927632</v>
      </c>
      <c r="N18" s="100">
        <f t="shared" si="16"/>
        <v>1.2955629601380656</v>
      </c>
      <c r="O18" s="100">
        <f t="shared" si="16"/>
        <v>1.5674960876650503</v>
      </c>
      <c r="P18" s="100">
        <f t="shared" si="16"/>
        <v>2.0510592961701088</v>
      </c>
      <c r="Q18" s="100">
        <f t="shared" si="16"/>
        <v>2.1659862518932775</v>
      </c>
      <c r="R18" s="100">
        <f t="shared" si="16"/>
        <v>2.1139047129538415</v>
      </c>
      <c r="S18" s="100">
        <f t="shared" si="16"/>
        <v>2.2712493467080397</v>
      </c>
      <c r="T18" s="100">
        <f t="shared" si="16"/>
        <v>2.3206000117389163</v>
      </c>
      <c r="U18" s="100">
        <f t="shared" si="16"/>
        <v>2.3175976914385759</v>
      </c>
      <c r="V18" s="100">
        <f t="shared" si="16"/>
        <v>3.1987628953333194</v>
      </c>
    </row>
    <row r="19" spans="1:1021 1028:2045 2052:3069 3076:4093 4100:5117 5124:6141 6148:7165 7172:8189 8196:9213 9220:10237 10244:11261 11268:12285 12292:13309 13316:14333 14340:15357 15364:16381" ht="15" customHeight="1" thickBot="1">
      <c r="A19" s="58"/>
      <c r="B19" s="59" t="s">
        <v>283</v>
      </c>
      <c r="C19" s="60">
        <v>301822</v>
      </c>
      <c r="D19" s="60">
        <v>321671</v>
      </c>
      <c r="E19" s="60">
        <v>306999</v>
      </c>
      <c r="F19" s="60">
        <v>354437</v>
      </c>
      <c r="G19" s="60">
        <v>439567</v>
      </c>
      <c r="H19" s="60">
        <v>432996</v>
      </c>
      <c r="I19" s="60">
        <f>487331</f>
        <v>487331</v>
      </c>
      <c r="J19" s="60">
        <v>537324</v>
      </c>
      <c r="K19" s="60">
        <v>526433</v>
      </c>
      <c r="L19" s="60">
        <v>613780</v>
      </c>
      <c r="M19" s="60">
        <v>508935</v>
      </c>
      <c r="N19" s="60">
        <v>463938</v>
      </c>
      <c r="O19" s="60">
        <v>397741</v>
      </c>
      <c r="P19" s="60">
        <v>288549</v>
      </c>
      <c r="Q19" s="60">
        <v>254076</v>
      </c>
      <c r="R19" s="60">
        <v>232320</v>
      </c>
      <c r="S19" s="60">
        <v>237091</v>
      </c>
      <c r="T19" s="60">
        <v>239913</v>
      </c>
      <c r="U19" s="60">
        <v>269227</v>
      </c>
      <c r="V19" s="60">
        <v>153506</v>
      </c>
    </row>
    <row r="20" spans="1:1021 1028:2045 2052:3069 3076:4093 4100:5117 5124:6141 6148:7165 7172:8189 8196:9213 9220:10237 10244:11261 11268:12285 12292:13309 13316:14333 14340:15357 15364:16381" ht="15" customHeight="1" thickBot="1">
      <c r="A20" s="58"/>
      <c r="B20" s="99" t="s">
        <v>285</v>
      </c>
      <c r="C20" s="100">
        <f t="shared" ref="C20:K20" si="17">IFERROR(C16/C19,0)</f>
        <v>5.2632757731378099</v>
      </c>
      <c r="D20" s="100">
        <f t="shared" si="17"/>
        <v>4.3041362173152065</v>
      </c>
      <c r="E20" s="100">
        <f t="shared" si="17"/>
        <v>5.0098371655933729</v>
      </c>
      <c r="F20" s="100">
        <f t="shared" si="17"/>
        <v>3.6997322514297322</v>
      </c>
      <c r="G20" s="100">
        <f t="shared" si="17"/>
        <v>2.7187510424349415</v>
      </c>
      <c r="H20" s="100">
        <f t="shared" si="17"/>
        <v>2.4787665474969747</v>
      </c>
      <c r="I20" s="100">
        <f t="shared" si="17"/>
        <v>2.0688484828586731</v>
      </c>
      <c r="J20" s="100">
        <f t="shared" si="17"/>
        <v>1.9234763382986801</v>
      </c>
      <c r="K20" s="100">
        <f t="shared" si="17"/>
        <v>1.7227567420735401</v>
      </c>
      <c r="L20" s="100">
        <f t="shared" ref="L20:V20" si="18">IFERROR(L16/L19,0)</f>
        <v>1.4194046953794521</v>
      </c>
      <c r="M20" s="100">
        <f>IFERROR(M16/M19,0)</f>
        <v>1.6940663572854382</v>
      </c>
      <c r="N20" s="100">
        <f>IFERROR(N16/N19,0)</f>
        <v>1.7281209989265807</v>
      </c>
      <c r="O20" s="100">
        <f t="shared" si="18"/>
        <v>2.1934525231243449</v>
      </c>
      <c r="P20" s="100">
        <f>IFERROR(P16/P19,0)</f>
        <v>3.2024855397176908</v>
      </c>
      <c r="Q20" s="100">
        <f>IFERROR(Q16/Q19,0)</f>
        <v>3.6584840756309136</v>
      </c>
      <c r="R20" s="100">
        <f t="shared" si="18"/>
        <v>3.8238636363636362</v>
      </c>
      <c r="S20" s="100">
        <f t="shared" si="18"/>
        <v>3.7942224715404635</v>
      </c>
      <c r="T20" s="100">
        <f>IFERROR(T16/T19,0)</f>
        <v>3.790323992447262</v>
      </c>
      <c r="U20" s="100">
        <f>IFERROR(U16/U19,0)</f>
        <v>3.3828367882864647</v>
      </c>
      <c r="V20" s="100">
        <f t="shared" si="18"/>
        <v>5.9022057769728873</v>
      </c>
    </row>
    <row r="21" spans="1:1021 1028:2045 2052:3069 3076:4093 4100:5117 5124:6141 6148:7165 7172:8189 8196:9213 9220:10237 10244:11261 11268:12285 12292:13309 13316:14333 14340:15357 15364:16381" ht="15" customHeight="1" thickBot="1"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</row>
    <row r="22" spans="1:1021 1028:2045 2052:3069 3076:4093 4100:5117 5124:6141 6148:7165 7172:8189 8196:9213 9220:10237 10244:11261 11268:12285 12292:13309 13316:14333 14340:15357 15364:16381" ht="15" customHeight="1" thickBot="1">
      <c r="B22" s="101" t="s">
        <v>370</v>
      </c>
      <c r="C22" s="102">
        <v>0.65600000000000003</v>
      </c>
      <c r="D22" s="102">
        <v>0.29499999999999998</v>
      </c>
      <c r="E22" s="102">
        <v>0.35499999999999998</v>
      </c>
      <c r="F22" s="102">
        <f t="shared" ref="F22:K22" si="19">100%-F23</f>
        <v>0.372</v>
      </c>
      <c r="G22" s="102">
        <f t="shared" si="19"/>
        <v>0.2534777277805188</v>
      </c>
      <c r="H22" s="102">
        <f t="shared" si="19"/>
        <v>0.24299999999999999</v>
      </c>
      <c r="I22" s="102">
        <f t="shared" si="19"/>
        <v>0.20399999999999996</v>
      </c>
      <c r="J22" s="102">
        <f t="shared" si="19"/>
        <v>0.19699999999999995</v>
      </c>
      <c r="K22" s="102">
        <f t="shared" si="19"/>
        <v>0.23799999999999999</v>
      </c>
      <c r="L22" s="102">
        <f t="shared" ref="L22:S22" si="20">100%-L23</f>
        <v>0.24968181595275563</v>
      </c>
      <c r="M22" s="102">
        <f t="shared" si="20"/>
        <v>0.58699999999999997</v>
      </c>
      <c r="N22" s="102">
        <f t="shared" si="20"/>
        <v>0.44099999999999995</v>
      </c>
      <c r="O22" s="102">
        <f t="shared" si="20"/>
        <v>0.44299999999999995</v>
      </c>
      <c r="P22" s="102">
        <f t="shared" si="20"/>
        <v>0.47499999999999998</v>
      </c>
      <c r="Q22" s="102">
        <f t="shared" si="20"/>
        <v>0.56600000000000006</v>
      </c>
      <c r="R22" s="102">
        <f t="shared" si="20"/>
        <v>0.45099999999999996</v>
      </c>
      <c r="S22" s="102">
        <f t="shared" si="20"/>
        <v>0.26600000000000001</v>
      </c>
      <c r="T22" s="102">
        <f>100%-T23</f>
        <v>0.35299999999999998</v>
      </c>
      <c r="U22" s="102">
        <f>100%-U23</f>
        <v>0.42600000000000005</v>
      </c>
      <c r="V22" s="102">
        <v>0.4707507674231689</v>
      </c>
    </row>
    <row r="23" spans="1:1021 1028:2045 2052:3069 3076:4093 4100:5117 5124:6141 6148:7165 7172:8189 8196:9213 9220:10237 10244:11261 11268:12285 12292:13309 13316:14333 14340:15357 15364:16381" ht="15" customHeight="1" thickBot="1">
      <c r="B23" s="59" t="s">
        <v>371</v>
      </c>
      <c r="C23" s="95">
        <f>1-C22</f>
        <v>0.34399999999999997</v>
      </c>
      <c r="D23" s="95">
        <f>1-D22</f>
        <v>0.70500000000000007</v>
      </c>
      <c r="E23" s="95">
        <f>1-E22</f>
        <v>0.64500000000000002</v>
      </c>
      <c r="F23" s="95">
        <v>0.628</v>
      </c>
      <c r="G23" s="95">
        <v>0.7465222722194812</v>
      </c>
      <c r="H23" s="95">
        <v>0.75700000000000001</v>
      </c>
      <c r="I23" s="95">
        <v>0.79600000000000004</v>
      </c>
      <c r="J23" s="95">
        <v>0.80300000000000005</v>
      </c>
      <c r="K23" s="95">
        <v>0.76200000000000001</v>
      </c>
      <c r="L23" s="95">
        <v>0.75031818404724437</v>
      </c>
      <c r="M23" s="95">
        <v>0.41299999999999998</v>
      </c>
      <c r="N23" s="95">
        <v>0.55900000000000005</v>
      </c>
      <c r="O23" s="95">
        <v>0.55700000000000005</v>
      </c>
      <c r="P23" s="95">
        <v>0.52500000000000002</v>
      </c>
      <c r="Q23" s="95">
        <v>0.434</v>
      </c>
      <c r="R23" s="95">
        <v>0.54900000000000004</v>
      </c>
      <c r="S23" s="95">
        <v>0.73399999999999999</v>
      </c>
      <c r="T23" s="95">
        <v>0.64700000000000002</v>
      </c>
      <c r="U23" s="95">
        <v>0.57399999999999995</v>
      </c>
      <c r="V23" s="95">
        <v>0.57399999999999995</v>
      </c>
    </row>
    <row r="24" spans="1:1021 1028:2045 2052:3069 3076:4093 4100:5117 5124:6141 6148:7165 7172:8189 8196:9213 9220:10237 10244:11261 11268:12285 12292:13309 13316:14333 14340:15357 15364:16381" ht="15" customHeight="1" thickBot="1">
      <c r="C24" s="96"/>
      <c r="D24" s="96"/>
      <c r="E24" s="96"/>
      <c r="F24" s="96"/>
      <c r="G24" s="96"/>
      <c r="H24" s="96"/>
      <c r="I24" s="96"/>
      <c r="J24" s="96"/>
      <c r="K24" s="96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</row>
    <row r="25" spans="1:1021 1028:2045 2052:3069 3076:4093 4100:5117 5124:6141 6148:7165 7172:8189 8196:9213 9220:10237 10244:11261 11268:12285 12292:13309 13316:14333 14340:15357 15364:16381" ht="15" customHeight="1" thickBot="1">
      <c r="B25" s="101" t="s">
        <v>372</v>
      </c>
      <c r="C25" s="102">
        <f>1-C26</f>
        <v>0.73599999999999999</v>
      </c>
      <c r="D25" s="102">
        <f>1-D26</f>
        <v>0.89800000000000002</v>
      </c>
      <c r="E25" s="102">
        <f>1-E26</f>
        <v>0.97899999999999998</v>
      </c>
      <c r="F25" s="102">
        <f>1-F26</f>
        <v>0.97599999999999998</v>
      </c>
      <c r="G25" s="102">
        <v>0.97218865956366307</v>
      </c>
      <c r="H25" s="102">
        <v>0.96799999999999997</v>
      </c>
      <c r="I25" s="102">
        <v>1</v>
      </c>
      <c r="J25" s="102">
        <v>0.95199999999999996</v>
      </c>
      <c r="K25" s="102">
        <v>0.94</v>
      </c>
      <c r="L25" s="102">
        <v>0.94578209694307791</v>
      </c>
      <c r="M25" s="102">
        <v>0.92300000000000004</v>
      </c>
      <c r="N25" s="102">
        <v>0.82499999999999996</v>
      </c>
      <c r="O25" s="102">
        <v>0.85099999999999998</v>
      </c>
      <c r="P25" s="102">
        <v>0.47499999999999998</v>
      </c>
      <c r="Q25" s="102">
        <v>0.84899999999999998</v>
      </c>
      <c r="R25" s="102">
        <v>0.70599999999999996</v>
      </c>
      <c r="S25" s="102">
        <v>0.71299999999999997</v>
      </c>
      <c r="T25" s="102">
        <v>0.73</v>
      </c>
      <c r="U25" s="102">
        <v>0.68200000000000005</v>
      </c>
      <c r="V25" s="102">
        <v>0.56000000000000005</v>
      </c>
    </row>
    <row r="26" spans="1:1021 1028:2045 2052:3069 3076:4093 4100:5117 5124:6141 6148:7165 7172:8189 8196:9213 9220:10237 10244:11261 11268:12285 12292:13309 13316:14333 14340:15357 15364:16381" ht="15" customHeight="1" thickBot="1">
      <c r="B26" s="59" t="s">
        <v>373</v>
      </c>
      <c r="C26" s="102">
        <v>0.26400000000000001</v>
      </c>
      <c r="D26" s="95">
        <v>0.10199999999999999</v>
      </c>
      <c r="E26" s="102">
        <v>2.1000000000000001E-2</v>
      </c>
      <c r="F26" s="95">
        <v>2.4E-2</v>
      </c>
      <c r="G26" s="95">
        <f>100%-G25</f>
        <v>2.7811340436336929E-2</v>
      </c>
      <c r="H26" s="95">
        <f>100%-H25</f>
        <v>3.2000000000000028E-2</v>
      </c>
      <c r="I26" s="95">
        <f>100%-I25</f>
        <v>0</v>
      </c>
      <c r="J26" s="95">
        <f>100%-J25</f>
        <v>4.8000000000000043E-2</v>
      </c>
      <c r="K26" s="95">
        <f>100%-K25</f>
        <v>6.0000000000000053E-2</v>
      </c>
      <c r="L26" s="95">
        <f t="shared" ref="L26:S26" si="21">100%-L25</f>
        <v>5.421790305692209E-2</v>
      </c>
      <c r="M26" s="95">
        <f t="shared" si="21"/>
        <v>7.6999999999999957E-2</v>
      </c>
      <c r="N26" s="95">
        <f t="shared" si="21"/>
        <v>0.17500000000000004</v>
      </c>
      <c r="O26" s="95">
        <f t="shared" si="21"/>
        <v>0.14900000000000002</v>
      </c>
      <c r="P26" s="95">
        <f t="shared" si="21"/>
        <v>0.52500000000000002</v>
      </c>
      <c r="Q26" s="95">
        <f t="shared" si="21"/>
        <v>0.15100000000000002</v>
      </c>
      <c r="R26" s="95">
        <f t="shared" si="21"/>
        <v>0.29400000000000004</v>
      </c>
      <c r="S26" s="95">
        <f t="shared" si="21"/>
        <v>0.28700000000000003</v>
      </c>
      <c r="T26" s="95">
        <f>100%-T25</f>
        <v>0.27</v>
      </c>
      <c r="U26" s="95">
        <f>100%-U25</f>
        <v>0.31799999999999995</v>
      </c>
      <c r="V26" s="95">
        <f>100%-V25</f>
        <v>0.43999999999999995</v>
      </c>
    </row>
    <row r="27" spans="1:1021 1028:2045 2052:3069 3076:4093 4100:5117 5124:6141 6148:7165 7172:8189 8196:9213 9220:10237 10244:11261 11268:12285 12292:13309 13316:14333 14340:15357 15364:16381" ht="15" customHeight="1">
      <c r="B27" s="103" t="s">
        <v>126</v>
      </c>
      <c r="I27" s="91">
        <f>I12</f>
        <v>0</v>
      </c>
    </row>
    <row r="28" spans="1:1021 1028:2045 2052:3069 3076:4093 4100:5117 5124:6141 6148:7165 7172:8189 8196:9213 9220:10237 10244:11261 11268:12285 12292:13309 13316:14333 14340:15357 15364:16381" ht="15" customHeight="1">
      <c r="B28" s="103" t="s">
        <v>284</v>
      </c>
    </row>
    <row r="29" spans="1:1021 1028:2045 2052:3069 3076:4093 4100:5117 5124:6141 6148:7165 7172:8189 8196:9213 9220:10237 10244:11261 11268:12285 12292:13309 13316:14333 14340:15357 15364:16381" ht="15" customHeight="1"/>
    <row r="30" spans="1:1021 1028:2045 2052:3069 3076:4093 4100:5117 5124:6141 6148:7165 7172:8189 8196:9213 9220:10237 10244:11261 11268:12285 12292:13309 13316:14333 14340:15357 15364:16381" s="104" customFormat="1" ht="15" customHeight="1" thickBot="1">
      <c r="A30" s="4"/>
      <c r="B30" s="52" t="s">
        <v>123</v>
      </c>
      <c r="C30" s="54"/>
      <c r="D30" s="54"/>
      <c r="E30" s="54"/>
      <c r="F30" s="54"/>
      <c r="G30" s="54"/>
      <c r="H30" s="54"/>
      <c r="I30" s="54"/>
      <c r="J30" s="54"/>
      <c r="K30" s="54"/>
      <c r="L30" s="55"/>
      <c r="M30" s="55"/>
      <c r="N30" s="54"/>
      <c r="O30" s="54"/>
      <c r="P30" s="54"/>
      <c r="Q30" s="54"/>
      <c r="R30" s="54"/>
      <c r="S30" s="54"/>
      <c r="T30" s="54"/>
      <c r="U30" s="54"/>
      <c r="V30" s="54"/>
      <c r="AB30" s="56"/>
      <c r="AC30" s="105"/>
      <c r="AJ30" s="56"/>
      <c r="AK30" s="105"/>
      <c r="AR30" s="56"/>
      <c r="AS30" s="105"/>
      <c r="AZ30" s="56"/>
      <c r="BA30" s="105"/>
      <c r="BH30" s="56"/>
      <c r="BI30" s="105"/>
      <c r="BP30" s="56"/>
      <c r="BQ30" s="105"/>
      <c r="BX30" s="56"/>
      <c r="BY30" s="105"/>
      <c r="CF30" s="56"/>
      <c r="CG30" s="105"/>
      <c r="CN30" s="56"/>
      <c r="CO30" s="105"/>
      <c r="CV30" s="56"/>
      <c r="CW30" s="105"/>
      <c r="DD30" s="56"/>
      <c r="DE30" s="105"/>
      <c r="DL30" s="56"/>
      <c r="DM30" s="105"/>
      <c r="DT30" s="56"/>
      <c r="DU30" s="105"/>
      <c r="EB30" s="56"/>
      <c r="EC30" s="105"/>
      <c r="EJ30" s="56"/>
      <c r="EK30" s="105"/>
      <c r="ER30" s="56"/>
      <c r="ES30" s="105"/>
      <c r="EZ30" s="56"/>
      <c r="FA30" s="105"/>
      <c r="FH30" s="56"/>
      <c r="FI30" s="105"/>
      <c r="FP30" s="56"/>
      <c r="FQ30" s="105"/>
      <c r="FX30" s="56"/>
      <c r="FY30" s="105"/>
      <c r="GF30" s="56"/>
      <c r="GG30" s="105"/>
      <c r="GN30" s="56"/>
      <c r="GO30" s="105"/>
      <c r="GV30" s="56"/>
      <c r="GW30" s="105"/>
      <c r="HD30" s="56"/>
      <c r="HE30" s="105"/>
      <c r="HL30" s="56"/>
      <c r="HM30" s="105"/>
      <c r="HT30" s="56"/>
      <c r="HU30" s="105"/>
      <c r="IB30" s="56"/>
      <c r="IC30" s="105"/>
      <c r="IJ30" s="56"/>
      <c r="IK30" s="105"/>
      <c r="IR30" s="56"/>
      <c r="IS30" s="105"/>
      <c r="IZ30" s="56"/>
      <c r="JA30" s="105"/>
      <c r="JH30" s="56"/>
      <c r="JI30" s="105"/>
      <c r="JP30" s="56"/>
      <c r="JQ30" s="105"/>
      <c r="JX30" s="56"/>
      <c r="JY30" s="105"/>
      <c r="KF30" s="56"/>
      <c r="KG30" s="105"/>
      <c r="KN30" s="56"/>
      <c r="KO30" s="105"/>
      <c r="KV30" s="56"/>
      <c r="KW30" s="105"/>
      <c r="LD30" s="56"/>
      <c r="LE30" s="105"/>
      <c r="LL30" s="56"/>
      <c r="LM30" s="105"/>
      <c r="LT30" s="56"/>
      <c r="LU30" s="105"/>
      <c r="MB30" s="56"/>
      <c r="MC30" s="105"/>
      <c r="MJ30" s="56"/>
      <c r="MK30" s="105"/>
      <c r="MR30" s="56"/>
      <c r="MS30" s="105"/>
      <c r="MZ30" s="56"/>
      <c r="NA30" s="105"/>
      <c r="NH30" s="56"/>
      <c r="NI30" s="105"/>
      <c r="NP30" s="56"/>
      <c r="NQ30" s="105"/>
      <c r="NX30" s="56"/>
      <c r="NY30" s="105"/>
      <c r="OF30" s="56"/>
      <c r="OG30" s="105"/>
      <c r="ON30" s="56"/>
      <c r="OO30" s="105"/>
      <c r="OV30" s="56"/>
      <c r="OW30" s="105"/>
      <c r="PD30" s="56"/>
      <c r="PE30" s="105"/>
      <c r="PL30" s="56"/>
      <c r="PM30" s="105"/>
      <c r="PT30" s="56"/>
      <c r="PU30" s="105"/>
      <c r="QB30" s="56"/>
      <c r="QC30" s="105"/>
      <c r="QJ30" s="56"/>
      <c r="QK30" s="105"/>
      <c r="QR30" s="56"/>
      <c r="QS30" s="105"/>
      <c r="QZ30" s="56"/>
      <c r="RA30" s="105"/>
      <c r="RH30" s="56"/>
      <c r="RI30" s="105"/>
      <c r="RP30" s="56"/>
      <c r="RQ30" s="105"/>
      <c r="RX30" s="56"/>
      <c r="RY30" s="105"/>
      <c r="SF30" s="56"/>
      <c r="SG30" s="105"/>
      <c r="SN30" s="56"/>
      <c r="SO30" s="105"/>
      <c r="SV30" s="56"/>
      <c r="SW30" s="105"/>
      <c r="TD30" s="56"/>
      <c r="TE30" s="105"/>
      <c r="TL30" s="56"/>
      <c r="TM30" s="105"/>
      <c r="TT30" s="56"/>
      <c r="TU30" s="105"/>
      <c r="UB30" s="56"/>
      <c r="UC30" s="105"/>
      <c r="UJ30" s="56"/>
      <c r="UK30" s="105"/>
      <c r="UR30" s="56"/>
      <c r="US30" s="105"/>
      <c r="UZ30" s="56"/>
      <c r="VA30" s="105"/>
      <c r="VH30" s="56"/>
      <c r="VI30" s="105"/>
      <c r="VP30" s="56"/>
      <c r="VQ30" s="105"/>
      <c r="VX30" s="56"/>
      <c r="VY30" s="105"/>
      <c r="WF30" s="56"/>
      <c r="WG30" s="105"/>
      <c r="WN30" s="56"/>
      <c r="WO30" s="105"/>
      <c r="WV30" s="56"/>
      <c r="WW30" s="105"/>
      <c r="XD30" s="56"/>
      <c r="XE30" s="105"/>
      <c r="XL30" s="56"/>
      <c r="XM30" s="105"/>
      <c r="XT30" s="56"/>
      <c r="XU30" s="105"/>
      <c r="YB30" s="56"/>
      <c r="YC30" s="105"/>
      <c r="YJ30" s="56"/>
      <c r="YK30" s="105"/>
      <c r="YR30" s="56"/>
      <c r="YS30" s="105"/>
      <c r="YZ30" s="56"/>
      <c r="ZA30" s="105"/>
      <c r="ZH30" s="56"/>
      <c r="ZI30" s="105"/>
      <c r="ZP30" s="56"/>
      <c r="ZQ30" s="105"/>
      <c r="ZX30" s="56"/>
      <c r="ZY30" s="105"/>
      <c r="AAF30" s="56"/>
      <c r="AAG30" s="105"/>
      <c r="AAN30" s="56"/>
      <c r="AAO30" s="105"/>
      <c r="AAV30" s="56"/>
      <c r="AAW30" s="105"/>
      <c r="ABD30" s="56"/>
      <c r="ABE30" s="105"/>
      <c r="ABL30" s="56"/>
      <c r="ABM30" s="105"/>
      <c r="ABT30" s="56"/>
      <c r="ABU30" s="105"/>
      <c r="ACB30" s="56"/>
      <c r="ACC30" s="105"/>
      <c r="ACJ30" s="56"/>
      <c r="ACK30" s="105"/>
      <c r="ACR30" s="56"/>
      <c r="ACS30" s="105"/>
      <c r="ACZ30" s="56"/>
      <c r="ADA30" s="105"/>
      <c r="ADH30" s="56"/>
      <c r="ADI30" s="105"/>
      <c r="ADP30" s="56"/>
      <c r="ADQ30" s="105"/>
      <c r="ADX30" s="56"/>
      <c r="ADY30" s="105"/>
      <c r="AEF30" s="56"/>
      <c r="AEG30" s="105"/>
      <c r="AEN30" s="56"/>
      <c r="AEO30" s="105"/>
      <c r="AEV30" s="56"/>
      <c r="AEW30" s="105"/>
      <c r="AFD30" s="56"/>
      <c r="AFE30" s="105"/>
      <c r="AFL30" s="56"/>
      <c r="AFM30" s="105"/>
      <c r="AFT30" s="56"/>
      <c r="AFU30" s="105"/>
      <c r="AGB30" s="56"/>
      <c r="AGC30" s="105"/>
      <c r="AGJ30" s="56"/>
      <c r="AGK30" s="105"/>
      <c r="AGR30" s="56"/>
      <c r="AGS30" s="105"/>
      <c r="AGZ30" s="56"/>
      <c r="AHA30" s="105"/>
      <c r="AHH30" s="56"/>
      <c r="AHI30" s="105"/>
      <c r="AHP30" s="56"/>
      <c r="AHQ30" s="105"/>
      <c r="AHX30" s="56"/>
      <c r="AHY30" s="105"/>
      <c r="AIF30" s="56"/>
      <c r="AIG30" s="105"/>
      <c r="AIN30" s="56"/>
      <c r="AIO30" s="105"/>
      <c r="AIV30" s="56"/>
      <c r="AIW30" s="105"/>
      <c r="AJD30" s="56"/>
      <c r="AJE30" s="105"/>
      <c r="AJL30" s="56"/>
      <c r="AJM30" s="105"/>
      <c r="AJT30" s="56"/>
      <c r="AJU30" s="105"/>
      <c r="AKB30" s="56"/>
      <c r="AKC30" s="105"/>
      <c r="AKJ30" s="56"/>
      <c r="AKK30" s="105"/>
      <c r="AKR30" s="56"/>
      <c r="AKS30" s="105"/>
      <c r="AKZ30" s="56"/>
      <c r="ALA30" s="105"/>
      <c r="ALH30" s="56"/>
      <c r="ALI30" s="105"/>
      <c r="ALP30" s="56"/>
      <c r="ALQ30" s="105"/>
      <c r="ALX30" s="56"/>
      <c r="ALY30" s="105"/>
      <c r="AMF30" s="56"/>
      <c r="AMG30" s="105"/>
      <c r="AMN30" s="56"/>
      <c r="AMO30" s="105"/>
      <c r="AMV30" s="56"/>
      <c r="AMW30" s="105"/>
      <c r="AND30" s="56"/>
      <c r="ANE30" s="105"/>
      <c r="ANL30" s="56"/>
      <c r="ANM30" s="105"/>
      <c r="ANT30" s="56"/>
      <c r="ANU30" s="105"/>
      <c r="AOB30" s="56"/>
      <c r="AOC30" s="105"/>
      <c r="AOJ30" s="56"/>
      <c r="AOK30" s="105"/>
      <c r="AOR30" s="56"/>
      <c r="AOS30" s="105"/>
      <c r="AOZ30" s="56"/>
      <c r="APA30" s="105"/>
      <c r="APH30" s="56"/>
      <c r="API30" s="105"/>
      <c r="APP30" s="56"/>
      <c r="APQ30" s="105"/>
      <c r="APX30" s="56"/>
      <c r="APY30" s="105"/>
      <c r="AQF30" s="56"/>
      <c r="AQG30" s="105"/>
      <c r="AQN30" s="56"/>
      <c r="AQO30" s="105"/>
      <c r="AQV30" s="56"/>
      <c r="AQW30" s="105"/>
      <c r="ARD30" s="56"/>
      <c r="ARE30" s="105"/>
      <c r="ARL30" s="56"/>
      <c r="ARM30" s="105"/>
      <c r="ART30" s="56"/>
      <c r="ARU30" s="105"/>
      <c r="ASB30" s="56"/>
      <c r="ASC30" s="105"/>
      <c r="ASJ30" s="56"/>
      <c r="ASK30" s="105"/>
      <c r="ASR30" s="56"/>
      <c r="ASS30" s="105"/>
      <c r="ASZ30" s="56"/>
      <c r="ATA30" s="105"/>
      <c r="ATH30" s="56"/>
      <c r="ATI30" s="105"/>
      <c r="ATP30" s="56"/>
      <c r="ATQ30" s="105"/>
      <c r="ATX30" s="56"/>
      <c r="ATY30" s="105"/>
      <c r="AUF30" s="56"/>
      <c r="AUG30" s="105"/>
      <c r="AUN30" s="56"/>
      <c r="AUO30" s="105"/>
      <c r="AUV30" s="56"/>
      <c r="AUW30" s="105"/>
      <c r="AVD30" s="56"/>
      <c r="AVE30" s="105"/>
      <c r="AVL30" s="56"/>
      <c r="AVM30" s="105"/>
      <c r="AVT30" s="56"/>
      <c r="AVU30" s="105"/>
      <c r="AWB30" s="56"/>
      <c r="AWC30" s="105"/>
      <c r="AWJ30" s="56"/>
      <c r="AWK30" s="105"/>
      <c r="AWR30" s="56"/>
      <c r="AWS30" s="105"/>
      <c r="AWZ30" s="56"/>
      <c r="AXA30" s="105"/>
      <c r="AXH30" s="56"/>
      <c r="AXI30" s="105"/>
      <c r="AXP30" s="56"/>
      <c r="AXQ30" s="105"/>
      <c r="AXX30" s="56"/>
      <c r="AXY30" s="105"/>
      <c r="AYF30" s="56"/>
      <c r="AYG30" s="105"/>
      <c r="AYN30" s="56"/>
      <c r="AYO30" s="105"/>
      <c r="AYV30" s="56"/>
      <c r="AYW30" s="105"/>
      <c r="AZD30" s="56"/>
      <c r="AZE30" s="105"/>
      <c r="AZL30" s="56"/>
      <c r="AZM30" s="105"/>
      <c r="AZT30" s="56"/>
      <c r="AZU30" s="105"/>
      <c r="BAB30" s="56"/>
      <c r="BAC30" s="105"/>
      <c r="BAJ30" s="56"/>
      <c r="BAK30" s="105"/>
      <c r="BAR30" s="56"/>
      <c r="BAS30" s="105"/>
      <c r="BAZ30" s="56"/>
      <c r="BBA30" s="105"/>
      <c r="BBH30" s="56"/>
      <c r="BBI30" s="105"/>
      <c r="BBP30" s="56"/>
      <c r="BBQ30" s="105"/>
      <c r="BBX30" s="56"/>
      <c r="BBY30" s="105"/>
      <c r="BCF30" s="56"/>
      <c r="BCG30" s="105"/>
      <c r="BCN30" s="56"/>
      <c r="BCO30" s="105"/>
      <c r="BCV30" s="56"/>
      <c r="BCW30" s="105"/>
      <c r="BDD30" s="56"/>
      <c r="BDE30" s="105"/>
      <c r="BDL30" s="56"/>
      <c r="BDM30" s="105"/>
      <c r="BDT30" s="56"/>
      <c r="BDU30" s="105"/>
      <c r="BEB30" s="56"/>
      <c r="BEC30" s="105"/>
      <c r="BEJ30" s="56"/>
      <c r="BEK30" s="105"/>
      <c r="BER30" s="56"/>
      <c r="BES30" s="105"/>
      <c r="BEZ30" s="56"/>
      <c r="BFA30" s="105"/>
      <c r="BFH30" s="56"/>
      <c r="BFI30" s="105"/>
      <c r="BFP30" s="56"/>
      <c r="BFQ30" s="105"/>
      <c r="BFX30" s="56"/>
      <c r="BFY30" s="105"/>
      <c r="BGF30" s="56"/>
      <c r="BGG30" s="105"/>
      <c r="BGN30" s="56"/>
      <c r="BGO30" s="105"/>
      <c r="BGV30" s="56"/>
      <c r="BGW30" s="105"/>
      <c r="BHD30" s="56"/>
      <c r="BHE30" s="105"/>
      <c r="BHL30" s="56"/>
      <c r="BHM30" s="105"/>
      <c r="BHT30" s="56"/>
      <c r="BHU30" s="105"/>
      <c r="BIB30" s="56"/>
      <c r="BIC30" s="105"/>
      <c r="BIJ30" s="56"/>
      <c r="BIK30" s="105"/>
      <c r="BIR30" s="56"/>
      <c r="BIS30" s="105"/>
      <c r="BIZ30" s="56"/>
      <c r="BJA30" s="105"/>
      <c r="BJH30" s="56"/>
      <c r="BJI30" s="105"/>
      <c r="BJP30" s="56"/>
      <c r="BJQ30" s="105"/>
      <c r="BJX30" s="56"/>
      <c r="BJY30" s="105"/>
      <c r="BKF30" s="56"/>
      <c r="BKG30" s="105"/>
      <c r="BKN30" s="56"/>
      <c r="BKO30" s="105"/>
      <c r="BKV30" s="56"/>
      <c r="BKW30" s="105"/>
      <c r="BLD30" s="56"/>
      <c r="BLE30" s="105"/>
      <c r="BLL30" s="56"/>
      <c r="BLM30" s="105"/>
      <c r="BLT30" s="56"/>
      <c r="BLU30" s="105"/>
      <c r="BMB30" s="56"/>
      <c r="BMC30" s="105"/>
      <c r="BMJ30" s="56"/>
      <c r="BMK30" s="105"/>
      <c r="BMR30" s="56"/>
      <c r="BMS30" s="105"/>
      <c r="BMZ30" s="56"/>
      <c r="BNA30" s="105"/>
      <c r="BNH30" s="56"/>
      <c r="BNI30" s="105"/>
      <c r="BNP30" s="56"/>
      <c r="BNQ30" s="105"/>
      <c r="BNX30" s="56"/>
      <c r="BNY30" s="105"/>
      <c r="BOF30" s="56"/>
      <c r="BOG30" s="105"/>
      <c r="BON30" s="56"/>
      <c r="BOO30" s="105"/>
      <c r="BOV30" s="56"/>
      <c r="BOW30" s="105"/>
      <c r="BPD30" s="56"/>
      <c r="BPE30" s="105"/>
      <c r="BPL30" s="56"/>
      <c r="BPM30" s="105"/>
      <c r="BPT30" s="56"/>
      <c r="BPU30" s="105"/>
      <c r="BQB30" s="56"/>
      <c r="BQC30" s="105"/>
      <c r="BQJ30" s="56"/>
      <c r="BQK30" s="105"/>
      <c r="BQR30" s="56"/>
      <c r="BQS30" s="105"/>
      <c r="BQZ30" s="56"/>
      <c r="BRA30" s="105"/>
      <c r="BRH30" s="56"/>
      <c r="BRI30" s="105"/>
      <c r="BRP30" s="56"/>
      <c r="BRQ30" s="105"/>
      <c r="BRX30" s="56"/>
      <c r="BRY30" s="105"/>
      <c r="BSF30" s="56"/>
      <c r="BSG30" s="105"/>
      <c r="BSN30" s="56"/>
      <c r="BSO30" s="105"/>
      <c r="BSV30" s="56"/>
      <c r="BSW30" s="105"/>
      <c r="BTD30" s="56"/>
      <c r="BTE30" s="105"/>
      <c r="BTL30" s="56"/>
      <c r="BTM30" s="105"/>
      <c r="BTT30" s="56"/>
      <c r="BTU30" s="105"/>
      <c r="BUB30" s="56"/>
      <c r="BUC30" s="105"/>
      <c r="BUJ30" s="56"/>
      <c r="BUK30" s="105"/>
      <c r="BUR30" s="56"/>
      <c r="BUS30" s="105"/>
      <c r="BUZ30" s="56"/>
      <c r="BVA30" s="105"/>
      <c r="BVH30" s="56"/>
      <c r="BVI30" s="105"/>
      <c r="BVP30" s="56"/>
      <c r="BVQ30" s="105"/>
      <c r="BVX30" s="56"/>
      <c r="BVY30" s="105"/>
      <c r="BWF30" s="56"/>
      <c r="BWG30" s="105"/>
      <c r="BWN30" s="56"/>
      <c r="BWO30" s="105"/>
      <c r="BWV30" s="56"/>
      <c r="BWW30" s="105"/>
      <c r="BXD30" s="56"/>
      <c r="BXE30" s="105"/>
      <c r="BXL30" s="56"/>
      <c r="BXM30" s="105"/>
      <c r="BXT30" s="56"/>
      <c r="BXU30" s="105"/>
      <c r="BYB30" s="56"/>
      <c r="BYC30" s="105"/>
      <c r="BYJ30" s="56"/>
      <c r="BYK30" s="105"/>
      <c r="BYR30" s="56"/>
      <c r="BYS30" s="105"/>
      <c r="BYZ30" s="56"/>
      <c r="BZA30" s="105"/>
      <c r="BZH30" s="56"/>
      <c r="BZI30" s="105"/>
      <c r="BZP30" s="56"/>
      <c r="BZQ30" s="105"/>
      <c r="BZX30" s="56"/>
      <c r="BZY30" s="105"/>
      <c r="CAF30" s="56"/>
      <c r="CAG30" s="105"/>
      <c r="CAN30" s="56"/>
      <c r="CAO30" s="105"/>
      <c r="CAV30" s="56"/>
      <c r="CAW30" s="105"/>
      <c r="CBD30" s="56"/>
      <c r="CBE30" s="105"/>
      <c r="CBL30" s="56"/>
      <c r="CBM30" s="105"/>
      <c r="CBT30" s="56"/>
      <c r="CBU30" s="105"/>
      <c r="CCB30" s="56"/>
      <c r="CCC30" s="105"/>
      <c r="CCJ30" s="56"/>
      <c r="CCK30" s="105"/>
      <c r="CCR30" s="56"/>
      <c r="CCS30" s="105"/>
      <c r="CCZ30" s="56"/>
      <c r="CDA30" s="105"/>
      <c r="CDH30" s="56"/>
      <c r="CDI30" s="105"/>
      <c r="CDP30" s="56"/>
      <c r="CDQ30" s="105"/>
      <c r="CDX30" s="56"/>
      <c r="CDY30" s="105"/>
      <c r="CEF30" s="56"/>
      <c r="CEG30" s="105"/>
      <c r="CEN30" s="56"/>
      <c r="CEO30" s="105"/>
      <c r="CEV30" s="56"/>
      <c r="CEW30" s="105"/>
      <c r="CFD30" s="56"/>
      <c r="CFE30" s="105"/>
      <c r="CFL30" s="56"/>
      <c r="CFM30" s="105"/>
      <c r="CFT30" s="56"/>
      <c r="CFU30" s="105"/>
      <c r="CGB30" s="56"/>
      <c r="CGC30" s="105"/>
      <c r="CGJ30" s="56"/>
      <c r="CGK30" s="105"/>
      <c r="CGR30" s="56"/>
      <c r="CGS30" s="105"/>
      <c r="CGZ30" s="56"/>
      <c r="CHA30" s="105"/>
      <c r="CHH30" s="56"/>
      <c r="CHI30" s="105"/>
      <c r="CHP30" s="56"/>
      <c r="CHQ30" s="105"/>
      <c r="CHX30" s="56"/>
      <c r="CHY30" s="105"/>
      <c r="CIF30" s="56"/>
      <c r="CIG30" s="105"/>
      <c r="CIN30" s="56"/>
      <c r="CIO30" s="105"/>
      <c r="CIV30" s="56"/>
      <c r="CIW30" s="105"/>
      <c r="CJD30" s="56"/>
      <c r="CJE30" s="105"/>
      <c r="CJL30" s="56"/>
      <c r="CJM30" s="105"/>
      <c r="CJT30" s="56"/>
      <c r="CJU30" s="105"/>
      <c r="CKB30" s="56"/>
      <c r="CKC30" s="105"/>
      <c r="CKJ30" s="56"/>
      <c r="CKK30" s="105"/>
      <c r="CKR30" s="56"/>
      <c r="CKS30" s="105"/>
      <c r="CKZ30" s="56"/>
      <c r="CLA30" s="105"/>
      <c r="CLH30" s="56"/>
      <c r="CLI30" s="105"/>
      <c r="CLP30" s="56"/>
      <c r="CLQ30" s="105"/>
      <c r="CLX30" s="56"/>
      <c r="CLY30" s="105"/>
      <c r="CMF30" s="56"/>
      <c r="CMG30" s="105"/>
      <c r="CMN30" s="56"/>
      <c r="CMO30" s="105"/>
      <c r="CMV30" s="56"/>
      <c r="CMW30" s="105"/>
      <c r="CND30" s="56"/>
      <c r="CNE30" s="105"/>
      <c r="CNL30" s="56"/>
      <c r="CNM30" s="105"/>
      <c r="CNT30" s="56"/>
      <c r="CNU30" s="105"/>
      <c r="COB30" s="56"/>
      <c r="COC30" s="105"/>
      <c r="COJ30" s="56"/>
      <c r="COK30" s="105"/>
      <c r="COR30" s="56"/>
      <c r="COS30" s="105"/>
      <c r="COZ30" s="56"/>
      <c r="CPA30" s="105"/>
      <c r="CPH30" s="56"/>
      <c r="CPI30" s="105"/>
      <c r="CPP30" s="56"/>
      <c r="CPQ30" s="105"/>
      <c r="CPX30" s="56"/>
      <c r="CPY30" s="105"/>
      <c r="CQF30" s="56"/>
      <c r="CQG30" s="105"/>
      <c r="CQN30" s="56"/>
      <c r="CQO30" s="105"/>
      <c r="CQV30" s="56"/>
      <c r="CQW30" s="105"/>
      <c r="CRD30" s="56"/>
      <c r="CRE30" s="105"/>
      <c r="CRL30" s="56"/>
      <c r="CRM30" s="105"/>
      <c r="CRT30" s="56"/>
      <c r="CRU30" s="105"/>
      <c r="CSB30" s="56"/>
      <c r="CSC30" s="105"/>
      <c r="CSJ30" s="56"/>
      <c r="CSK30" s="105"/>
      <c r="CSR30" s="56"/>
      <c r="CSS30" s="105"/>
      <c r="CSZ30" s="56"/>
      <c r="CTA30" s="105"/>
      <c r="CTH30" s="56"/>
      <c r="CTI30" s="105"/>
      <c r="CTP30" s="56"/>
      <c r="CTQ30" s="105"/>
      <c r="CTX30" s="56"/>
      <c r="CTY30" s="105"/>
      <c r="CUF30" s="56"/>
      <c r="CUG30" s="105"/>
      <c r="CUN30" s="56"/>
      <c r="CUO30" s="105"/>
      <c r="CUV30" s="56"/>
      <c r="CUW30" s="105"/>
      <c r="CVD30" s="56"/>
      <c r="CVE30" s="105"/>
      <c r="CVL30" s="56"/>
      <c r="CVM30" s="105"/>
      <c r="CVT30" s="56"/>
      <c r="CVU30" s="105"/>
      <c r="CWB30" s="56"/>
      <c r="CWC30" s="105"/>
      <c r="CWJ30" s="56"/>
      <c r="CWK30" s="105"/>
      <c r="CWR30" s="56"/>
      <c r="CWS30" s="105"/>
      <c r="CWZ30" s="56"/>
      <c r="CXA30" s="105"/>
      <c r="CXH30" s="56"/>
      <c r="CXI30" s="105"/>
      <c r="CXP30" s="56"/>
      <c r="CXQ30" s="105"/>
      <c r="CXX30" s="56"/>
      <c r="CXY30" s="105"/>
      <c r="CYF30" s="56"/>
      <c r="CYG30" s="105"/>
      <c r="CYN30" s="56"/>
      <c r="CYO30" s="105"/>
      <c r="CYV30" s="56"/>
      <c r="CYW30" s="105"/>
      <c r="CZD30" s="56"/>
      <c r="CZE30" s="105"/>
      <c r="CZL30" s="56"/>
      <c r="CZM30" s="105"/>
      <c r="CZT30" s="56"/>
      <c r="CZU30" s="105"/>
      <c r="DAB30" s="56"/>
      <c r="DAC30" s="105"/>
      <c r="DAJ30" s="56"/>
      <c r="DAK30" s="105"/>
      <c r="DAR30" s="56"/>
      <c r="DAS30" s="105"/>
      <c r="DAZ30" s="56"/>
      <c r="DBA30" s="105"/>
      <c r="DBH30" s="56"/>
      <c r="DBI30" s="105"/>
      <c r="DBP30" s="56"/>
      <c r="DBQ30" s="105"/>
      <c r="DBX30" s="56"/>
      <c r="DBY30" s="105"/>
      <c r="DCF30" s="56"/>
      <c r="DCG30" s="105"/>
      <c r="DCN30" s="56"/>
      <c r="DCO30" s="105"/>
      <c r="DCV30" s="56"/>
      <c r="DCW30" s="105"/>
      <c r="DDD30" s="56"/>
      <c r="DDE30" s="105"/>
      <c r="DDL30" s="56"/>
      <c r="DDM30" s="105"/>
      <c r="DDT30" s="56"/>
      <c r="DDU30" s="105"/>
      <c r="DEB30" s="56"/>
      <c r="DEC30" s="105"/>
      <c r="DEJ30" s="56"/>
      <c r="DEK30" s="105"/>
      <c r="DER30" s="56"/>
      <c r="DES30" s="105"/>
      <c r="DEZ30" s="56"/>
      <c r="DFA30" s="105"/>
      <c r="DFH30" s="56"/>
      <c r="DFI30" s="105"/>
      <c r="DFP30" s="56"/>
      <c r="DFQ30" s="105"/>
      <c r="DFX30" s="56"/>
      <c r="DFY30" s="105"/>
      <c r="DGF30" s="56"/>
      <c r="DGG30" s="105"/>
      <c r="DGN30" s="56"/>
      <c r="DGO30" s="105"/>
      <c r="DGV30" s="56"/>
      <c r="DGW30" s="105"/>
      <c r="DHD30" s="56"/>
      <c r="DHE30" s="105"/>
      <c r="DHL30" s="56"/>
      <c r="DHM30" s="105"/>
      <c r="DHT30" s="56"/>
      <c r="DHU30" s="105"/>
      <c r="DIB30" s="56"/>
      <c r="DIC30" s="105"/>
      <c r="DIJ30" s="56"/>
      <c r="DIK30" s="105"/>
      <c r="DIR30" s="56"/>
      <c r="DIS30" s="105"/>
      <c r="DIZ30" s="56"/>
      <c r="DJA30" s="105"/>
      <c r="DJH30" s="56"/>
      <c r="DJI30" s="105"/>
      <c r="DJP30" s="56"/>
      <c r="DJQ30" s="105"/>
      <c r="DJX30" s="56"/>
      <c r="DJY30" s="105"/>
      <c r="DKF30" s="56"/>
      <c r="DKG30" s="105"/>
      <c r="DKN30" s="56"/>
      <c r="DKO30" s="105"/>
      <c r="DKV30" s="56"/>
      <c r="DKW30" s="105"/>
      <c r="DLD30" s="56"/>
      <c r="DLE30" s="105"/>
      <c r="DLL30" s="56"/>
      <c r="DLM30" s="105"/>
      <c r="DLT30" s="56"/>
      <c r="DLU30" s="105"/>
      <c r="DMB30" s="56"/>
      <c r="DMC30" s="105"/>
      <c r="DMJ30" s="56"/>
      <c r="DMK30" s="105"/>
      <c r="DMR30" s="56"/>
      <c r="DMS30" s="105"/>
      <c r="DMZ30" s="56"/>
      <c r="DNA30" s="105"/>
      <c r="DNH30" s="56"/>
      <c r="DNI30" s="105"/>
      <c r="DNP30" s="56"/>
      <c r="DNQ30" s="105"/>
      <c r="DNX30" s="56"/>
      <c r="DNY30" s="105"/>
      <c r="DOF30" s="56"/>
      <c r="DOG30" s="105"/>
      <c r="DON30" s="56"/>
      <c r="DOO30" s="105"/>
      <c r="DOV30" s="56"/>
      <c r="DOW30" s="105"/>
      <c r="DPD30" s="56"/>
      <c r="DPE30" s="105"/>
      <c r="DPL30" s="56"/>
      <c r="DPM30" s="105"/>
      <c r="DPT30" s="56"/>
      <c r="DPU30" s="105"/>
      <c r="DQB30" s="56"/>
      <c r="DQC30" s="105"/>
      <c r="DQJ30" s="56"/>
      <c r="DQK30" s="105"/>
      <c r="DQR30" s="56"/>
      <c r="DQS30" s="105"/>
      <c r="DQZ30" s="56"/>
      <c r="DRA30" s="105"/>
      <c r="DRH30" s="56"/>
      <c r="DRI30" s="105"/>
      <c r="DRP30" s="56"/>
      <c r="DRQ30" s="105"/>
      <c r="DRX30" s="56"/>
      <c r="DRY30" s="105"/>
      <c r="DSF30" s="56"/>
      <c r="DSG30" s="105"/>
      <c r="DSN30" s="56"/>
      <c r="DSO30" s="105"/>
      <c r="DSV30" s="56"/>
      <c r="DSW30" s="105"/>
      <c r="DTD30" s="56"/>
      <c r="DTE30" s="105"/>
      <c r="DTL30" s="56"/>
      <c r="DTM30" s="105"/>
      <c r="DTT30" s="56"/>
      <c r="DTU30" s="105"/>
      <c r="DUB30" s="56"/>
      <c r="DUC30" s="105"/>
      <c r="DUJ30" s="56"/>
      <c r="DUK30" s="105"/>
      <c r="DUR30" s="56"/>
      <c r="DUS30" s="105"/>
      <c r="DUZ30" s="56"/>
      <c r="DVA30" s="105"/>
      <c r="DVH30" s="56"/>
      <c r="DVI30" s="105"/>
      <c r="DVP30" s="56"/>
      <c r="DVQ30" s="105"/>
      <c r="DVX30" s="56"/>
      <c r="DVY30" s="105"/>
      <c r="DWF30" s="56"/>
      <c r="DWG30" s="105"/>
      <c r="DWN30" s="56"/>
      <c r="DWO30" s="105"/>
      <c r="DWV30" s="56"/>
      <c r="DWW30" s="105"/>
      <c r="DXD30" s="56"/>
      <c r="DXE30" s="105"/>
      <c r="DXL30" s="56"/>
      <c r="DXM30" s="105"/>
      <c r="DXT30" s="56"/>
      <c r="DXU30" s="105"/>
      <c r="DYB30" s="56"/>
      <c r="DYC30" s="105"/>
      <c r="DYJ30" s="56"/>
      <c r="DYK30" s="105"/>
      <c r="DYR30" s="56"/>
      <c r="DYS30" s="105"/>
      <c r="DYZ30" s="56"/>
      <c r="DZA30" s="105"/>
      <c r="DZH30" s="56"/>
      <c r="DZI30" s="105"/>
      <c r="DZP30" s="56"/>
      <c r="DZQ30" s="105"/>
      <c r="DZX30" s="56"/>
      <c r="DZY30" s="105"/>
      <c r="EAF30" s="56"/>
      <c r="EAG30" s="105"/>
      <c r="EAN30" s="56"/>
      <c r="EAO30" s="105"/>
      <c r="EAV30" s="56"/>
      <c r="EAW30" s="105"/>
      <c r="EBD30" s="56"/>
      <c r="EBE30" s="105"/>
      <c r="EBL30" s="56"/>
      <c r="EBM30" s="105"/>
      <c r="EBT30" s="56"/>
      <c r="EBU30" s="105"/>
      <c r="ECB30" s="56"/>
      <c r="ECC30" s="105"/>
      <c r="ECJ30" s="56"/>
      <c r="ECK30" s="105"/>
      <c r="ECR30" s="56"/>
      <c r="ECS30" s="105"/>
      <c r="ECZ30" s="56"/>
      <c r="EDA30" s="105"/>
      <c r="EDH30" s="56"/>
      <c r="EDI30" s="105"/>
      <c r="EDP30" s="56"/>
      <c r="EDQ30" s="105"/>
      <c r="EDX30" s="56"/>
      <c r="EDY30" s="105"/>
      <c r="EEF30" s="56"/>
      <c r="EEG30" s="105"/>
      <c r="EEN30" s="56"/>
      <c r="EEO30" s="105"/>
      <c r="EEV30" s="56"/>
      <c r="EEW30" s="105"/>
      <c r="EFD30" s="56"/>
      <c r="EFE30" s="105"/>
      <c r="EFL30" s="56"/>
      <c r="EFM30" s="105"/>
      <c r="EFT30" s="56"/>
      <c r="EFU30" s="105"/>
      <c r="EGB30" s="56"/>
      <c r="EGC30" s="105"/>
      <c r="EGJ30" s="56"/>
      <c r="EGK30" s="105"/>
      <c r="EGR30" s="56"/>
      <c r="EGS30" s="105"/>
      <c r="EGZ30" s="56"/>
      <c r="EHA30" s="105"/>
      <c r="EHH30" s="56"/>
      <c r="EHI30" s="105"/>
      <c r="EHP30" s="56"/>
      <c r="EHQ30" s="105"/>
      <c r="EHX30" s="56"/>
      <c r="EHY30" s="105"/>
      <c r="EIF30" s="56"/>
      <c r="EIG30" s="105"/>
      <c r="EIN30" s="56"/>
      <c r="EIO30" s="105"/>
      <c r="EIV30" s="56"/>
      <c r="EIW30" s="105"/>
      <c r="EJD30" s="56"/>
      <c r="EJE30" s="105"/>
      <c r="EJL30" s="56"/>
      <c r="EJM30" s="105"/>
      <c r="EJT30" s="56"/>
      <c r="EJU30" s="105"/>
      <c r="EKB30" s="56"/>
      <c r="EKC30" s="105"/>
      <c r="EKJ30" s="56"/>
      <c r="EKK30" s="105"/>
      <c r="EKR30" s="56"/>
      <c r="EKS30" s="105"/>
      <c r="EKZ30" s="56"/>
      <c r="ELA30" s="105"/>
      <c r="ELH30" s="56"/>
      <c r="ELI30" s="105"/>
      <c r="ELP30" s="56"/>
      <c r="ELQ30" s="105"/>
      <c r="ELX30" s="56"/>
      <c r="ELY30" s="105"/>
      <c r="EMF30" s="56"/>
      <c r="EMG30" s="105"/>
      <c r="EMN30" s="56"/>
      <c r="EMO30" s="105"/>
      <c r="EMV30" s="56"/>
      <c r="EMW30" s="105"/>
      <c r="END30" s="56"/>
      <c r="ENE30" s="105"/>
      <c r="ENL30" s="56"/>
      <c r="ENM30" s="105"/>
      <c r="ENT30" s="56"/>
      <c r="ENU30" s="105"/>
      <c r="EOB30" s="56"/>
      <c r="EOC30" s="105"/>
      <c r="EOJ30" s="56"/>
      <c r="EOK30" s="105"/>
      <c r="EOR30" s="56"/>
      <c r="EOS30" s="105"/>
      <c r="EOZ30" s="56"/>
      <c r="EPA30" s="105"/>
      <c r="EPH30" s="56"/>
      <c r="EPI30" s="105"/>
      <c r="EPP30" s="56"/>
      <c r="EPQ30" s="105"/>
      <c r="EPX30" s="56"/>
      <c r="EPY30" s="105"/>
      <c r="EQF30" s="56"/>
      <c r="EQG30" s="105"/>
      <c r="EQN30" s="56"/>
      <c r="EQO30" s="105"/>
      <c r="EQV30" s="56"/>
      <c r="EQW30" s="105"/>
      <c r="ERD30" s="56"/>
      <c r="ERE30" s="105"/>
      <c r="ERL30" s="56"/>
      <c r="ERM30" s="105"/>
      <c r="ERT30" s="56"/>
      <c r="ERU30" s="105"/>
      <c r="ESB30" s="56"/>
      <c r="ESC30" s="105"/>
      <c r="ESJ30" s="56"/>
      <c r="ESK30" s="105"/>
      <c r="ESR30" s="56"/>
      <c r="ESS30" s="105"/>
      <c r="ESZ30" s="56"/>
      <c r="ETA30" s="105"/>
      <c r="ETH30" s="56"/>
      <c r="ETI30" s="105"/>
      <c r="ETP30" s="56"/>
      <c r="ETQ30" s="105"/>
      <c r="ETX30" s="56"/>
      <c r="ETY30" s="105"/>
      <c r="EUF30" s="56"/>
      <c r="EUG30" s="105"/>
      <c r="EUN30" s="56"/>
      <c r="EUO30" s="105"/>
      <c r="EUV30" s="56"/>
      <c r="EUW30" s="105"/>
      <c r="EVD30" s="56"/>
      <c r="EVE30" s="105"/>
      <c r="EVL30" s="56"/>
      <c r="EVM30" s="105"/>
      <c r="EVT30" s="56"/>
      <c r="EVU30" s="105"/>
      <c r="EWB30" s="56"/>
      <c r="EWC30" s="105"/>
      <c r="EWJ30" s="56"/>
      <c r="EWK30" s="105"/>
      <c r="EWR30" s="56"/>
      <c r="EWS30" s="105"/>
      <c r="EWZ30" s="56"/>
      <c r="EXA30" s="105"/>
      <c r="EXH30" s="56"/>
      <c r="EXI30" s="105"/>
      <c r="EXP30" s="56"/>
      <c r="EXQ30" s="105"/>
      <c r="EXX30" s="56"/>
      <c r="EXY30" s="105"/>
      <c r="EYF30" s="56"/>
      <c r="EYG30" s="105"/>
      <c r="EYN30" s="56"/>
      <c r="EYO30" s="105"/>
      <c r="EYV30" s="56"/>
      <c r="EYW30" s="105"/>
      <c r="EZD30" s="56"/>
      <c r="EZE30" s="105"/>
      <c r="EZL30" s="56"/>
      <c r="EZM30" s="105"/>
      <c r="EZT30" s="56"/>
      <c r="EZU30" s="105"/>
      <c r="FAB30" s="56"/>
      <c r="FAC30" s="105"/>
      <c r="FAJ30" s="56"/>
      <c r="FAK30" s="105"/>
      <c r="FAR30" s="56"/>
      <c r="FAS30" s="105"/>
      <c r="FAZ30" s="56"/>
      <c r="FBA30" s="105"/>
      <c r="FBH30" s="56"/>
      <c r="FBI30" s="105"/>
      <c r="FBP30" s="56"/>
      <c r="FBQ30" s="105"/>
      <c r="FBX30" s="56"/>
      <c r="FBY30" s="105"/>
      <c r="FCF30" s="56"/>
      <c r="FCG30" s="105"/>
      <c r="FCN30" s="56"/>
      <c r="FCO30" s="105"/>
      <c r="FCV30" s="56"/>
      <c r="FCW30" s="105"/>
      <c r="FDD30" s="56"/>
      <c r="FDE30" s="105"/>
      <c r="FDL30" s="56"/>
      <c r="FDM30" s="105"/>
      <c r="FDT30" s="56"/>
      <c r="FDU30" s="105"/>
      <c r="FEB30" s="56"/>
      <c r="FEC30" s="105"/>
      <c r="FEJ30" s="56"/>
      <c r="FEK30" s="105"/>
      <c r="FER30" s="56"/>
      <c r="FES30" s="105"/>
      <c r="FEZ30" s="56"/>
      <c r="FFA30" s="105"/>
      <c r="FFH30" s="56"/>
      <c r="FFI30" s="105"/>
      <c r="FFP30" s="56"/>
      <c r="FFQ30" s="105"/>
      <c r="FFX30" s="56"/>
      <c r="FFY30" s="105"/>
      <c r="FGF30" s="56"/>
      <c r="FGG30" s="105"/>
      <c r="FGN30" s="56"/>
      <c r="FGO30" s="105"/>
      <c r="FGV30" s="56"/>
      <c r="FGW30" s="105"/>
      <c r="FHD30" s="56"/>
      <c r="FHE30" s="105"/>
      <c r="FHL30" s="56"/>
      <c r="FHM30" s="105"/>
      <c r="FHT30" s="56"/>
      <c r="FHU30" s="105"/>
      <c r="FIB30" s="56"/>
      <c r="FIC30" s="105"/>
      <c r="FIJ30" s="56"/>
      <c r="FIK30" s="105"/>
      <c r="FIR30" s="56"/>
      <c r="FIS30" s="105"/>
      <c r="FIZ30" s="56"/>
      <c r="FJA30" s="105"/>
      <c r="FJH30" s="56"/>
      <c r="FJI30" s="105"/>
      <c r="FJP30" s="56"/>
      <c r="FJQ30" s="105"/>
      <c r="FJX30" s="56"/>
      <c r="FJY30" s="105"/>
      <c r="FKF30" s="56"/>
      <c r="FKG30" s="105"/>
      <c r="FKN30" s="56"/>
      <c r="FKO30" s="105"/>
      <c r="FKV30" s="56"/>
      <c r="FKW30" s="105"/>
      <c r="FLD30" s="56"/>
      <c r="FLE30" s="105"/>
      <c r="FLL30" s="56"/>
      <c r="FLM30" s="105"/>
      <c r="FLT30" s="56"/>
      <c r="FLU30" s="105"/>
      <c r="FMB30" s="56"/>
      <c r="FMC30" s="105"/>
      <c r="FMJ30" s="56"/>
      <c r="FMK30" s="105"/>
      <c r="FMR30" s="56"/>
      <c r="FMS30" s="105"/>
      <c r="FMZ30" s="56"/>
      <c r="FNA30" s="105"/>
      <c r="FNH30" s="56"/>
      <c r="FNI30" s="105"/>
      <c r="FNP30" s="56"/>
      <c r="FNQ30" s="105"/>
      <c r="FNX30" s="56"/>
      <c r="FNY30" s="105"/>
      <c r="FOF30" s="56"/>
      <c r="FOG30" s="105"/>
      <c r="FON30" s="56"/>
      <c r="FOO30" s="105"/>
      <c r="FOV30" s="56"/>
      <c r="FOW30" s="105"/>
      <c r="FPD30" s="56"/>
      <c r="FPE30" s="105"/>
      <c r="FPL30" s="56"/>
      <c r="FPM30" s="105"/>
      <c r="FPT30" s="56"/>
      <c r="FPU30" s="105"/>
      <c r="FQB30" s="56"/>
      <c r="FQC30" s="105"/>
      <c r="FQJ30" s="56"/>
      <c r="FQK30" s="105"/>
      <c r="FQR30" s="56"/>
      <c r="FQS30" s="105"/>
      <c r="FQZ30" s="56"/>
      <c r="FRA30" s="105"/>
      <c r="FRH30" s="56"/>
      <c r="FRI30" s="105"/>
      <c r="FRP30" s="56"/>
      <c r="FRQ30" s="105"/>
      <c r="FRX30" s="56"/>
      <c r="FRY30" s="105"/>
      <c r="FSF30" s="56"/>
      <c r="FSG30" s="105"/>
      <c r="FSN30" s="56"/>
      <c r="FSO30" s="105"/>
      <c r="FSV30" s="56"/>
      <c r="FSW30" s="105"/>
      <c r="FTD30" s="56"/>
      <c r="FTE30" s="105"/>
      <c r="FTL30" s="56"/>
      <c r="FTM30" s="105"/>
      <c r="FTT30" s="56"/>
      <c r="FTU30" s="105"/>
      <c r="FUB30" s="56"/>
      <c r="FUC30" s="105"/>
      <c r="FUJ30" s="56"/>
      <c r="FUK30" s="105"/>
      <c r="FUR30" s="56"/>
      <c r="FUS30" s="105"/>
      <c r="FUZ30" s="56"/>
      <c r="FVA30" s="105"/>
      <c r="FVH30" s="56"/>
      <c r="FVI30" s="105"/>
      <c r="FVP30" s="56"/>
      <c r="FVQ30" s="105"/>
      <c r="FVX30" s="56"/>
      <c r="FVY30" s="105"/>
      <c r="FWF30" s="56"/>
      <c r="FWG30" s="105"/>
      <c r="FWN30" s="56"/>
      <c r="FWO30" s="105"/>
      <c r="FWV30" s="56"/>
      <c r="FWW30" s="105"/>
      <c r="FXD30" s="56"/>
      <c r="FXE30" s="105"/>
      <c r="FXL30" s="56"/>
      <c r="FXM30" s="105"/>
      <c r="FXT30" s="56"/>
      <c r="FXU30" s="105"/>
      <c r="FYB30" s="56"/>
      <c r="FYC30" s="105"/>
      <c r="FYJ30" s="56"/>
      <c r="FYK30" s="105"/>
      <c r="FYR30" s="56"/>
      <c r="FYS30" s="105"/>
      <c r="FYZ30" s="56"/>
      <c r="FZA30" s="105"/>
      <c r="FZH30" s="56"/>
      <c r="FZI30" s="105"/>
      <c r="FZP30" s="56"/>
      <c r="FZQ30" s="105"/>
      <c r="FZX30" s="56"/>
      <c r="FZY30" s="105"/>
      <c r="GAF30" s="56"/>
      <c r="GAG30" s="105"/>
      <c r="GAN30" s="56"/>
      <c r="GAO30" s="105"/>
      <c r="GAV30" s="56"/>
      <c r="GAW30" s="105"/>
      <c r="GBD30" s="56"/>
      <c r="GBE30" s="105"/>
      <c r="GBL30" s="56"/>
      <c r="GBM30" s="105"/>
      <c r="GBT30" s="56"/>
      <c r="GBU30" s="105"/>
      <c r="GCB30" s="56"/>
      <c r="GCC30" s="105"/>
      <c r="GCJ30" s="56"/>
      <c r="GCK30" s="105"/>
      <c r="GCR30" s="56"/>
      <c r="GCS30" s="105"/>
      <c r="GCZ30" s="56"/>
      <c r="GDA30" s="105"/>
      <c r="GDH30" s="56"/>
      <c r="GDI30" s="105"/>
      <c r="GDP30" s="56"/>
      <c r="GDQ30" s="105"/>
      <c r="GDX30" s="56"/>
      <c r="GDY30" s="105"/>
      <c r="GEF30" s="56"/>
      <c r="GEG30" s="105"/>
      <c r="GEN30" s="56"/>
      <c r="GEO30" s="105"/>
      <c r="GEV30" s="56"/>
      <c r="GEW30" s="105"/>
      <c r="GFD30" s="56"/>
      <c r="GFE30" s="105"/>
      <c r="GFL30" s="56"/>
      <c r="GFM30" s="105"/>
      <c r="GFT30" s="56"/>
      <c r="GFU30" s="105"/>
      <c r="GGB30" s="56"/>
      <c r="GGC30" s="105"/>
      <c r="GGJ30" s="56"/>
      <c r="GGK30" s="105"/>
      <c r="GGR30" s="56"/>
      <c r="GGS30" s="105"/>
      <c r="GGZ30" s="56"/>
      <c r="GHA30" s="105"/>
      <c r="GHH30" s="56"/>
      <c r="GHI30" s="105"/>
      <c r="GHP30" s="56"/>
      <c r="GHQ30" s="105"/>
      <c r="GHX30" s="56"/>
      <c r="GHY30" s="105"/>
      <c r="GIF30" s="56"/>
      <c r="GIG30" s="105"/>
      <c r="GIN30" s="56"/>
      <c r="GIO30" s="105"/>
      <c r="GIV30" s="56"/>
      <c r="GIW30" s="105"/>
      <c r="GJD30" s="56"/>
      <c r="GJE30" s="105"/>
      <c r="GJL30" s="56"/>
      <c r="GJM30" s="105"/>
      <c r="GJT30" s="56"/>
      <c r="GJU30" s="105"/>
      <c r="GKB30" s="56"/>
      <c r="GKC30" s="105"/>
      <c r="GKJ30" s="56"/>
      <c r="GKK30" s="105"/>
      <c r="GKR30" s="56"/>
      <c r="GKS30" s="105"/>
      <c r="GKZ30" s="56"/>
      <c r="GLA30" s="105"/>
      <c r="GLH30" s="56"/>
      <c r="GLI30" s="105"/>
      <c r="GLP30" s="56"/>
      <c r="GLQ30" s="105"/>
      <c r="GLX30" s="56"/>
      <c r="GLY30" s="105"/>
      <c r="GMF30" s="56"/>
      <c r="GMG30" s="105"/>
      <c r="GMN30" s="56"/>
      <c r="GMO30" s="105"/>
      <c r="GMV30" s="56"/>
      <c r="GMW30" s="105"/>
      <c r="GND30" s="56"/>
      <c r="GNE30" s="105"/>
      <c r="GNL30" s="56"/>
      <c r="GNM30" s="105"/>
      <c r="GNT30" s="56"/>
      <c r="GNU30" s="105"/>
      <c r="GOB30" s="56"/>
      <c r="GOC30" s="105"/>
      <c r="GOJ30" s="56"/>
      <c r="GOK30" s="105"/>
      <c r="GOR30" s="56"/>
      <c r="GOS30" s="105"/>
      <c r="GOZ30" s="56"/>
      <c r="GPA30" s="105"/>
      <c r="GPH30" s="56"/>
      <c r="GPI30" s="105"/>
      <c r="GPP30" s="56"/>
      <c r="GPQ30" s="105"/>
      <c r="GPX30" s="56"/>
      <c r="GPY30" s="105"/>
      <c r="GQF30" s="56"/>
      <c r="GQG30" s="105"/>
      <c r="GQN30" s="56"/>
      <c r="GQO30" s="105"/>
      <c r="GQV30" s="56"/>
      <c r="GQW30" s="105"/>
      <c r="GRD30" s="56"/>
      <c r="GRE30" s="105"/>
      <c r="GRL30" s="56"/>
      <c r="GRM30" s="105"/>
      <c r="GRT30" s="56"/>
      <c r="GRU30" s="105"/>
      <c r="GSB30" s="56"/>
      <c r="GSC30" s="105"/>
      <c r="GSJ30" s="56"/>
      <c r="GSK30" s="105"/>
      <c r="GSR30" s="56"/>
      <c r="GSS30" s="105"/>
      <c r="GSZ30" s="56"/>
      <c r="GTA30" s="105"/>
      <c r="GTH30" s="56"/>
      <c r="GTI30" s="105"/>
      <c r="GTP30" s="56"/>
      <c r="GTQ30" s="105"/>
      <c r="GTX30" s="56"/>
      <c r="GTY30" s="105"/>
      <c r="GUF30" s="56"/>
      <c r="GUG30" s="105"/>
      <c r="GUN30" s="56"/>
      <c r="GUO30" s="105"/>
      <c r="GUV30" s="56"/>
      <c r="GUW30" s="105"/>
      <c r="GVD30" s="56"/>
      <c r="GVE30" s="105"/>
      <c r="GVL30" s="56"/>
      <c r="GVM30" s="105"/>
      <c r="GVT30" s="56"/>
      <c r="GVU30" s="105"/>
      <c r="GWB30" s="56"/>
      <c r="GWC30" s="105"/>
      <c r="GWJ30" s="56"/>
      <c r="GWK30" s="105"/>
      <c r="GWR30" s="56"/>
      <c r="GWS30" s="105"/>
      <c r="GWZ30" s="56"/>
      <c r="GXA30" s="105"/>
      <c r="GXH30" s="56"/>
      <c r="GXI30" s="105"/>
      <c r="GXP30" s="56"/>
      <c r="GXQ30" s="105"/>
      <c r="GXX30" s="56"/>
      <c r="GXY30" s="105"/>
      <c r="GYF30" s="56"/>
      <c r="GYG30" s="105"/>
      <c r="GYN30" s="56"/>
      <c r="GYO30" s="105"/>
      <c r="GYV30" s="56"/>
      <c r="GYW30" s="105"/>
      <c r="GZD30" s="56"/>
      <c r="GZE30" s="105"/>
      <c r="GZL30" s="56"/>
      <c r="GZM30" s="105"/>
      <c r="GZT30" s="56"/>
      <c r="GZU30" s="105"/>
      <c r="HAB30" s="56"/>
      <c r="HAC30" s="105"/>
      <c r="HAJ30" s="56"/>
      <c r="HAK30" s="105"/>
      <c r="HAR30" s="56"/>
      <c r="HAS30" s="105"/>
      <c r="HAZ30" s="56"/>
      <c r="HBA30" s="105"/>
      <c r="HBH30" s="56"/>
      <c r="HBI30" s="105"/>
      <c r="HBP30" s="56"/>
      <c r="HBQ30" s="105"/>
      <c r="HBX30" s="56"/>
      <c r="HBY30" s="105"/>
      <c r="HCF30" s="56"/>
      <c r="HCG30" s="105"/>
      <c r="HCN30" s="56"/>
      <c r="HCO30" s="105"/>
      <c r="HCV30" s="56"/>
      <c r="HCW30" s="105"/>
      <c r="HDD30" s="56"/>
      <c r="HDE30" s="105"/>
      <c r="HDL30" s="56"/>
      <c r="HDM30" s="105"/>
      <c r="HDT30" s="56"/>
      <c r="HDU30" s="105"/>
      <c r="HEB30" s="56"/>
      <c r="HEC30" s="105"/>
      <c r="HEJ30" s="56"/>
      <c r="HEK30" s="105"/>
      <c r="HER30" s="56"/>
      <c r="HES30" s="105"/>
      <c r="HEZ30" s="56"/>
      <c r="HFA30" s="105"/>
      <c r="HFH30" s="56"/>
      <c r="HFI30" s="105"/>
      <c r="HFP30" s="56"/>
      <c r="HFQ30" s="105"/>
      <c r="HFX30" s="56"/>
      <c r="HFY30" s="105"/>
      <c r="HGF30" s="56"/>
      <c r="HGG30" s="105"/>
      <c r="HGN30" s="56"/>
      <c r="HGO30" s="105"/>
      <c r="HGV30" s="56"/>
      <c r="HGW30" s="105"/>
      <c r="HHD30" s="56"/>
      <c r="HHE30" s="105"/>
      <c r="HHL30" s="56"/>
      <c r="HHM30" s="105"/>
      <c r="HHT30" s="56"/>
      <c r="HHU30" s="105"/>
      <c r="HIB30" s="56"/>
      <c r="HIC30" s="105"/>
      <c r="HIJ30" s="56"/>
      <c r="HIK30" s="105"/>
      <c r="HIR30" s="56"/>
      <c r="HIS30" s="105"/>
      <c r="HIZ30" s="56"/>
      <c r="HJA30" s="105"/>
      <c r="HJH30" s="56"/>
      <c r="HJI30" s="105"/>
      <c r="HJP30" s="56"/>
      <c r="HJQ30" s="105"/>
      <c r="HJX30" s="56"/>
      <c r="HJY30" s="105"/>
      <c r="HKF30" s="56"/>
      <c r="HKG30" s="105"/>
      <c r="HKN30" s="56"/>
      <c r="HKO30" s="105"/>
      <c r="HKV30" s="56"/>
      <c r="HKW30" s="105"/>
      <c r="HLD30" s="56"/>
      <c r="HLE30" s="105"/>
      <c r="HLL30" s="56"/>
      <c r="HLM30" s="105"/>
      <c r="HLT30" s="56"/>
      <c r="HLU30" s="105"/>
      <c r="HMB30" s="56"/>
      <c r="HMC30" s="105"/>
      <c r="HMJ30" s="56"/>
      <c r="HMK30" s="105"/>
      <c r="HMR30" s="56"/>
      <c r="HMS30" s="105"/>
      <c r="HMZ30" s="56"/>
      <c r="HNA30" s="105"/>
      <c r="HNH30" s="56"/>
      <c r="HNI30" s="105"/>
      <c r="HNP30" s="56"/>
      <c r="HNQ30" s="105"/>
      <c r="HNX30" s="56"/>
      <c r="HNY30" s="105"/>
      <c r="HOF30" s="56"/>
      <c r="HOG30" s="105"/>
      <c r="HON30" s="56"/>
      <c r="HOO30" s="105"/>
      <c r="HOV30" s="56"/>
      <c r="HOW30" s="105"/>
      <c r="HPD30" s="56"/>
      <c r="HPE30" s="105"/>
      <c r="HPL30" s="56"/>
      <c r="HPM30" s="105"/>
      <c r="HPT30" s="56"/>
      <c r="HPU30" s="105"/>
      <c r="HQB30" s="56"/>
      <c r="HQC30" s="105"/>
      <c r="HQJ30" s="56"/>
      <c r="HQK30" s="105"/>
      <c r="HQR30" s="56"/>
      <c r="HQS30" s="105"/>
      <c r="HQZ30" s="56"/>
      <c r="HRA30" s="105"/>
      <c r="HRH30" s="56"/>
      <c r="HRI30" s="105"/>
      <c r="HRP30" s="56"/>
      <c r="HRQ30" s="105"/>
      <c r="HRX30" s="56"/>
      <c r="HRY30" s="105"/>
      <c r="HSF30" s="56"/>
      <c r="HSG30" s="105"/>
      <c r="HSN30" s="56"/>
      <c r="HSO30" s="105"/>
      <c r="HSV30" s="56"/>
      <c r="HSW30" s="105"/>
      <c r="HTD30" s="56"/>
      <c r="HTE30" s="105"/>
      <c r="HTL30" s="56"/>
      <c r="HTM30" s="105"/>
      <c r="HTT30" s="56"/>
      <c r="HTU30" s="105"/>
      <c r="HUB30" s="56"/>
      <c r="HUC30" s="105"/>
      <c r="HUJ30" s="56"/>
      <c r="HUK30" s="105"/>
      <c r="HUR30" s="56"/>
      <c r="HUS30" s="105"/>
      <c r="HUZ30" s="56"/>
      <c r="HVA30" s="105"/>
      <c r="HVH30" s="56"/>
      <c r="HVI30" s="105"/>
      <c r="HVP30" s="56"/>
      <c r="HVQ30" s="105"/>
      <c r="HVX30" s="56"/>
      <c r="HVY30" s="105"/>
      <c r="HWF30" s="56"/>
      <c r="HWG30" s="105"/>
      <c r="HWN30" s="56"/>
      <c r="HWO30" s="105"/>
      <c r="HWV30" s="56"/>
      <c r="HWW30" s="105"/>
      <c r="HXD30" s="56"/>
      <c r="HXE30" s="105"/>
      <c r="HXL30" s="56"/>
      <c r="HXM30" s="105"/>
      <c r="HXT30" s="56"/>
      <c r="HXU30" s="105"/>
      <c r="HYB30" s="56"/>
      <c r="HYC30" s="105"/>
      <c r="HYJ30" s="56"/>
      <c r="HYK30" s="105"/>
      <c r="HYR30" s="56"/>
      <c r="HYS30" s="105"/>
      <c r="HYZ30" s="56"/>
      <c r="HZA30" s="105"/>
      <c r="HZH30" s="56"/>
      <c r="HZI30" s="105"/>
      <c r="HZP30" s="56"/>
      <c r="HZQ30" s="105"/>
      <c r="HZX30" s="56"/>
      <c r="HZY30" s="105"/>
      <c r="IAF30" s="56"/>
      <c r="IAG30" s="105"/>
      <c r="IAN30" s="56"/>
      <c r="IAO30" s="105"/>
      <c r="IAV30" s="56"/>
      <c r="IAW30" s="105"/>
      <c r="IBD30" s="56"/>
      <c r="IBE30" s="105"/>
      <c r="IBL30" s="56"/>
      <c r="IBM30" s="105"/>
      <c r="IBT30" s="56"/>
      <c r="IBU30" s="105"/>
      <c r="ICB30" s="56"/>
      <c r="ICC30" s="105"/>
      <c r="ICJ30" s="56"/>
      <c r="ICK30" s="105"/>
      <c r="ICR30" s="56"/>
      <c r="ICS30" s="105"/>
      <c r="ICZ30" s="56"/>
      <c r="IDA30" s="105"/>
      <c r="IDH30" s="56"/>
      <c r="IDI30" s="105"/>
      <c r="IDP30" s="56"/>
      <c r="IDQ30" s="105"/>
      <c r="IDX30" s="56"/>
      <c r="IDY30" s="105"/>
      <c r="IEF30" s="56"/>
      <c r="IEG30" s="105"/>
      <c r="IEN30" s="56"/>
      <c r="IEO30" s="105"/>
      <c r="IEV30" s="56"/>
      <c r="IEW30" s="105"/>
      <c r="IFD30" s="56"/>
      <c r="IFE30" s="105"/>
      <c r="IFL30" s="56"/>
      <c r="IFM30" s="105"/>
      <c r="IFT30" s="56"/>
      <c r="IFU30" s="105"/>
      <c r="IGB30" s="56"/>
      <c r="IGC30" s="105"/>
      <c r="IGJ30" s="56"/>
      <c r="IGK30" s="105"/>
      <c r="IGR30" s="56"/>
      <c r="IGS30" s="105"/>
      <c r="IGZ30" s="56"/>
      <c r="IHA30" s="105"/>
      <c r="IHH30" s="56"/>
      <c r="IHI30" s="105"/>
      <c r="IHP30" s="56"/>
      <c r="IHQ30" s="105"/>
      <c r="IHX30" s="56"/>
      <c r="IHY30" s="105"/>
      <c r="IIF30" s="56"/>
      <c r="IIG30" s="105"/>
      <c r="IIN30" s="56"/>
      <c r="IIO30" s="105"/>
      <c r="IIV30" s="56"/>
      <c r="IIW30" s="105"/>
      <c r="IJD30" s="56"/>
      <c r="IJE30" s="105"/>
      <c r="IJL30" s="56"/>
      <c r="IJM30" s="105"/>
      <c r="IJT30" s="56"/>
      <c r="IJU30" s="105"/>
      <c r="IKB30" s="56"/>
      <c r="IKC30" s="105"/>
      <c r="IKJ30" s="56"/>
      <c r="IKK30" s="105"/>
      <c r="IKR30" s="56"/>
      <c r="IKS30" s="105"/>
      <c r="IKZ30" s="56"/>
      <c r="ILA30" s="105"/>
      <c r="ILH30" s="56"/>
      <c r="ILI30" s="105"/>
      <c r="ILP30" s="56"/>
      <c r="ILQ30" s="105"/>
      <c r="ILX30" s="56"/>
      <c r="ILY30" s="105"/>
      <c r="IMF30" s="56"/>
      <c r="IMG30" s="105"/>
      <c r="IMN30" s="56"/>
      <c r="IMO30" s="105"/>
      <c r="IMV30" s="56"/>
      <c r="IMW30" s="105"/>
      <c r="IND30" s="56"/>
      <c r="INE30" s="105"/>
      <c r="INL30" s="56"/>
      <c r="INM30" s="105"/>
      <c r="INT30" s="56"/>
      <c r="INU30" s="105"/>
      <c r="IOB30" s="56"/>
      <c r="IOC30" s="105"/>
      <c r="IOJ30" s="56"/>
      <c r="IOK30" s="105"/>
      <c r="IOR30" s="56"/>
      <c r="IOS30" s="105"/>
      <c r="IOZ30" s="56"/>
      <c r="IPA30" s="105"/>
      <c r="IPH30" s="56"/>
      <c r="IPI30" s="105"/>
      <c r="IPP30" s="56"/>
      <c r="IPQ30" s="105"/>
      <c r="IPX30" s="56"/>
      <c r="IPY30" s="105"/>
      <c r="IQF30" s="56"/>
      <c r="IQG30" s="105"/>
      <c r="IQN30" s="56"/>
      <c r="IQO30" s="105"/>
      <c r="IQV30" s="56"/>
      <c r="IQW30" s="105"/>
      <c r="IRD30" s="56"/>
      <c r="IRE30" s="105"/>
      <c r="IRL30" s="56"/>
      <c r="IRM30" s="105"/>
      <c r="IRT30" s="56"/>
      <c r="IRU30" s="105"/>
      <c r="ISB30" s="56"/>
      <c r="ISC30" s="105"/>
      <c r="ISJ30" s="56"/>
      <c r="ISK30" s="105"/>
      <c r="ISR30" s="56"/>
      <c r="ISS30" s="105"/>
      <c r="ISZ30" s="56"/>
      <c r="ITA30" s="105"/>
      <c r="ITH30" s="56"/>
      <c r="ITI30" s="105"/>
      <c r="ITP30" s="56"/>
      <c r="ITQ30" s="105"/>
      <c r="ITX30" s="56"/>
      <c r="ITY30" s="105"/>
      <c r="IUF30" s="56"/>
      <c r="IUG30" s="105"/>
      <c r="IUN30" s="56"/>
      <c r="IUO30" s="105"/>
      <c r="IUV30" s="56"/>
      <c r="IUW30" s="105"/>
      <c r="IVD30" s="56"/>
      <c r="IVE30" s="105"/>
      <c r="IVL30" s="56"/>
      <c r="IVM30" s="105"/>
      <c r="IVT30" s="56"/>
      <c r="IVU30" s="105"/>
      <c r="IWB30" s="56"/>
      <c r="IWC30" s="105"/>
      <c r="IWJ30" s="56"/>
      <c r="IWK30" s="105"/>
      <c r="IWR30" s="56"/>
      <c r="IWS30" s="105"/>
      <c r="IWZ30" s="56"/>
      <c r="IXA30" s="105"/>
      <c r="IXH30" s="56"/>
      <c r="IXI30" s="105"/>
      <c r="IXP30" s="56"/>
      <c r="IXQ30" s="105"/>
      <c r="IXX30" s="56"/>
      <c r="IXY30" s="105"/>
      <c r="IYF30" s="56"/>
      <c r="IYG30" s="105"/>
      <c r="IYN30" s="56"/>
      <c r="IYO30" s="105"/>
      <c r="IYV30" s="56"/>
      <c r="IYW30" s="105"/>
      <c r="IZD30" s="56"/>
      <c r="IZE30" s="105"/>
      <c r="IZL30" s="56"/>
      <c r="IZM30" s="105"/>
      <c r="IZT30" s="56"/>
      <c r="IZU30" s="105"/>
      <c r="JAB30" s="56"/>
      <c r="JAC30" s="105"/>
      <c r="JAJ30" s="56"/>
      <c r="JAK30" s="105"/>
      <c r="JAR30" s="56"/>
      <c r="JAS30" s="105"/>
      <c r="JAZ30" s="56"/>
      <c r="JBA30" s="105"/>
      <c r="JBH30" s="56"/>
      <c r="JBI30" s="105"/>
      <c r="JBP30" s="56"/>
      <c r="JBQ30" s="105"/>
      <c r="JBX30" s="56"/>
      <c r="JBY30" s="105"/>
      <c r="JCF30" s="56"/>
      <c r="JCG30" s="105"/>
      <c r="JCN30" s="56"/>
      <c r="JCO30" s="105"/>
      <c r="JCV30" s="56"/>
      <c r="JCW30" s="105"/>
      <c r="JDD30" s="56"/>
      <c r="JDE30" s="105"/>
      <c r="JDL30" s="56"/>
      <c r="JDM30" s="105"/>
      <c r="JDT30" s="56"/>
      <c r="JDU30" s="105"/>
      <c r="JEB30" s="56"/>
      <c r="JEC30" s="105"/>
      <c r="JEJ30" s="56"/>
      <c r="JEK30" s="105"/>
      <c r="JER30" s="56"/>
      <c r="JES30" s="105"/>
      <c r="JEZ30" s="56"/>
      <c r="JFA30" s="105"/>
      <c r="JFH30" s="56"/>
      <c r="JFI30" s="105"/>
      <c r="JFP30" s="56"/>
      <c r="JFQ30" s="105"/>
      <c r="JFX30" s="56"/>
      <c r="JFY30" s="105"/>
      <c r="JGF30" s="56"/>
      <c r="JGG30" s="105"/>
      <c r="JGN30" s="56"/>
      <c r="JGO30" s="105"/>
      <c r="JGV30" s="56"/>
      <c r="JGW30" s="105"/>
      <c r="JHD30" s="56"/>
      <c r="JHE30" s="105"/>
      <c r="JHL30" s="56"/>
      <c r="JHM30" s="105"/>
      <c r="JHT30" s="56"/>
      <c r="JHU30" s="105"/>
      <c r="JIB30" s="56"/>
      <c r="JIC30" s="105"/>
      <c r="JIJ30" s="56"/>
      <c r="JIK30" s="105"/>
      <c r="JIR30" s="56"/>
      <c r="JIS30" s="105"/>
      <c r="JIZ30" s="56"/>
      <c r="JJA30" s="105"/>
      <c r="JJH30" s="56"/>
      <c r="JJI30" s="105"/>
      <c r="JJP30" s="56"/>
      <c r="JJQ30" s="105"/>
      <c r="JJX30" s="56"/>
      <c r="JJY30" s="105"/>
      <c r="JKF30" s="56"/>
      <c r="JKG30" s="105"/>
      <c r="JKN30" s="56"/>
      <c r="JKO30" s="105"/>
      <c r="JKV30" s="56"/>
      <c r="JKW30" s="105"/>
      <c r="JLD30" s="56"/>
      <c r="JLE30" s="105"/>
      <c r="JLL30" s="56"/>
      <c r="JLM30" s="105"/>
      <c r="JLT30" s="56"/>
      <c r="JLU30" s="105"/>
      <c r="JMB30" s="56"/>
      <c r="JMC30" s="105"/>
      <c r="JMJ30" s="56"/>
      <c r="JMK30" s="105"/>
      <c r="JMR30" s="56"/>
      <c r="JMS30" s="105"/>
      <c r="JMZ30" s="56"/>
      <c r="JNA30" s="105"/>
      <c r="JNH30" s="56"/>
      <c r="JNI30" s="105"/>
      <c r="JNP30" s="56"/>
      <c r="JNQ30" s="105"/>
      <c r="JNX30" s="56"/>
      <c r="JNY30" s="105"/>
      <c r="JOF30" s="56"/>
      <c r="JOG30" s="105"/>
      <c r="JON30" s="56"/>
      <c r="JOO30" s="105"/>
      <c r="JOV30" s="56"/>
      <c r="JOW30" s="105"/>
      <c r="JPD30" s="56"/>
      <c r="JPE30" s="105"/>
      <c r="JPL30" s="56"/>
      <c r="JPM30" s="105"/>
      <c r="JPT30" s="56"/>
      <c r="JPU30" s="105"/>
      <c r="JQB30" s="56"/>
      <c r="JQC30" s="105"/>
      <c r="JQJ30" s="56"/>
      <c r="JQK30" s="105"/>
      <c r="JQR30" s="56"/>
      <c r="JQS30" s="105"/>
      <c r="JQZ30" s="56"/>
      <c r="JRA30" s="105"/>
      <c r="JRH30" s="56"/>
      <c r="JRI30" s="105"/>
      <c r="JRP30" s="56"/>
      <c r="JRQ30" s="105"/>
      <c r="JRX30" s="56"/>
      <c r="JRY30" s="105"/>
      <c r="JSF30" s="56"/>
      <c r="JSG30" s="105"/>
      <c r="JSN30" s="56"/>
      <c r="JSO30" s="105"/>
      <c r="JSV30" s="56"/>
      <c r="JSW30" s="105"/>
      <c r="JTD30" s="56"/>
      <c r="JTE30" s="105"/>
      <c r="JTL30" s="56"/>
      <c r="JTM30" s="105"/>
      <c r="JTT30" s="56"/>
      <c r="JTU30" s="105"/>
      <c r="JUB30" s="56"/>
      <c r="JUC30" s="105"/>
      <c r="JUJ30" s="56"/>
      <c r="JUK30" s="105"/>
      <c r="JUR30" s="56"/>
      <c r="JUS30" s="105"/>
      <c r="JUZ30" s="56"/>
      <c r="JVA30" s="105"/>
      <c r="JVH30" s="56"/>
      <c r="JVI30" s="105"/>
      <c r="JVP30" s="56"/>
      <c r="JVQ30" s="105"/>
      <c r="JVX30" s="56"/>
      <c r="JVY30" s="105"/>
      <c r="JWF30" s="56"/>
      <c r="JWG30" s="105"/>
      <c r="JWN30" s="56"/>
      <c r="JWO30" s="105"/>
      <c r="JWV30" s="56"/>
      <c r="JWW30" s="105"/>
      <c r="JXD30" s="56"/>
      <c r="JXE30" s="105"/>
      <c r="JXL30" s="56"/>
      <c r="JXM30" s="105"/>
      <c r="JXT30" s="56"/>
      <c r="JXU30" s="105"/>
      <c r="JYB30" s="56"/>
      <c r="JYC30" s="105"/>
      <c r="JYJ30" s="56"/>
      <c r="JYK30" s="105"/>
      <c r="JYR30" s="56"/>
      <c r="JYS30" s="105"/>
      <c r="JYZ30" s="56"/>
      <c r="JZA30" s="105"/>
      <c r="JZH30" s="56"/>
      <c r="JZI30" s="105"/>
      <c r="JZP30" s="56"/>
      <c r="JZQ30" s="105"/>
      <c r="JZX30" s="56"/>
      <c r="JZY30" s="105"/>
      <c r="KAF30" s="56"/>
      <c r="KAG30" s="105"/>
      <c r="KAN30" s="56"/>
      <c r="KAO30" s="105"/>
      <c r="KAV30" s="56"/>
      <c r="KAW30" s="105"/>
      <c r="KBD30" s="56"/>
      <c r="KBE30" s="105"/>
      <c r="KBL30" s="56"/>
      <c r="KBM30" s="105"/>
      <c r="KBT30" s="56"/>
      <c r="KBU30" s="105"/>
      <c r="KCB30" s="56"/>
      <c r="KCC30" s="105"/>
      <c r="KCJ30" s="56"/>
      <c r="KCK30" s="105"/>
      <c r="KCR30" s="56"/>
      <c r="KCS30" s="105"/>
      <c r="KCZ30" s="56"/>
      <c r="KDA30" s="105"/>
      <c r="KDH30" s="56"/>
      <c r="KDI30" s="105"/>
      <c r="KDP30" s="56"/>
      <c r="KDQ30" s="105"/>
      <c r="KDX30" s="56"/>
      <c r="KDY30" s="105"/>
      <c r="KEF30" s="56"/>
      <c r="KEG30" s="105"/>
      <c r="KEN30" s="56"/>
      <c r="KEO30" s="105"/>
      <c r="KEV30" s="56"/>
      <c r="KEW30" s="105"/>
      <c r="KFD30" s="56"/>
      <c r="KFE30" s="105"/>
      <c r="KFL30" s="56"/>
      <c r="KFM30" s="105"/>
      <c r="KFT30" s="56"/>
      <c r="KFU30" s="105"/>
      <c r="KGB30" s="56"/>
      <c r="KGC30" s="105"/>
      <c r="KGJ30" s="56"/>
      <c r="KGK30" s="105"/>
      <c r="KGR30" s="56"/>
      <c r="KGS30" s="105"/>
      <c r="KGZ30" s="56"/>
      <c r="KHA30" s="105"/>
      <c r="KHH30" s="56"/>
      <c r="KHI30" s="105"/>
      <c r="KHP30" s="56"/>
      <c r="KHQ30" s="105"/>
      <c r="KHX30" s="56"/>
      <c r="KHY30" s="105"/>
      <c r="KIF30" s="56"/>
      <c r="KIG30" s="105"/>
      <c r="KIN30" s="56"/>
      <c r="KIO30" s="105"/>
      <c r="KIV30" s="56"/>
      <c r="KIW30" s="105"/>
      <c r="KJD30" s="56"/>
      <c r="KJE30" s="105"/>
      <c r="KJL30" s="56"/>
      <c r="KJM30" s="105"/>
      <c r="KJT30" s="56"/>
      <c r="KJU30" s="105"/>
      <c r="KKB30" s="56"/>
      <c r="KKC30" s="105"/>
      <c r="KKJ30" s="56"/>
      <c r="KKK30" s="105"/>
      <c r="KKR30" s="56"/>
      <c r="KKS30" s="105"/>
      <c r="KKZ30" s="56"/>
      <c r="KLA30" s="105"/>
      <c r="KLH30" s="56"/>
      <c r="KLI30" s="105"/>
      <c r="KLP30" s="56"/>
      <c r="KLQ30" s="105"/>
      <c r="KLX30" s="56"/>
      <c r="KLY30" s="105"/>
      <c r="KMF30" s="56"/>
      <c r="KMG30" s="105"/>
      <c r="KMN30" s="56"/>
      <c r="KMO30" s="105"/>
      <c r="KMV30" s="56"/>
      <c r="KMW30" s="105"/>
      <c r="KND30" s="56"/>
      <c r="KNE30" s="105"/>
      <c r="KNL30" s="56"/>
      <c r="KNM30" s="105"/>
      <c r="KNT30" s="56"/>
      <c r="KNU30" s="105"/>
      <c r="KOB30" s="56"/>
      <c r="KOC30" s="105"/>
      <c r="KOJ30" s="56"/>
      <c r="KOK30" s="105"/>
      <c r="KOR30" s="56"/>
      <c r="KOS30" s="105"/>
      <c r="KOZ30" s="56"/>
      <c r="KPA30" s="105"/>
      <c r="KPH30" s="56"/>
      <c r="KPI30" s="105"/>
      <c r="KPP30" s="56"/>
      <c r="KPQ30" s="105"/>
      <c r="KPX30" s="56"/>
      <c r="KPY30" s="105"/>
      <c r="KQF30" s="56"/>
      <c r="KQG30" s="105"/>
      <c r="KQN30" s="56"/>
      <c r="KQO30" s="105"/>
      <c r="KQV30" s="56"/>
      <c r="KQW30" s="105"/>
      <c r="KRD30" s="56"/>
      <c r="KRE30" s="105"/>
      <c r="KRL30" s="56"/>
      <c r="KRM30" s="105"/>
      <c r="KRT30" s="56"/>
      <c r="KRU30" s="105"/>
      <c r="KSB30" s="56"/>
      <c r="KSC30" s="105"/>
      <c r="KSJ30" s="56"/>
      <c r="KSK30" s="105"/>
      <c r="KSR30" s="56"/>
      <c r="KSS30" s="105"/>
      <c r="KSZ30" s="56"/>
      <c r="KTA30" s="105"/>
      <c r="KTH30" s="56"/>
      <c r="KTI30" s="105"/>
      <c r="KTP30" s="56"/>
      <c r="KTQ30" s="105"/>
      <c r="KTX30" s="56"/>
      <c r="KTY30" s="105"/>
      <c r="KUF30" s="56"/>
      <c r="KUG30" s="105"/>
      <c r="KUN30" s="56"/>
      <c r="KUO30" s="105"/>
      <c r="KUV30" s="56"/>
      <c r="KUW30" s="105"/>
      <c r="KVD30" s="56"/>
      <c r="KVE30" s="105"/>
      <c r="KVL30" s="56"/>
      <c r="KVM30" s="105"/>
      <c r="KVT30" s="56"/>
      <c r="KVU30" s="105"/>
      <c r="KWB30" s="56"/>
      <c r="KWC30" s="105"/>
      <c r="KWJ30" s="56"/>
      <c r="KWK30" s="105"/>
      <c r="KWR30" s="56"/>
      <c r="KWS30" s="105"/>
      <c r="KWZ30" s="56"/>
      <c r="KXA30" s="105"/>
      <c r="KXH30" s="56"/>
      <c r="KXI30" s="105"/>
      <c r="KXP30" s="56"/>
      <c r="KXQ30" s="105"/>
      <c r="KXX30" s="56"/>
      <c r="KXY30" s="105"/>
      <c r="KYF30" s="56"/>
      <c r="KYG30" s="105"/>
      <c r="KYN30" s="56"/>
      <c r="KYO30" s="105"/>
      <c r="KYV30" s="56"/>
      <c r="KYW30" s="105"/>
      <c r="KZD30" s="56"/>
      <c r="KZE30" s="105"/>
      <c r="KZL30" s="56"/>
      <c r="KZM30" s="105"/>
      <c r="KZT30" s="56"/>
      <c r="KZU30" s="105"/>
      <c r="LAB30" s="56"/>
      <c r="LAC30" s="105"/>
      <c r="LAJ30" s="56"/>
      <c r="LAK30" s="105"/>
      <c r="LAR30" s="56"/>
      <c r="LAS30" s="105"/>
      <c r="LAZ30" s="56"/>
      <c r="LBA30" s="105"/>
      <c r="LBH30" s="56"/>
      <c r="LBI30" s="105"/>
      <c r="LBP30" s="56"/>
      <c r="LBQ30" s="105"/>
      <c r="LBX30" s="56"/>
      <c r="LBY30" s="105"/>
      <c r="LCF30" s="56"/>
      <c r="LCG30" s="105"/>
      <c r="LCN30" s="56"/>
      <c r="LCO30" s="105"/>
      <c r="LCV30" s="56"/>
      <c r="LCW30" s="105"/>
      <c r="LDD30" s="56"/>
      <c r="LDE30" s="105"/>
      <c r="LDL30" s="56"/>
      <c r="LDM30" s="105"/>
      <c r="LDT30" s="56"/>
      <c r="LDU30" s="105"/>
      <c r="LEB30" s="56"/>
      <c r="LEC30" s="105"/>
      <c r="LEJ30" s="56"/>
      <c r="LEK30" s="105"/>
      <c r="LER30" s="56"/>
      <c r="LES30" s="105"/>
      <c r="LEZ30" s="56"/>
      <c r="LFA30" s="105"/>
      <c r="LFH30" s="56"/>
      <c r="LFI30" s="105"/>
      <c r="LFP30" s="56"/>
      <c r="LFQ30" s="105"/>
      <c r="LFX30" s="56"/>
      <c r="LFY30" s="105"/>
      <c r="LGF30" s="56"/>
      <c r="LGG30" s="105"/>
      <c r="LGN30" s="56"/>
      <c r="LGO30" s="105"/>
      <c r="LGV30" s="56"/>
      <c r="LGW30" s="105"/>
      <c r="LHD30" s="56"/>
      <c r="LHE30" s="105"/>
      <c r="LHL30" s="56"/>
      <c r="LHM30" s="105"/>
      <c r="LHT30" s="56"/>
      <c r="LHU30" s="105"/>
      <c r="LIB30" s="56"/>
      <c r="LIC30" s="105"/>
      <c r="LIJ30" s="56"/>
      <c r="LIK30" s="105"/>
      <c r="LIR30" s="56"/>
      <c r="LIS30" s="105"/>
      <c r="LIZ30" s="56"/>
      <c r="LJA30" s="105"/>
      <c r="LJH30" s="56"/>
      <c r="LJI30" s="105"/>
      <c r="LJP30" s="56"/>
      <c r="LJQ30" s="105"/>
      <c r="LJX30" s="56"/>
      <c r="LJY30" s="105"/>
      <c r="LKF30" s="56"/>
      <c r="LKG30" s="105"/>
      <c r="LKN30" s="56"/>
      <c r="LKO30" s="105"/>
      <c r="LKV30" s="56"/>
      <c r="LKW30" s="105"/>
      <c r="LLD30" s="56"/>
      <c r="LLE30" s="105"/>
      <c r="LLL30" s="56"/>
      <c r="LLM30" s="105"/>
      <c r="LLT30" s="56"/>
      <c r="LLU30" s="105"/>
      <c r="LMB30" s="56"/>
      <c r="LMC30" s="105"/>
      <c r="LMJ30" s="56"/>
      <c r="LMK30" s="105"/>
      <c r="LMR30" s="56"/>
      <c r="LMS30" s="105"/>
      <c r="LMZ30" s="56"/>
      <c r="LNA30" s="105"/>
      <c r="LNH30" s="56"/>
      <c r="LNI30" s="105"/>
      <c r="LNP30" s="56"/>
      <c r="LNQ30" s="105"/>
      <c r="LNX30" s="56"/>
      <c r="LNY30" s="105"/>
      <c r="LOF30" s="56"/>
      <c r="LOG30" s="105"/>
      <c r="LON30" s="56"/>
      <c r="LOO30" s="105"/>
      <c r="LOV30" s="56"/>
      <c r="LOW30" s="105"/>
      <c r="LPD30" s="56"/>
      <c r="LPE30" s="105"/>
      <c r="LPL30" s="56"/>
      <c r="LPM30" s="105"/>
      <c r="LPT30" s="56"/>
      <c r="LPU30" s="105"/>
      <c r="LQB30" s="56"/>
      <c r="LQC30" s="105"/>
      <c r="LQJ30" s="56"/>
      <c r="LQK30" s="105"/>
      <c r="LQR30" s="56"/>
      <c r="LQS30" s="105"/>
      <c r="LQZ30" s="56"/>
      <c r="LRA30" s="105"/>
      <c r="LRH30" s="56"/>
      <c r="LRI30" s="105"/>
      <c r="LRP30" s="56"/>
      <c r="LRQ30" s="105"/>
      <c r="LRX30" s="56"/>
      <c r="LRY30" s="105"/>
      <c r="LSF30" s="56"/>
      <c r="LSG30" s="105"/>
      <c r="LSN30" s="56"/>
      <c r="LSO30" s="105"/>
      <c r="LSV30" s="56"/>
      <c r="LSW30" s="105"/>
      <c r="LTD30" s="56"/>
      <c r="LTE30" s="105"/>
      <c r="LTL30" s="56"/>
      <c r="LTM30" s="105"/>
      <c r="LTT30" s="56"/>
      <c r="LTU30" s="105"/>
      <c r="LUB30" s="56"/>
      <c r="LUC30" s="105"/>
      <c r="LUJ30" s="56"/>
      <c r="LUK30" s="105"/>
      <c r="LUR30" s="56"/>
      <c r="LUS30" s="105"/>
      <c r="LUZ30" s="56"/>
      <c r="LVA30" s="105"/>
      <c r="LVH30" s="56"/>
      <c r="LVI30" s="105"/>
      <c r="LVP30" s="56"/>
      <c r="LVQ30" s="105"/>
      <c r="LVX30" s="56"/>
      <c r="LVY30" s="105"/>
      <c r="LWF30" s="56"/>
      <c r="LWG30" s="105"/>
      <c r="LWN30" s="56"/>
      <c r="LWO30" s="105"/>
      <c r="LWV30" s="56"/>
      <c r="LWW30" s="105"/>
      <c r="LXD30" s="56"/>
      <c r="LXE30" s="105"/>
      <c r="LXL30" s="56"/>
      <c r="LXM30" s="105"/>
      <c r="LXT30" s="56"/>
      <c r="LXU30" s="105"/>
      <c r="LYB30" s="56"/>
      <c r="LYC30" s="105"/>
      <c r="LYJ30" s="56"/>
      <c r="LYK30" s="105"/>
      <c r="LYR30" s="56"/>
      <c r="LYS30" s="105"/>
      <c r="LYZ30" s="56"/>
      <c r="LZA30" s="105"/>
      <c r="LZH30" s="56"/>
      <c r="LZI30" s="105"/>
      <c r="LZP30" s="56"/>
      <c r="LZQ30" s="105"/>
      <c r="LZX30" s="56"/>
      <c r="LZY30" s="105"/>
      <c r="MAF30" s="56"/>
      <c r="MAG30" s="105"/>
      <c r="MAN30" s="56"/>
      <c r="MAO30" s="105"/>
      <c r="MAV30" s="56"/>
      <c r="MAW30" s="105"/>
      <c r="MBD30" s="56"/>
      <c r="MBE30" s="105"/>
      <c r="MBL30" s="56"/>
      <c r="MBM30" s="105"/>
      <c r="MBT30" s="56"/>
      <c r="MBU30" s="105"/>
      <c r="MCB30" s="56"/>
      <c r="MCC30" s="105"/>
      <c r="MCJ30" s="56"/>
      <c r="MCK30" s="105"/>
      <c r="MCR30" s="56"/>
      <c r="MCS30" s="105"/>
      <c r="MCZ30" s="56"/>
      <c r="MDA30" s="105"/>
      <c r="MDH30" s="56"/>
      <c r="MDI30" s="105"/>
      <c r="MDP30" s="56"/>
      <c r="MDQ30" s="105"/>
      <c r="MDX30" s="56"/>
      <c r="MDY30" s="105"/>
      <c r="MEF30" s="56"/>
      <c r="MEG30" s="105"/>
      <c r="MEN30" s="56"/>
      <c r="MEO30" s="105"/>
      <c r="MEV30" s="56"/>
      <c r="MEW30" s="105"/>
      <c r="MFD30" s="56"/>
      <c r="MFE30" s="105"/>
      <c r="MFL30" s="56"/>
      <c r="MFM30" s="105"/>
      <c r="MFT30" s="56"/>
      <c r="MFU30" s="105"/>
      <c r="MGB30" s="56"/>
      <c r="MGC30" s="105"/>
      <c r="MGJ30" s="56"/>
      <c r="MGK30" s="105"/>
      <c r="MGR30" s="56"/>
      <c r="MGS30" s="105"/>
      <c r="MGZ30" s="56"/>
      <c r="MHA30" s="105"/>
      <c r="MHH30" s="56"/>
      <c r="MHI30" s="105"/>
      <c r="MHP30" s="56"/>
      <c r="MHQ30" s="105"/>
      <c r="MHX30" s="56"/>
      <c r="MHY30" s="105"/>
      <c r="MIF30" s="56"/>
      <c r="MIG30" s="105"/>
      <c r="MIN30" s="56"/>
      <c r="MIO30" s="105"/>
      <c r="MIV30" s="56"/>
      <c r="MIW30" s="105"/>
      <c r="MJD30" s="56"/>
      <c r="MJE30" s="105"/>
      <c r="MJL30" s="56"/>
      <c r="MJM30" s="105"/>
      <c r="MJT30" s="56"/>
      <c r="MJU30" s="105"/>
      <c r="MKB30" s="56"/>
      <c r="MKC30" s="105"/>
      <c r="MKJ30" s="56"/>
      <c r="MKK30" s="105"/>
      <c r="MKR30" s="56"/>
      <c r="MKS30" s="105"/>
      <c r="MKZ30" s="56"/>
      <c r="MLA30" s="105"/>
      <c r="MLH30" s="56"/>
      <c r="MLI30" s="105"/>
      <c r="MLP30" s="56"/>
      <c r="MLQ30" s="105"/>
      <c r="MLX30" s="56"/>
      <c r="MLY30" s="105"/>
      <c r="MMF30" s="56"/>
      <c r="MMG30" s="105"/>
      <c r="MMN30" s="56"/>
      <c r="MMO30" s="105"/>
      <c r="MMV30" s="56"/>
      <c r="MMW30" s="105"/>
      <c r="MND30" s="56"/>
      <c r="MNE30" s="105"/>
      <c r="MNL30" s="56"/>
      <c r="MNM30" s="105"/>
      <c r="MNT30" s="56"/>
      <c r="MNU30" s="105"/>
      <c r="MOB30" s="56"/>
      <c r="MOC30" s="105"/>
      <c r="MOJ30" s="56"/>
      <c r="MOK30" s="105"/>
      <c r="MOR30" s="56"/>
      <c r="MOS30" s="105"/>
      <c r="MOZ30" s="56"/>
      <c r="MPA30" s="105"/>
      <c r="MPH30" s="56"/>
      <c r="MPI30" s="105"/>
      <c r="MPP30" s="56"/>
      <c r="MPQ30" s="105"/>
      <c r="MPX30" s="56"/>
      <c r="MPY30" s="105"/>
      <c r="MQF30" s="56"/>
      <c r="MQG30" s="105"/>
      <c r="MQN30" s="56"/>
      <c r="MQO30" s="105"/>
      <c r="MQV30" s="56"/>
      <c r="MQW30" s="105"/>
      <c r="MRD30" s="56"/>
      <c r="MRE30" s="105"/>
      <c r="MRL30" s="56"/>
      <c r="MRM30" s="105"/>
      <c r="MRT30" s="56"/>
      <c r="MRU30" s="105"/>
      <c r="MSB30" s="56"/>
      <c r="MSC30" s="105"/>
      <c r="MSJ30" s="56"/>
      <c r="MSK30" s="105"/>
      <c r="MSR30" s="56"/>
      <c r="MSS30" s="105"/>
      <c r="MSZ30" s="56"/>
      <c r="MTA30" s="105"/>
      <c r="MTH30" s="56"/>
      <c r="MTI30" s="105"/>
      <c r="MTP30" s="56"/>
      <c r="MTQ30" s="105"/>
      <c r="MTX30" s="56"/>
      <c r="MTY30" s="105"/>
      <c r="MUF30" s="56"/>
      <c r="MUG30" s="105"/>
      <c r="MUN30" s="56"/>
      <c r="MUO30" s="105"/>
      <c r="MUV30" s="56"/>
      <c r="MUW30" s="105"/>
      <c r="MVD30" s="56"/>
      <c r="MVE30" s="105"/>
      <c r="MVL30" s="56"/>
      <c r="MVM30" s="105"/>
      <c r="MVT30" s="56"/>
      <c r="MVU30" s="105"/>
      <c r="MWB30" s="56"/>
      <c r="MWC30" s="105"/>
      <c r="MWJ30" s="56"/>
      <c r="MWK30" s="105"/>
      <c r="MWR30" s="56"/>
      <c r="MWS30" s="105"/>
      <c r="MWZ30" s="56"/>
      <c r="MXA30" s="105"/>
      <c r="MXH30" s="56"/>
      <c r="MXI30" s="105"/>
      <c r="MXP30" s="56"/>
      <c r="MXQ30" s="105"/>
      <c r="MXX30" s="56"/>
      <c r="MXY30" s="105"/>
      <c r="MYF30" s="56"/>
      <c r="MYG30" s="105"/>
      <c r="MYN30" s="56"/>
      <c r="MYO30" s="105"/>
      <c r="MYV30" s="56"/>
      <c r="MYW30" s="105"/>
      <c r="MZD30" s="56"/>
      <c r="MZE30" s="105"/>
      <c r="MZL30" s="56"/>
      <c r="MZM30" s="105"/>
      <c r="MZT30" s="56"/>
      <c r="MZU30" s="105"/>
      <c r="NAB30" s="56"/>
      <c r="NAC30" s="105"/>
      <c r="NAJ30" s="56"/>
      <c r="NAK30" s="105"/>
      <c r="NAR30" s="56"/>
      <c r="NAS30" s="105"/>
      <c r="NAZ30" s="56"/>
      <c r="NBA30" s="105"/>
      <c r="NBH30" s="56"/>
      <c r="NBI30" s="105"/>
      <c r="NBP30" s="56"/>
      <c r="NBQ30" s="105"/>
      <c r="NBX30" s="56"/>
      <c r="NBY30" s="105"/>
      <c r="NCF30" s="56"/>
      <c r="NCG30" s="105"/>
      <c r="NCN30" s="56"/>
      <c r="NCO30" s="105"/>
      <c r="NCV30" s="56"/>
      <c r="NCW30" s="105"/>
      <c r="NDD30" s="56"/>
      <c r="NDE30" s="105"/>
      <c r="NDL30" s="56"/>
      <c r="NDM30" s="105"/>
      <c r="NDT30" s="56"/>
      <c r="NDU30" s="105"/>
      <c r="NEB30" s="56"/>
      <c r="NEC30" s="105"/>
      <c r="NEJ30" s="56"/>
      <c r="NEK30" s="105"/>
      <c r="NER30" s="56"/>
      <c r="NES30" s="105"/>
      <c r="NEZ30" s="56"/>
      <c r="NFA30" s="105"/>
      <c r="NFH30" s="56"/>
      <c r="NFI30" s="105"/>
      <c r="NFP30" s="56"/>
      <c r="NFQ30" s="105"/>
      <c r="NFX30" s="56"/>
      <c r="NFY30" s="105"/>
      <c r="NGF30" s="56"/>
      <c r="NGG30" s="105"/>
      <c r="NGN30" s="56"/>
      <c r="NGO30" s="105"/>
      <c r="NGV30" s="56"/>
      <c r="NGW30" s="105"/>
      <c r="NHD30" s="56"/>
      <c r="NHE30" s="105"/>
      <c r="NHL30" s="56"/>
      <c r="NHM30" s="105"/>
      <c r="NHT30" s="56"/>
      <c r="NHU30" s="105"/>
      <c r="NIB30" s="56"/>
      <c r="NIC30" s="105"/>
      <c r="NIJ30" s="56"/>
      <c r="NIK30" s="105"/>
      <c r="NIR30" s="56"/>
      <c r="NIS30" s="105"/>
      <c r="NIZ30" s="56"/>
      <c r="NJA30" s="105"/>
      <c r="NJH30" s="56"/>
      <c r="NJI30" s="105"/>
      <c r="NJP30" s="56"/>
      <c r="NJQ30" s="105"/>
      <c r="NJX30" s="56"/>
      <c r="NJY30" s="105"/>
      <c r="NKF30" s="56"/>
      <c r="NKG30" s="105"/>
      <c r="NKN30" s="56"/>
      <c r="NKO30" s="105"/>
      <c r="NKV30" s="56"/>
      <c r="NKW30" s="105"/>
      <c r="NLD30" s="56"/>
      <c r="NLE30" s="105"/>
      <c r="NLL30" s="56"/>
      <c r="NLM30" s="105"/>
      <c r="NLT30" s="56"/>
      <c r="NLU30" s="105"/>
      <c r="NMB30" s="56"/>
      <c r="NMC30" s="105"/>
      <c r="NMJ30" s="56"/>
      <c r="NMK30" s="105"/>
      <c r="NMR30" s="56"/>
      <c r="NMS30" s="105"/>
      <c r="NMZ30" s="56"/>
      <c r="NNA30" s="105"/>
      <c r="NNH30" s="56"/>
      <c r="NNI30" s="105"/>
      <c r="NNP30" s="56"/>
      <c r="NNQ30" s="105"/>
      <c r="NNX30" s="56"/>
      <c r="NNY30" s="105"/>
      <c r="NOF30" s="56"/>
      <c r="NOG30" s="105"/>
      <c r="NON30" s="56"/>
      <c r="NOO30" s="105"/>
      <c r="NOV30" s="56"/>
      <c r="NOW30" s="105"/>
      <c r="NPD30" s="56"/>
      <c r="NPE30" s="105"/>
      <c r="NPL30" s="56"/>
      <c r="NPM30" s="105"/>
      <c r="NPT30" s="56"/>
      <c r="NPU30" s="105"/>
      <c r="NQB30" s="56"/>
      <c r="NQC30" s="105"/>
      <c r="NQJ30" s="56"/>
      <c r="NQK30" s="105"/>
      <c r="NQR30" s="56"/>
      <c r="NQS30" s="105"/>
      <c r="NQZ30" s="56"/>
      <c r="NRA30" s="105"/>
      <c r="NRH30" s="56"/>
      <c r="NRI30" s="105"/>
      <c r="NRP30" s="56"/>
      <c r="NRQ30" s="105"/>
      <c r="NRX30" s="56"/>
      <c r="NRY30" s="105"/>
      <c r="NSF30" s="56"/>
      <c r="NSG30" s="105"/>
      <c r="NSN30" s="56"/>
      <c r="NSO30" s="105"/>
      <c r="NSV30" s="56"/>
      <c r="NSW30" s="105"/>
      <c r="NTD30" s="56"/>
      <c r="NTE30" s="105"/>
      <c r="NTL30" s="56"/>
      <c r="NTM30" s="105"/>
      <c r="NTT30" s="56"/>
      <c r="NTU30" s="105"/>
      <c r="NUB30" s="56"/>
      <c r="NUC30" s="105"/>
      <c r="NUJ30" s="56"/>
      <c r="NUK30" s="105"/>
      <c r="NUR30" s="56"/>
      <c r="NUS30" s="105"/>
      <c r="NUZ30" s="56"/>
      <c r="NVA30" s="105"/>
      <c r="NVH30" s="56"/>
      <c r="NVI30" s="105"/>
      <c r="NVP30" s="56"/>
      <c r="NVQ30" s="105"/>
      <c r="NVX30" s="56"/>
      <c r="NVY30" s="105"/>
      <c r="NWF30" s="56"/>
      <c r="NWG30" s="105"/>
      <c r="NWN30" s="56"/>
      <c r="NWO30" s="105"/>
      <c r="NWV30" s="56"/>
      <c r="NWW30" s="105"/>
      <c r="NXD30" s="56"/>
      <c r="NXE30" s="105"/>
      <c r="NXL30" s="56"/>
      <c r="NXM30" s="105"/>
      <c r="NXT30" s="56"/>
      <c r="NXU30" s="105"/>
      <c r="NYB30" s="56"/>
      <c r="NYC30" s="105"/>
      <c r="NYJ30" s="56"/>
      <c r="NYK30" s="105"/>
      <c r="NYR30" s="56"/>
      <c r="NYS30" s="105"/>
      <c r="NYZ30" s="56"/>
      <c r="NZA30" s="105"/>
      <c r="NZH30" s="56"/>
      <c r="NZI30" s="105"/>
      <c r="NZP30" s="56"/>
      <c r="NZQ30" s="105"/>
      <c r="NZX30" s="56"/>
      <c r="NZY30" s="105"/>
      <c r="OAF30" s="56"/>
      <c r="OAG30" s="105"/>
      <c r="OAN30" s="56"/>
      <c r="OAO30" s="105"/>
      <c r="OAV30" s="56"/>
      <c r="OAW30" s="105"/>
      <c r="OBD30" s="56"/>
      <c r="OBE30" s="105"/>
      <c r="OBL30" s="56"/>
      <c r="OBM30" s="105"/>
      <c r="OBT30" s="56"/>
      <c r="OBU30" s="105"/>
      <c r="OCB30" s="56"/>
      <c r="OCC30" s="105"/>
      <c r="OCJ30" s="56"/>
      <c r="OCK30" s="105"/>
      <c r="OCR30" s="56"/>
      <c r="OCS30" s="105"/>
      <c r="OCZ30" s="56"/>
      <c r="ODA30" s="105"/>
      <c r="ODH30" s="56"/>
      <c r="ODI30" s="105"/>
      <c r="ODP30" s="56"/>
      <c r="ODQ30" s="105"/>
      <c r="ODX30" s="56"/>
      <c r="ODY30" s="105"/>
      <c r="OEF30" s="56"/>
      <c r="OEG30" s="105"/>
      <c r="OEN30" s="56"/>
      <c r="OEO30" s="105"/>
      <c r="OEV30" s="56"/>
      <c r="OEW30" s="105"/>
      <c r="OFD30" s="56"/>
      <c r="OFE30" s="105"/>
      <c r="OFL30" s="56"/>
      <c r="OFM30" s="105"/>
      <c r="OFT30" s="56"/>
      <c r="OFU30" s="105"/>
      <c r="OGB30" s="56"/>
      <c r="OGC30" s="105"/>
      <c r="OGJ30" s="56"/>
      <c r="OGK30" s="105"/>
      <c r="OGR30" s="56"/>
      <c r="OGS30" s="105"/>
      <c r="OGZ30" s="56"/>
      <c r="OHA30" s="105"/>
      <c r="OHH30" s="56"/>
      <c r="OHI30" s="105"/>
      <c r="OHP30" s="56"/>
      <c r="OHQ30" s="105"/>
      <c r="OHX30" s="56"/>
      <c r="OHY30" s="105"/>
      <c r="OIF30" s="56"/>
      <c r="OIG30" s="105"/>
      <c r="OIN30" s="56"/>
      <c r="OIO30" s="105"/>
      <c r="OIV30" s="56"/>
      <c r="OIW30" s="105"/>
      <c r="OJD30" s="56"/>
      <c r="OJE30" s="105"/>
      <c r="OJL30" s="56"/>
      <c r="OJM30" s="105"/>
      <c r="OJT30" s="56"/>
      <c r="OJU30" s="105"/>
      <c r="OKB30" s="56"/>
      <c r="OKC30" s="105"/>
      <c r="OKJ30" s="56"/>
      <c r="OKK30" s="105"/>
      <c r="OKR30" s="56"/>
      <c r="OKS30" s="105"/>
      <c r="OKZ30" s="56"/>
      <c r="OLA30" s="105"/>
      <c r="OLH30" s="56"/>
      <c r="OLI30" s="105"/>
      <c r="OLP30" s="56"/>
      <c r="OLQ30" s="105"/>
      <c r="OLX30" s="56"/>
      <c r="OLY30" s="105"/>
      <c r="OMF30" s="56"/>
      <c r="OMG30" s="105"/>
      <c r="OMN30" s="56"/>
      <c r="OMO30" s="105"/>
      <c r="OMV30" s="56"/>
      <c r="OMW30" s="105"/>
      <c r="OND30" s="56"/>
      <c r="ONE30" s="105"/>
      <c r="ONL30" s="56"/>
      <c r="ONM30" s="105"/>
      <c r="ONT30" s="56"/>
      <c r="ONU30" s="105"/>
      <c r="OOB30" s="56"/>
      <c r="OOC30" s="105"/>
      <c r="OOJ30" s="56"/>
      <c r="OOK30" s="105"/>
      <c r="OOR30" s="56"/>
      <c r="OOS30" s="105"/>
      <c r="OOZ30" s="56"/>
      <c r="OPA30" s="105"/>
      <c r="OPH30" s="56"/>
      <c r="OPI30" s="105"/>
      <c r="OPP30" s="56"/>
      <c r="OPQ30" s="105"/>
      <c r="OPX30" s="56"/>
      <c r="OPY30" s="105"/>
      <c r="OQF30" s="56"/>
      <c r="OQG30" s="105"/>
      <c r="OQN30" s="56"/>
      <c r="OQO30" s="105"/>
      <c r="OQV30" s="56"/>
      <c r="OQW30" s="105"/>
      <c r="ORD30" s="56"/>
      <c r="ORE30" s="105"/>
      <c r="ORL30" s="56"/>
      <c r="ORM30" s="105"/>
      <c r="ORT30" s="56"/>
      <c r="ORU30" s="105"/>
      <c r="OSB30" s="56"/>
      <c r="OSC30" s="105"/>
      <c r="OSJ30" s="56"/>
      <c r="OSK30" s="105"/>
      <c r="OSR30" s="56"/>
      <c r="OSS30" s="105"/>
      <c r="OSZ30" s="56"/>
      <c r="OTA30" s="105"/>
      <c r="OTH30" s="56"/>
      <c r="OTI30" s="105"/>
      <c r="OTP30" s="56"/>
      <c r="OTQ30" s="105"/>
      <c r="OTX30" s="56"/>
      <c r="OTY30" s="105"/>
      <c r="OUF30" s="56"/>
      <c r="OUG30" s="105"/>
      <c r="OUN30" s="56"/>
      <c r="OUO30" s="105"/>
      <c r="OUV30" s="56"/>
      <c r="OUW30" s="105"/>
      <c r="OVD30" s="56"/>
      <c r="OVE30" s="105"/>
      <c r="OVL30" s="56"/>
      <c r="OVM30" s="105"/>
      <c r="OVT30" s="56"/>
      <c r="OVU30" s="105"/>
      <c r="OWB30" s="56"/>
      <c r="OWC30" s="105"/>
      <c r="OWJ30" s="56"/>
      <c r="OWK30" s="105"/>
      <c r="OWR30" s="56"/>
      <c r="OWS30" s="105"/>
      <c r="OWZ30" s="56"/>
      <c r="OXA30" s="105"/>
      <c r="OXH30" s="56"/>
      <c r="OXI30" s="105"/>
      <c r="OXP30" s="56"/>
      <c r="OXQ30" s="105"/>
      <c r="OXX30" s="56"/>
      <c r="OXY30" s="105"/>
      <c r="OYF30" s="56"/>
      <c r="OYG30" s="105"/>
      <c r="OYN30" s="56"/>
      <c r="OYO30" s="105"/>
      <c r="OYV30" s="56"/>
      <c r="OYW30" s="105"/>
      <c r="OZD30" s="56"/>
      <c r="OZE30" s="105"/>
      <c r="OZL30" s="56"/>
      <c r="OZM30" s="105"/>
      <c r="OZT30" s="56"/>
      <c r="OZU30" s="105"/>
      <c r="PAB30" s="56"/>
      <c r="PAC30" s="105"/>
      <c r="PAJ30" s="56"/>
      <c r="PAK30" s="105"/>
      <c r="PAR30" s="56"/>
      <c r="PAS30" s="105"/>
      <c r="PAZ30" s="56"/>
      <c r="PBA30" s="105"/>
      <c r="PBH30" s="56"/>
      <c r="PBI30" s="105"/>
      <c r="PBP30" s="56"/>
      <c r="PBQ30" s="105"/>
      <c r="PBX30" s="56"/>
      <c r="PBY30" s="105"/>
      <c r="PCF30" s="56"/>
      <c r="PCG30" s="105"/>
      <c r="PCN30" s="56"/>
      <c r="PCO30" s="105"/>
      <c r="PCV30" s="56"/>
      <c r="PCW30" s="105"/>
      <c r="PDD30" s="56"/>
      <c r="PDE30" s="105"/>
      <c r="PDL30" s="56"/>
      <c r="PDM30" s="105"/>
      <c r="PDT30" s="56"/>
      <c r="PDU30" s="105"/>
      <c r="PEB30" s="56"/>
      <c r="PEC30" s="105"/>
      <c r="PEJ30" s="56"/>
      <c r="PEK30" s="105"/>
      <c r="PER30" s="56"/>
      <c r="PES30" s="105"/>
      <c r="PEZ30" s="56"/>
      <c r="PFA30" s="105"/>
      <c r="PFH30" s="56"/>
      <c r="PFI30" s="105"/>
      <c r="PFP30" s="56"/>
      <c r="PFQ30" s="105"/>
      <c r="PFX30" s="56"/>
      <c r="PFY30" s="105"/>
      <c r="PGF30" s="56"/>
      <c r="PGG30" s="105"/>
      <c r="PGN30" s="56"/>
      <c r="PGO30" s="105"/>
      <c r="PGV30" s="56"/>
      <c r="PGW30" s="105"/>
      <c r="PHD30" s="56"/>
      <c r="PHE30" s="105"/>
      <c r="PHL30" s="56"/>
      <c r="PHM30" s="105"/>
      <c r="PHT30" s="56"/>
      <c r="PHU30" s="105"/>
      <c r="PIB30" s="56"/>
      <c r="PIC30" s="105"/>
      <c r="PIJ30" s="56"/>
      <c r="PIK30" s="105"/>
      <c r="PIR30" s="56"/>
      <c r="PIS30" s="105"/>
      <c r="PIZ30" s="56"/>
      <c r="PJA30" s="105"/>
      <c r="PJH30" s="56"/>
      <c r="PJI30" s="105"/>
      <c r="PJP30" s="56"/>
      <c r="PJQ30" s="105"/>
      <c r="PJX30" s="56"/>
      <c r="PJY30" s="105"/>
      <c r="PKF30" s="56"/>
      <c r="PKG30" s="105"/>
      <c r="PKN30" s="56"/>
      <c r="PKO30" s="105"/>
      <c r="PKV30" s="56"/>
      <c r="PKW30" s="105"/>
      <c r="PLD30" s="56"/>
      <c r="PLE30" s="105"/>
      <c r="PLL30" s="56"/>
      <c r="PLM30" s="105"/>
      <c r="PLT30" s="56"/>
      <c r="PLU30" s="105"/>
      <c r="PMB30" s="56"/>
      <c r="PMC30" s="105"/>
      <c r="PMJ30" s="56"/>
      <c r="PMK30" s="105"/>
      <c r="PMR30" s="56"/>
      <c r="PMS30" s="105"/>
      <c r="PMZ30" s="56"/>
      <c r="PNA30" s="105"/>
      <c r="PNH30" s="56"/>
      <c r="PNI30" s="105"/>
      <c r="PNP30" s="56"/>
      <c r="PNQ30" s="105"/>
      <c r="PNX30" s="56"/>
      <c r="PNY30" s="105"/>
      <c r="POF30" s="56"/>
      <c r="POG30" s="105"/>
      <c r="PON30" s="56"/>
      <c r="POO30" s="105"/>
      <c r="POV30" s="56"/>
      <c r="POW30" s="105"/>
      <c r="PPD30" s="56"/>
      <c r="PPE30" s="105"/>
      <c r="PPL30" s="56"/>
      <c r="PPM30" s="105"/>
      <c r="PPT30" s="56"/>
      <c r="PPU30" s="105"/>
      <c r="PQB30" s="56"/>
      <c r="PQC30" s="105"/>
      <c r="PQJ30" s="56"/>
      <c r="PQK30" s="105"/>
      <c r="PQR30" s="56"/>
      <c r="PQS30" s="105"/>
      <c r="PQZ30" s="56"/>
      <c r="PRA30" s="105"/>
      <c r="PRH30" s="56"/>
      <c r="PRI30" s="105"/>
      <c r="PRP30" s="56"/>
      <c r="PRQ30" s="105"/>
      <c r="PRX30" s="56"/>
      <c r="PRY30" s="105"/>
      <c r="PSF30" s="56"/>
      <c r="PSG30" s="105"/>
      <c r="PSN30" s="56"/>
      <c r="PSO30" s="105"/>
      <c r="PSV30" s="56"/>
      <c r="PSW30" s="105"/>
      <c r="PTD30" s="56"/>
      <c r="PTE30" s="105"/>
      <c r="PTL30" s="56"/>
      <c r="PTM30" s="105"/>
      <c r="PTT30" s="56"/>
      <c r="PTU30" s="105"/>
      <c r="PUB30" s="56"/>
      <c r="PUC30" s="105"/>
      <c r="PUJ30" s="56"/>
      <c r="PUK30" s="105"/>
      <c r="PUR30" s="56"/>
      <c r="PUS30" s="105"/>
      <c r="PUZ30" s="56"/>
      <c r="PVA30" s="105"/>
      <c r="PVH30" s="56"/>
      <c r="PVI30" s="105"/>
      <c r="PVP30" s="56"/>
      <c r="PVQ30" s="105"/>
      <c r="PVX30" s="56"/>
      <c r="PVY30" s="105"/>
      <c r="PWF30" s="56"/>
      <c r="PWG30" s="105"/>
      <c r="PWN30" s="56"/>
      <c r="PWO30" s="105"/>
      <c r="PWV30" s="56"/>
      <c r="PWW30" s="105"/>
      <c r="PXD30" s="56"/>
      <c r="PXE30" s="105"/>
      <c r="PXL30" s="56"/>
      <c r="PXM30" s="105"/>
      <c r="PXT30" s="56"/>
      <c r="PXU30" s="105"/>
      <c r="PYB30" s="56"/>
      <c r="PYC30" s="105"/>
      <c r="PYJ30" s="56"/>
      <c r="PYK30" s="105"/>
      <c r="PYR30" s="56"/>
      <c r="PYS30" s="105"/>
      <c r="PYZ30" s="56"/>
      <c r="PZA30" s="105"/>
      <c r="PZH30" s="56"/>
      <c r="PZI30" s="105"/>
      <c r="PZP30" s="56"/>
      <c r="PZQ30" s="105"/>
      <c r="PZX30" s="56"/>
      <c r="PZY30" s="105"/>
      <c r="QAF30" s="56"/>
      <c r="QAG30" s="105"/>
      <c r="QAN30" s="56"/>
      <c r="QAO30" s="105"/>
      <c r="QAV30" s="56"/>
      <c r="QAW30" s="105"/>
      <c r="QBD30" s="56"/>
      <c r="QBE30" s="105"/>
      <c r="QBL30" s="56"/>
      <c r="QBM30" s="105"/>
      <c r="QBT30" s="56"/>
      <c r="QBU30" s="105"/>
      <c r="QCB30" s="56"/>
      <c r="QCC30" s="105"/>
      <c r="QCJ30" s="56"/>
      <c r="QCK30" s="105"/>
      <c r="QCR30" s="56"/>
      <c r="QCS30" s="105"/>
      <c r="QCZ30" s="56"/>
      <c r="QDA30" s="105"/>
      <c r="QDH30" s="56"/>
      <c r="QDI30" s="105"/>
      <c r="QDP30" s="56"/>
      <c r="QDQ30" s="105"/>
      <c r="QDX30" s="56"/>
      <c r="QDY30" s="105"/>
      <c r="QEF30" s="56"/>
      <c r="QEG30" s="105"/>
      <c r="QEN30" s="56"/>
      <c r="QEO30" s="105"/>
      <c r="QEV30" s="56"/>
      <c r="QEW30" s="105"/>
      <c r="QFD30" s="56"/>
      <c r="QFE30" s="105"/>
      <c r="QFL30" s="56"/>
      <c r="QFM30" s="105"/>
      <c r="QFT30" s="56"/>
      <c r="QFU30" s="105"/>
      <c r="QGB30" s="56"/>
      <c r="QGC30" s="105"/>
      <c r="QGJ30" s="56"/>
      <c r="QGK30" s="105"/>
      <c r="QGR30" s="56"/>
      <c r="QGS30" s="105"/>
      <c r="QGZ30" s="56"/>
      <c r="QHA30" s="105"/>
      <c r="QHH30" s="56"/>
      <c r="QHI30" s="105"/>
      <c r="QHP30" s="56"/>
      <c r="QHQ30" s="105"/>
      <c r="QHX30" s="56"/>
      <c r="QHY30" s="105"/>
      <c r="QIF30" s="56"/>
      <c r="QIG30" s="105"/>
      <c r="QIN30" s="56"/>
      <c r="QIO30" s="105"/>
      <c r="QIV30" s="56"/>
      <c r="QIW30" s="105"/>
      <c r="QJD30" s="56"/>
      <c r="QJE30" s="105"/>
      <c r="QJL30" s="56"/>
      <c r="QJM30" s="105"/>
      <c r="QJT30" s="56"/>
      <c r="QJU30" s="105"/>
      <c r="QKB30" s="56"/>
      <c r="QKC30" s="105"/>
      <c r="QKJ30" s="56"/>
      <c r="QKK30" s="105"/>
      <c r="QKR30" s="56"/>
      <c r="QKS30" s="105"/>
      <c r="QKZ30" s="56"/>
      <c r="QLA30" s="105"/>
      <c r="QLH30" s="56"/>
      <c r="QLI30" s="105"/>
      <c r="QLP30" s="56"/>
      <c r="QLQ30" s="105"/>
      <c r="QLX30" s="56"/>
      <c r="QLY30" s="105"/>
      <c r="QMF30" s="56"/>
      <c r="QMG30" s="105"/>
      <c r="QMN30" s="56"/>
      <c r="QMO30" s="105"/>
      <c r="QMV30" s="56"/>
      <c r="QMW30" s="105"/>
      <c r="QND30" s="56"/>
      <c r="QNE30" s="105"/>
      <c r="QNL30" s="56"/>
      <c r="QNM30" s="105"/>
      <c r="QNT30" s="56"/>
      <c r="QNU30" s="105"/>
      <c r="QOB30" s="56"/>
      <c r="QOC30" s="105"/>
      <c r="QOJ30" s="56"/>
      <c r="QOK30" s="105"/>
      <c r="QOR30" s="56"/>
      <c r="QOS30" s="105"/>
      <c r="QOZ30" s="56"/>
      <c r="QPA30" s="105"/>
      <c r="QPH30" s="56"/>
      <c r="QPI30" s="105"/>
      <c r="QPP30" s="56"/>
      <c r="QPQ30" s="105"/>
      <c r="QPX30" s="56"/>
      <c r="QPY30" s="105"/>
      <c r="QQF30" s="56"/>
      <c r="QQG30" s="105"/>
      <c r="QQN30" s="56"/>
      <c r="QQO30" s="105"/>
      <c r="QQV30" s="56"/>
      <c r="QQW30" s="105"/>
      <c r="QRD30" s="56"/>
      <c r="QRE30" s="105"/>
      <c r="QRL30" s="56"/>
      <c r="QRM30" s="105"/>
      <c r="QRT30" s="56"/>
      <c r="QRU30" s="105"/>
      <c r="QSB30" s="56"/>
      <c r="QSC30" s="105"/>
      <c r="QSJ30" s="56"/>
      <c r="QSK30" s="105"/>
      <c r="QSR30" s="56"/>
      <c r="QSS30" s="105"/>
      <c r="QSZ30" s="56"/>
      <c r="QTA30" s="105"/>
      <c r="QTH30" s="56"/>
      <c r="QTI30" s="105"/>
      <c r="QTP30" s="56"/>
      <c r="QTQ30" s="105"/>
      <c r="QTX30" s="56"/>
      <c r="QTY30" s="105"/>
      <c r="QUF30" s="56"/>
      <c r="QUG30" s="105"/>
      <c r="QUN30" s="56"/>
      <c r="QUO30" s="105"/>
      <c r="QUV30" s="56"/>
      <c r="QUW30" s="105"/>
      <c r="QVD30" s="56"/>
      <c r="QVE30" s="105"/>
      <c r="QVL30" s="56"/>
      <c r="QVM30" s="105"/>
      <c r="QVT30" s="56"/>
      <c r="QVU30" s="105"/>
      <c r="QWB30" s="56"/>
      <c r="QWC30" s="105"/>
      <c r="QWJ30" s="56"/>
      <c r="QWK30" s="105"/>
      <c r="QWR30" s="56"/>
      <c r="QWS30" s="105"/>
      <c r="QWZ30" s="56"/>
      <c r="QXA30" s="105"/>
      <c r="QXH30" s="56"/>
      <c r="QXI30" s="105"/>
      <c r="QXP30" s="56"/>
      <c r="QXQ30" s="105"/>
      <c r="QXX30" s="56"/>
      <c r="QXY30" s="105"/>
      <c r="QYF30" s="56"/>
      <c r="QYG30" s="105"/>
      <c r="QYN30" s="56"/>
      <c r="QYO30" s="105"/>
      <c r="QYV30" s="56"/>
      <c r="QYW30" s="105"/>
      <c r="QZD30" s="56"/>
      <c r="QZE30" s="105"/>
      <c r="QZL30" s="56"/>
      <c r="QZM30" s="105"/>
      <c r="QZT30" s="56"/>
      <c r="QZU30" s="105"/>
      <c r="RAB30" s="56"/>
      <c r="RAC30" s="105"/>
      <c r="RAJ30" s="56"/>
      <c r="RAK30" s="105"/>
      <c r="RAR30" s="56"/>
      <c r="RAS30" s="105"/>
      <c r="RAZ30" s="56"/>
      <c r="RBA30" s="105"/>
      <c r="RBH30" s="56"/>
      <c r="RBI30" s="105"/>
      <c r="RBP30" s="56"/>
      <c r="RBQ30" s="105"/>
      <c r="RBX30" s="56"/>
      <c r="RBY30" s="105"/>
      <c r="RCF30" s="56"/>
      <c r="RCG30" s="105"/>
      <c r="RCN30" s="56"/>
      <c r="RCO30" s="105"/>
      <c r="RCV30" s="56"/>
      <c r="RCW30" s="105"/>
      <c r="RDD30" s="56"/>
      <c r="RDE30" s="105"/>
      <c r="RDL30" s="56"/>
      <c r="RDM30" s="105"/>
      <c r="RDT30" s="56"/>
      <c r="RDU30" s="105"/>
      <c r="REB30" s="56"/>
      <c r="REC30" s="105"/>
      <c r="REJ30" s="56"/>
      <c r="REK30" s="105"/>
      <c r="RER30" s="56"/>
      <c r="RES30" s="105"/>
      <c r="REZ30" s="56"/>
      <c r="RFA30" s="105"/>
      <c r="RFH30" s="56"/>
      <c r="RFI30" s="105"/>
      <c r="RFP30" s="56"/>
      <c r="RFQ30" s="105"/>
      <c r="RFX30" s="56"/>
      <c r="RFY30" s="105"/>
      <c r="RGF30" s="56"/>
      <c r="RGG30" s="105"/>
      <c r="RGN30" s="56"/>
      <c r="RGO30" s="105"/>
      <c r="RGV30" s="56"/>
      <c r="RGW30" s="105"/>
      <c r="RHD30" s="56"/>
      <c r="RHE30" s="105"/>
      <c r="RHL30" s="56"/>
      <c r="RHM30" s="105"/>
      <c r="RHT30" s="56"/>
      <c r="RHU30" s="105"/>
      <c r="RIB30" s="56"/>
      <c r="RIC30" s="105"/>
      <c r="RIJ30" s="56"/>
      <c r="RIK30" s="105"/>
      <c r="RIR30" s="56"/>
      <c r="RIS30" s="105"/>
      <c r="RIZ30" s="56"/>
      <c r="RJA30" s="105"/>
      <c r="RJH30" s="56"/>
      <c r="RJI30" s="105"/>
      <c r="RJP30" s="56"/>
      <c r="RJQ30" s="105"/>
      <c r="RJX30" s="56"/>
      <c r="RJY30" s="105"/>
      <c r="RKF30" s="56"/>
      <c r="RKG30" s="105"/>
      <c r="RKN30" s="56"/>
      <c r="RKO30" s="105"/>
      <c r="RKV30" s="56"/>
      <c r="RKW30" s="105"/>
      <c r="RLD30" s="56"/>
      <c r="RLE30" s="105"/>
      <c r="RLL30" s="56"/>
      <c r="RLM30" s="105"/>
      <c r="RLT30" s="56"/>
      <c r="RLU30" s="105"/>
      <c r="RMB30" s="56"/>
      <c r="RMC30" s="105"/>
      <c r="RMJ30" s="56"/>
      <c r="RMK30" s="105"/>
      <c r="RMR30" s="56"/>
      <c r="RMS30" s="105"/>
      <c r="RMZ30" s="56"/>
      <c r="RNA30" s="105"/>
      <c r="RNH30" s="56"/>
      <c r="RNI30" s="105"/>
      <c r="RNP30" s="56"/>
      <c r="RNQ30" s="105"/>
      <c r="RNX30" s="56"/>
      <c r="RNY30" s="105"/>
      <c r="ROF30" s="56"/>
      <c r="ROG30" s="105"/>
      <c r="RON30" s="56"/>
      <c r="ROO30" s="105"/>
      <c r="ROV30" s="56"/>
      <c r="ROW30" s="105"/>
      <c r="RPD30" s="56"/>
      <c r="RPE30" s="105"/>
      <c r="RPL30" s="56"/>
      <c r="RPM30" s="105"/>
      <c r="RPT30" s="56"/>
      <c r="RPU30" s="105"/>
      <c r="RQB30" s="56"/>
      <c r="RQC30" s="105"/>
      <c r="RQJ30" s="56"/>
      <c r="RQK30" s="105"/>
      <c r="RQR30" s="56"/>
      <c r="RQS30" s="105"/>
      <c r="RQZ30" s="56"/>
      <c r="RRA30" s="105"/>
      <c r="RRH30" s="56"/>
      <c r="RRI30" s="105"/>
      <c r="RRP30" s="56"/>
      <c r="RRQ30" s="105"/>
      <c r="RRX30" s="56"/>
      <c r="RRY30" s="105"/>
      <c r="RSF30" s="56"/>
      <c r="RSG30" s="105"/>
      <c r="RSN30" s="56"/>
      <c r="RSO30" s="105"/>
      <c r="RSV30" s="56"/>
      <c r="RSW30" s="105"/>
      <c r="RTD30" s="56"/>
      <c r="RTE30" s="105"/>
      <c r="RTL30" s="56"/>
      <c r="RTM30" s="105"/>
      <c r="RTT30" s="56"/>
      <c r="RTU30" s="105"/>
      <c r="RUB30" s="56"/>
      <c r="RUC30" s="105"/>
      <c r="RUJ30" s="56"/>
      <c r="RUK30" s="105"/>
      <c r="RUR30" s="56"/>
      <c r="RUS30" s="105"/>
      <c r="RUZ30" s="56"/>
      <c r="RVA30" s="105"/>
      <c r="RVH30" s="56"/>
      <c r="RVI30" s="105"/>
      <c r="RVP30" s="56"/>
      <c r="RVQ30" s="105"/>
      <c r="RVX30" s="56"/>
      <c r="RVY30" s="105"/>
      <c r="RWF30" s="56"/>
      <c r="RWG30" s="105"/>
      <c r="RWN30" s="56"/>
      <c r="RWO30" s="105"/>
      <c r="RWV30" s="56"/>
      <c r="RWW30" s="105"/>
      <c r="RXD30" s="56"/>
      <c r="RXE30" s="105"/>
      <c r="RXL30" s="56"/>
      <c r="RXM30" s="105"/>
      <c r="RXT30" s="56"/>
      <c r="RXU30" s="105"/>
      <c r="RYB30" s="56"/>
      <c r="RYC30" s="105"/>
      <c r="RYJ30" s="56"/>
      <c r="RYK30" s="105"/>
      <c r="RYR30" s="56"/>
      <c r="RYS30" s="105"/>
      <c r="RYZ30" s="56"/>
      <c r="RZA30" s="105"/>
      <c r="RZH30" s="56"/>
      <c r="RZI30" s="105"/>
      <c r="RZP30" s="56"/>
      <c r="RZQ30" s="105"/>
      <c r="RZX30" s="56"/>
      <c r="RZY30" s="105"/>
      <c r="SAF30" s="56"/>
      <c r="SAG30" s="105"/>
      <c r="SAN30" s="56"/>
      <c r="SAO30" s="105"/>
      <c r="SAV30" s="56"/>
      <c r="SAW30" s="105"/>
      <c r="SBD30" s="56"/>
      <c r="SBE30" s="105"/>
      <c r="SBL30" s="56"/>
      <c r="SBM30" s="105"/>
      <c r="SBT30" s="56"/>
      <c r="SBU30" s="105"/>
      <c r="SCB30" s="56"/>
      <c r="SCC30" s="105"/>
      <c r="SCJ30" s="56"/>
      <c r="SCK30" s="105"/>
      <c r="SCR30" s="56"/>
      <c r="SCS30" s="105"/>
      <c r="SCZ30" s="56"/>
      <c r="SDA30" s="105"/>
      <c r="SDH30" s="56"/>
      <c r="SDI30" s="105"/>
      <c r="SDP30" s="56"/>
      <c r="SDQ30" s="105"/>
      <c r="SDX30" s="56"/>
      <c r="SDY30" s="105"/>
      <c r="SEF30" s="56"/>
      <c r="SEG30" s="105"/>
      <c r="SEN30" s="56"/>
      <c r="SEO30" s="105"/>
      <c r="SEV30" s="56"/>
      <c r="SEW30" s="105"/>
      <c r="SFD30" s="56"/>
      <c r="SFE30" s="105"/>
      <c r="SFL30" s="56"/>
      <c r="SFM30" s="105"/>
      <c r="SFT30" s="56"/>
      <c r="SFU30" s="105"/>
      <c r="SGB30" s="56"/>
      <c r="SGC30" s="105"/>
      <c r="SGJ30" s="56"/>
      <c r="SGK30" s="105"/>
      <c r="SGR30" s="56"/>
      <c r="SGS30" s="105"/>
      <c r="SGZ30" s="56"/>
      <c r="SHA30" s="105"/>
      <c r="SHH30" s="56"/>
      <c r="SHI30" s="105"/>
      <c r="SHP30" s="56"/>
      <c r="SHQ30" s="105"/>
      <c r="SHX30" s="56"/>
      <c r="SHY30" s="105"/>
      <c r="SIF30" s="56"/>
      <c r="SIG30" s="105"/>
      <c r="SIN30" s="56"/>
      <c r="SIO30" s="105"/>
      <c r="SIV30" s="56"/>
      <c r="SIW30" s="105"/>
      <c r="SJD30" s="56"/>
      <c r="SJE30" s="105"/>
      <c r="SJL30" s="56"/>
      <c r="SJM30" s="105"/>
      <c r="SJT30" s="56"/>
      <c r="SJU30" s="105"/>
      <c r="SKB30" s="56"/>
      <c r="SKC30" s="105"/>
      <c r="SKJ30" s="56"/>
      <c r="SKK30" s="105"/>
      <c r="SKR30" s="56"/>
      <c r="SKS30" s="105"/>
      <c r="SKZ30" s="56"/>
      <c r="SLA30" s="105"/>
      <c r="SLH30" s="56"/>
      <c r="SLI30" s="105"/>
      <c r="SLP30" s="56"/>
      <c r="SLQ30" s="105"/>
      <c r="SLX30" s="56"/>
      <c r="SLY30" s="105"/>
      <c r="SMF30" s="56"/>
      <c r="SMG30" s="105"/>
      <c r="SMN30" s="56"/>
      <c r="SMO30" s="105"/>
      <c r="SMV30" s="56"/>
      <c r="SMW30" s="105"/>
      <c r="SND30" s="56"/>
      <c r="SNE30" s="105"/>
      <c r="SNL30" s="56"/>
      <c r="SNM30" s="105"/>
      <c r="SNT30" s="56"/>
      <c r="SNU30" s="105"/>
      <c r="SOB30" s="56"/>
      <c r="SOC30" s="105"/>
      <c r="SOJ30" s="56"/>
      <c r="SOK30" s="105"/>
      <c r="SOR30" s="56"/>
      <c r="SOS30" s="105"/>
      <c r="SOZ30" s="56"/>
      <c r="SPA30" s="105"/>
      <c r="SPH30" s="56"/>
      <c r="SPI30" s="105"/>
      <c r="SPP30" s="56"/>
      <c r="SPQ30" s="105"/>
      <c r="SPX30" s="56"/>
      <c r="SPY30" s="105"/>
      <c r="SQF30" s="56"/>
      <c r="SQG30" s="105"/>
      <c r="SQN30" s="56"/>
      <c r="SQO30" s="105"/>
      <c r="SQV30" s="56"/>
      <c r="SQW30" s="105"/>
      <c r="SRD30" s="56"/>
      <c r="SRE30" s="105"/>
      <c r="SRL30" s="56"/>
      <c r="SRM30" s="105"/>
      <c r="SRT30" s="56"/>
      <c r="SRU30" s="105"/>
      <c r="SSB30" s="56"/>
      <c r="SSC30" s="105"/>
      <c r="SSJ30" s="56"/>
      <c r="SSK30" s="105"/>
      <c r="SSR30" s="56"/>
      <c r="SSS30" s="105"/>
      <c r="SSZ30" s="56"/>
      <c r="STA30" s="105"/>
      <c r="STH30" s="56"/>
      <c r="STI30" s="105"/>
      <c r="STP30" s="56"/>
      <c r="STQ30" s="105"/>
      <c r="STX30" s="56"/>
      <c r="STY30" s="105"/>
      <c r="SUF30" s="56"/>
      <c r="SUG30" s="105"/>
      <c r="SUN30" s="56"/>
      <c r="SUO30" s="105"/>
      <c r="SUV30" s="56"/>
      <c r="SUW30" s="105"/>
      <c r="SVD30" s="56"/>
      <c r="SVE30" s="105"/>
      <c r="SVL30" s="56"/>
      <c r="SVM30" s="105"/>
      <c r="SVT30" s="56"/>
      <c r="SVU30" s="105"/>
      <c r="SWB30" s="56"/>
      <c r="SWC30" s="105"/>
      <c r="SWJ30" s="56"/>
      <c r="SWK30" s="105"/>
      <c r="SWR30" s="56"/>
      <c r="SWS30" s="105"/>
      <c r="SWZ30" s="56"/>
      <c r="SXA30" s="105"/>
      <c r="SXH30" s="56"/>
      <c r="SXI30" s="105"/>
      <c r="SXP30" s="56"/>
      <c r="SXQ30" s="105"/>
      <c r="SXX30" s="56"/>
      <c r="SXY30" s="105"/>
      <c r="SYF30" s="56"/>
      <c r="SYG30" s="105"/>
      <c r="SYN30" s="56"/>
      <c r="SYO30" s="105"/>
      <c r="SYV30" s="56"/>
      <c r="SYW30" s="105"/>
      <c r="SZD30" s="56"/>
      <c r="SZE30" s="105"/>
      <c r="SZL30" s="56"/>
      <c r="SZM30" s="105"/>
      <c r="SZT30" s="56"/>
      <c r="SZU30" s="105"/>
      <c r="TAB30" s="56"/>
      <c r="TAC30" s="105"/>
      <c r="TAJ30" s="56"/>
      <c r="TAK30" s="105"/>
      <c r="TAR30" s="56"/>
      <c r="TAS30" s="105"/>
      <c r="TAZ30" s="56"/>
      <c r="TBA30" s="105"/>
      <c r="TBH30" s="56"/>
      <c r="TBI30" s="105"/>
      <c r="TBP30" s="56"/>
      <c r="TBQ30" s="105"/>
      <c r="TBX30" s="56"/>
      <c r="TBY30" s="105"/>
      <c r="TCF30" s="56"/>
      <c r="TCG30" s="105"/>
      <c r="TCN30" s="56"/>
      <c r="TCO30" s="105"/>
      <c r="TCV30" s="56"/>
      <c r="TCW30" s="105"/>
      <c r="TDD30" s="56"/>
      <c r="TDE30" s="105"/>
      <c r="TDL30" s="56"/>
      <c r="TDM30" s="105"/>
      <c r="TDT30" s="56"/>
      <c r="TDU30" s="105"/>
      <c r="TEB30" s="56"/>
      <c r="TEC30" s="105"/>
      <c r="TEJ30" s="56"/>
      <c r="TEK30" s="105"/>
      <c r="TER30" s="56"/>
      <c r="TES30" s="105"/>
      <c r="TEZ30" s="56"/>
      <c r="TFA30" s="105"/>
      <c r="TFH30" s="56"/>
      <c r="TFI30" s="105"/>
      <c r="TFP30" s="56"/>
      <c r="TFQ30" s="105"/>
      <c r="TFX30" s="56"/>
      <c r="TFY30" s="105"/>
      <c r="TGF30" s="56"/>
      <c r="TGG30" s="105"/>
      <c r="TGN30" s="56"/>
      <c r="TGO30" s="105"/>
      <c r="TGV30" s="56"/>
      <c r="TGW30" s="105"/>
      <c r="THD30" s="56"/>
      <c r="THE30" s="105"/>
      <c r="THL30" s="56"/>
      <c r="THM30" s="105"/>
      <c r="THT30" s="56"/>
      <c r="THU30" s="105"/>
      <c r="TIB30" s="56"/>
      <c r="TIC30" s="105"/>
      <c r="TIJ30" s="56"/>
      <c r="TIK30" s="105"/>
      <c r="TIR30" s="56"/>
      <c r="TIS30" s="105"/>
      <c r="TIZ30" s="56"/>
      <c r="TJA30" s="105"/>
      <c r="TJH30" s="56"/>
      <c r="TJI30" s="105"/>
      <c r="TJP30" s="56"/>
      <c r="TJQ30" s="105"/>
      <c r="TJX30" s="56"/>
      <c r="TJY30" s="105"/>
      <c r="TKF30" s="56"/>
      <c r="TKG30" s="105"/>
      <c r="TKN30" s="56"/>
      <c r="TKO30" s="105"/>
      <c r="TKV30" s="56"/>
      <c r="TKW30" s="105"/>
      <c r="TLD30" s="56"/>
      <c r="TLE30" s="105"/>
      <c r="TLL30" s="56"/>
      <c r="TLM30" s="105"/>
      <c r="TLT30" s="56"/>
      <c r="TLU30" s="105"/>
      <c r="TMB30" s="56"/>
      <c r="TMC30" s="105"/>
      <c r="TMJ30" s="56"/>
      <c r="TMK30" s="105"/>
      <c r="TMR30" s="56"/>
      <c r="TMS30" s="105"/>
      <c r="TMZ30" s="56"/>
      <c r="TNA30" s="105"/>
      <c r="TNH30" s="56"/>
      <c r="TNI30" s="105"/>
      <c r="TNP30" s="56"/>
      <c r="TNQ30" s="105"/>
      <c r="TNX30" s="56"/>
      <c r="TNY30" s="105"/>
      <c r="TOF30" s="56"/>
      <c r="TOG30" s="105"/>
      <c r="TON30" s="56"/>
      <c r="TOO30" s="105"/>
      <c r="TOV30" s="56"/>
      <c r="TOW30" s="105"/>
      <c r="TPD30" s="56"/>
      <c r="TPE30" s="105"/>
      <c r="TPL30" s="56"/>
      <c r="TPM30" s="105"/>
      <c r="TPT30" s="56"/>
      <c r="TPU30" s="105"/>
      <c r="TQB30" s="56"/>
      <c r="TQC30" s="105"/>
      <c r="TQJ30" s="56"/>
      <c r="TQK30" s="105"/>
      <c r="TQR30" s="56"/>
      <c r="TQS30" s="105"/>
      <c r="TQZ30" s="56"/>
      <c r="TRA30" s="105"/>
      <c r="TRH30" s="56"/>
      <c r="TRI30" s="105"/>
      <c r="TRP30" s="56"/>
      <c r="TRQ30" s="105"/>
      <c r="TRX30" s="56"/>
      <c r="TRY30" s="105"/>
      <c r="TSF30" s="56"/>
      <c r="TSG30" s="105"/>
      <c r="TSN30" s="56"/>
      <c r="TSO30" s="105"/>
      <c r="TSV30" s="56"/>
      <c r="TSW30" s="105"/>
      <c r="TTD30" s="56"/>
      <c r="TTE30" s="105"/>
      <c r="TTL30" s="56"/>
      <c r="TTM30" s="105"/>
      <c r="TTT30" s="56"/>
      <c r="TTU30" s="105"/>
      <c r="TUB30" s="56"/>
      <c r="TUC30" s="105"/>
      <c r="TUJ30" s="56"/>
      <c r="TUK30" s="105"/>
      <c r="TUR30" s="56"/>
      <c r="TUS30" s="105"/>
      <c r="TUZ30" s="56"/>
      <c r="TVA30" s="105"/>
      <c r="TVH30" s="56"/>
      <c r="TVI30" s="105"/>
      <c r="TVP30" s="56"/>
      <c r="TVQ30" s="105"/>
      <c r="TVX30" s="56"/>
      <c r="TVY30" s="105"/>
      <c r="TWF30" s="56"/>
      <c r="TWG30" s="105"/>
      <c r="TWN30" s="56"/>
      <c r="TWO30" s="105"/>
      <c r="TWV30" s="56"/>
      <c r="TWW30" s="105"/>
      <c r="TXD30" s="56"/>
      <c r="TXE30" s="105"/>
      <c r="TXL30" s="56"/>
      <c r="TXM30" s="105"/>
      <c r="TXT30" s="56"/>
      <c r="TXU30" s="105"/>
      <c r="TYB30" s="56"/>
      <c r="TYC30" s="105"/>
      <c r="TYJ30" s="56"/>
      <c r="TYK30" s="105"/>
      <c r="TYR30" s="56"/>
      <c r="TYS30" s="105"/>
      <c r="TYZ30" s="56"/>
      <c r="TZA30" s="105"/>
      <c r="TZH30" s="56"/>
      <c r="TZI30" s="105"/>
      <c r="TZP30" s="56"/>
      <c r="TZQ30" s="105"/>
      <c r="TZX30" s="56"/>
      <c r="TZY30" s="105"/>
      <c r="UAF30" s="56"/>
      <c r="UAG30" s="105"/>
      <c r="UAN30" s="56"/>
      <c r="UAO30" s="105"/>
      <c r="UAV30" s="56"/>
      <c r="UAW30" s="105"/>
      <c r="UBD30" s="56"/>
      <c r="UBE30" s="105"/>
      <c r="UBL30" s="56"/>
      <c r="UBM30" s="105"/>
      <c r="UBT30" s="56"/>
      <c r="UBU30" s="105"/>
      <c r="UCB30" s="56"/>
      <c r="UCC30" s="105"/>
      <c r="UCJ30" s="56"/>
      <c r="UCK30" s="105"/>
      <c r="UCR30" s="56"/>
      <c r="UCS30" s="105"/>
      <c r="UCZ30" s="56"/>
      <c r="UDA30" s="105"/>
      <c r="UDH30" s="56"/>
      <c r="UDI30" s="105"/>
      <c r="UDP30" s="56"/>
      <c r="UDQ30" s="105"/>
      <c r="UDX30" s="56"/>
      <c r="UDY30" s="105"/>
      <c r="UEF30" s="56"/>
      <c r="UEG30" s="105"/>
      <c r="UEN30" s="56"/>
      <c r="UEO30" s="105"/>
      <c r="UEV30" s="56"/>
      <c r="UEW30" s="105"/>
      <c r="UFD30" s="56"/>
      <c r="UFE30" s="105"/>
      <c r="UFL30" s="56"/>
      <c r="UFM30" s="105"/>
      <c r="UFT30" s="56"/>
      <c r="UFU30" s="105"/>
      <c r="UGB30" s="56"/>
      <c r="UGC30" s="105"/>
      <c r="UGJ30" s="56"/>
      <c r="UGK30" s="105"/>
      <c r="UGR30" s="56"/>
      <c r="UGS30" s="105"/>
      <c r="UGZ30" s="56"/>
      <c r="UHA30" s="105"/>
      <c r="UHH30" s="56"/>
      <c r="UHI30" s="105"/>
      <c r="UHP30" s="56"/>
      <c r="UHQ30" s="105"/>
      <c r="UHX30" s="56"/>
      <c r="UHY30" s="105"/>
      <c r="UIF30" s="56"/>
      <c r="UIG30" s="105"/>
      <c r="UIN30" s="56"/>
      <c r="UIO30" s="105"/>
      <c r="UIV30" s="56"/>
      <c r="UIW30" s="105"/>
      <c r="UJD30" s="56"/>
      <c r="UJE30" s="105"/>
      <c r="UJL30" s="56"/>
      <c r="UJM30" s="105"/>
      <c r="UJT30" s="56"/>
      <c r="UJU30" s="105"/>
      <c r="UKB30" s="56"/>
      <c r="UKC30" s="105"/>
      <c r="UKJ30" s="56"/>
      <c r="UKK30" s="105"/>
      <c r="UKR30" s="56"/>
      <c r="UKS30" s="105"/>
      <c r="UKZ30" s="56"/>
      <c r="ULA30" s="105"/>
      <c r="ULH30" s="56"/>
      <c r="ULI30" s="105"/>
      <c r="ULP30" s="56"/>
      <c r="ULQ30" s="105"/>
      <c r="ULX30" s="56"/>
      <c r="ULY30" s="105"/>
      <c r="UMF30" s="56"/>
      <c r="UMG30" s="105"/>
      <c r="UMN30" s="56"/>
      <c r="UMO30" s="105"/>
      <c r="UMV30" s="56"/>
      <c r="UMW30" s="105"/>
      <c r="UND30" s="56"/>
      <c r="UNE30" s="105"/>
      <c r="UNL30" s="56"/>
      <c r="UNM30" s="105"/>
      <c r="UNT30" s="56"/>
      <c r="UNU30" s="105"/>
      <c r="UOB30" s="56"/>
      <c r="UOC30" s="105"/>
      <c r="UOJ30" s="56"/>
      <c r="UOK30" s="105"/>
      <c r="UOR30" s="56"/>
      <c r="UOS30" s="105"/>
      <c r="UOZ30" s="56"/>
      <c r="UPA30" s="105"/>
      <c r="UPH30" s="56"/>
      <c r="UPI30" s="105"/>
      <c r="UPP30" s="56"/>
      <c r="UPQ30" s="105"/>
      <c r="UPX30" s="56"/>
      <c r="UPY30" s="105"/>
      <c r="UQF30" s="56"/>
      <c r="UQG30" s="105"/>
      <c r="UQN30" s="56"/>
      <c r="UQO30" s="105"/>
      <c r="UQV30" s="56"/>
      <c r="UQW30" s="105"/>
      <c r="URD30" s="56"/>
      <c r="URE30" s="105"/>
      <c r="URL30" s="56"/>
      <c r="URM30" s="105"/>
      <c r="URT30" s="56"/>
      <c r="URU30" s="105"/>
      <c r="USB30" s="56"/>
      <c r="USC30" s="105"/>
      <c r="USJ30" s="56"/>
      <c r="USK30" s="105"/>
      <c r="USR30" s="56"/>
      <c r="USS30" s="105"/>
      <c r="USZ30" s="56"/>
      <c r="UTA30" s="105"/>
      <c r="UTH30" s="56"/>
      <c r="UTI30" s="105"/>
      <c r="UTP30" s="56"/>
      <c r="UTQ30" s="105"/>
      <c r="UTX30" s="56"/>
      <c r="UTY30" s="105"/>
      <c r="UUF30" s="56"/>
      <c r="UUG30" s="105"/>
      <c r="UUN30" s="56"/>
      <c r="UUO30" s="105"/>
      <c r="UUV30" s="56"/>
      <c r="UUW30" s="105"/>
      <c r="UVD30" s="56"/>
      <c r="UVE30" s="105"/>
      <c r="UVL30" s="56"/>
      <c r="UVM30" s="105"/>
      <c r="UVT30" s="56"/>
      <c r="UVU30" s="105"/>
      <c r="UWB30" s="56"/>
      <c r="UWC30" s="105"/>
      <c r="UWJ30" s="56"/>
      <c r="UWK30" s="105"/>
      <c r="UWR30" s="56"/>
      <c r="UWS30" s="105"/>
      <c r="UWZ30" s="56"/>
      <c r="UXA30" s="105"/>
      <c r="UXH30" s="56"/>
      <c r="UXI30" s="105"/>
      <c r="UXP30" s="56"/>
      <c r="UXQ30" s="105"/>
      <c r="UXX30" s="56"/>
      <c r="UXY30" s="105"/>
      <c r="UYF30" s="56"/>
      <c r="UYG30" s="105"/>
      <c r="UYN30" s="56"/>
      <c r="UYO30" s="105"/>
      <c r="UYV30" s="56"/>
      <c r="UYW30" s="105"/>
      <c r="UZD30" s="56"/>
      <c r="UZE30" s="105"/>
      <c r="UZL30" s="56"/>
      <c r="UZM30" s="105"/>
      <c r="UZT30" s="56"/>
      <c r="UZU30" s="105"/>
      <c r="VAB30" s="56"/>
      <c r="VAC30" s="105"/>
      <c r="VAJ30" s="56"/>
      <c r="VAK30" s="105"/>
      <c r="VAR30" s="56"/>
      <c r="VAS30" s="105"/>
      <c r="VAZ30" s="56"/>
      <c r="VBA30" s="105"/>
      <c r="VBH30" s="56"/>
      <c r="VBI30" s="105"/>
      <c r="VBP30" s="56"/>
      <c r="VBQ30" s="105"/>
      <c r="VBX30" s="56"/>
      <c r="VBY30" s="105"/>
      <c r="VCF30" s="56"/>
      <c r="VCG30" s="105"/>
      <c r="VCN30" s="56"/>
      <c r="VCO30" s="105"/>
      <c r="VCV30" s="56"/>
      <c r="VCW30" s="105"/>
      <c r="VDD30" s="56"/>
      <c r="VDE30" s="105"/>
      <c r="VDL30" s="56"/>
      <c r="VDM30" s="105"/>
      <c r="VDT30" s="56"/>
      <c r="VDU30" s="105"/>
      <c r="VEB30" s="56"/>
      <c r="VEC30" s="105"/>
      <c r="VEJ30" s="56"/>
      <c r="VEK30" s="105"/>
      <c r="VER30" s="56"/>
      <c r="VES30" s="105"/>
      <c r="VEZ30" s="56"/>
      <c r="VFA30" s="105"/>
      <c r="VFH30" s="56"/>
      <c r="VFI30" s="105"/>
      <c r="VFP30" s="56"/>
      <c r="VFQ30" s="105"/>
      <c r="VFX30" s="56"/>
      <c r="VFY30" s="105"/>
      <c r="VGF30" s="56"/>
      <c r="VGG30" s="105"/>
      <c r="VGN30" s="56"/>
      <c r="VGO30" s="105"/>
      <c r="VGV30" s="56"/>
      <c r="VGW30" s="105"/>
      <c r="VHD30" s="56"/>
      <c r="VHE30" s="105"/>
      <c r="VHL30" s="56"/>
      <c r="VHM30" s="105"/>
      <c r="VHT30" s="56"/>
      <c r="VHU30" s="105"/>
      <c r="VIB30" s="56"/>
      <c r="VIC30" s="105"/>
      <c r="VIJ30" s="56"/>
      <c r="VIK30" s="105"/>
      <c r="VIR30" s="56"/>
      <c r="VIS30" s="105"/>
      <c r="VIZ30" s="56"/>
      <c r="VJA30" s="105"/>
      <c r="VJH30" s="56"/>
      <c r="VJI30" s="105"/>
      <c r="VJP30" s="56"/>
      <c r="VJQ30" s="105"/>
      <c r="VJX30" s="56"/>
      <c r="VJY30" s="105"/>
      <c r="VKF30" s="56"/>
      <c r="VKG30" s="105"/>
      <c r="VKN30" s="56"/>
      <c r="VKO30" s="105"/>
      <c r="VKV30" s="56"/>
      <c r="VKW30" s="105"/>
      <c r="VLD30" s="56"/>
      <c r="VLE30" s="105"/>
      <c r="VLL30" s="56"/>
      <c r="VLM30" s="105"/>
      <c r="VLT30" s="56"/>
      <c r="VLU30" s="105"/>
      <c r="VMB30" s="56"/>
      <c r="VMC30" s="105"/>
      <c r="VMJ30" s="56"/>
      <c r="VMK30" s="105"/>
      <c r="VMR30" s="56"/>
      <c r="VMS30" s="105"/>
      <c r="VMZ30" s="56"/>
      <c r="VNA30" s="105"/>
      <c r="VNH30" s="56"/>
      <c r="VNI30" s="105"/>
      <c r="VNP30" s="56"/>
      <c r="VNQ30" s="105"/>
      <c r="VNX30" s="56"/>
      <c r="VNY30" s="105"/>
      <c r="VOF30" s="56"/>
      <c r="VOG30" s="105"/>
      <c r="VON30" s="56"/>
      <c r="VOO30" s="105"/>
      <c r="VOV30" s="56"/>
      <c r="VOW30" s="105"/>
      <c r="VPD30" s="56"/>
      <c r="VPE30" s="105"/>
      <c r="VPL30" s="56"/>
      <c r="VPM30" s="105"/>
      <c r="VPT30" s="56"/>
      <c r="VPU30" s="105"/>
      <c r="VQB30" s="56"/>
      <c r="VQC30" s="105"/>
      <c r="VQJ30" s="56"/>
      <c r="VQK30" s="105"/>
      <c r="VQR30" s="56"/>
      <c r="VQS30" s="105"/>
      <c r="VQZ30" s="56"/>
      <c r="VRA30" s="105"/>
      <c r="VRH30" s="56"/>
      <c r="VRI30" s="105"/>
      <c r="VRP30" s="56"/>
      <c r="VRQ30" s="105"/>
      <c r="VRX30" s="56"/>
      <c r="VRY30" s="105"/>
      <c r="VSF30" s="56"/>
      <c r="VSG30" s="105"/>
      <c r="VSN30" s="56"/>
      <c r="VSO30" s="105"/>
      <c r="VSV30" s="56"/>
      <c r="VSW30" s="105"/>
      <c r="VTD30" s="56"/>
      <c r="VTE30" s="105"/>
      <c r="VTL30" s="56"/>
      <c r="VTM30" s="105"/>
      <c r="VTT30" s="56"/>
      <c r="VTU30" s="105"/>
      <c r="VUB30" s="56"/>
      <c r="VUC30" s="105"/>
      <c r="VUJ30" s="56"/>
      <c r="VUK30" s="105"/>
      <c r="VUR30" s="56"/>
      <c r="VUS30" s="105"/>
      <c r="VUZ30" s="56"/>
      <c r="VVA30" s="105"/>
      <c r="VVH30" s="56"/>
      <c r="VVI30" s="105"/>
      <c r="VVP30" s="56"/>
      <c r="VVQ30" s="105"/>
      <c r="VVX30" s="56"/>
      <c r="VVY30" s="105"/>
      <c r="VWF30" s="56"/>
      <c r="VWG30" s="105"/>
      <c r="VWN30" s="56"/>
      <c r="VWO30" s="105"/>
      <c r="VWV30" s="56"/>
      <c r="VWW30" s="105"/>
      <c r="VXD30" s="56"/>
      <c r="VXE30" s="105"/>
      <c r="VXL30" s="56"/>
      <c r="VXM30" s="105"/>
      <c r="VXT30" s="56"/>
      <c r="VXU30" s="105"/>
      <c r="VYB30" s="56"/>
      <c r="VYC30" s="105"/>
      <c r="VYJ30" s="56"/>
      <c r="VYK30" s="105"/>
      <c r="VYR30" s="56"/>
      <c r="VYS30" s="105"/>
      <c r="VYZ30" s="56"/>
      <c r="VZA30" s="105"/>
      <c r="VZH30" s="56"/>
      <c r="VZI30" s="105"/>
      <c r="VZP30" s="56"/>
      <c r="VZQ30" s="105"/>
      <c r="VZX30" s="56"/>
      <c r="VZY30" s="105"/>
      <c r="WAF30" s="56"/>
      <c r="WAG30" s="105"/>
      <c r="WAN30" s="56"/>
      <c r="WAO30" s="105"/>
      <c r="WAV30" s="56"/>
      <c r="WAW30" s="105"/>
      <c r="WBD30" s="56"/>
      <c r="WBE30" s="105"/>
      <c r="WBL30" s="56"/>
      <c r="WBM30" s="105"/>
      <c r="WBT30" s="56"/>
      <c r="WBU30" s="105"/>
      <c r="WCB30" s="56"/>
      <c r="WCC30" s="105"/>
      <c r="WCJ30" s="56"/>
      <c r="WCK30" s="105"/>
      <c r="WCR30" s="56"/>
      <c r="WCS30" s="105"/>
      <c r="WCZ30" s="56"/>
      <c r="WDA30" s="105"/>
      <c r="WDH30" s="56"/>
      <c r="WDI30" s="105"/>
      <c r="WDP30" s="56"/>
      <c r="WDQ30" s="105"/>
      <c r="WDX30" s="56"/>
      <c r="WDY30" s="105"/>
      <c r="WEF30" s="56"/>
      <c r="WEG30" s="105"/>
      <c r="WEN30" s="56"/>
      <c r="WEO30" s="105"/>
      <c r="WEV30" s="56"/>
      <c r="WEW30" s="105"/>
      <c r="WFD30" s="56"/>
      <c r="WFE30" s="105"/>
      <c r="WFL30" s="56"/>
      <c r="WFM30" s="105"/>
      <c r="WFT30" s="56"/>
      <c r="WFU30" s="105"/>
      <c r="WGB30" s="56"/>
      <c r="WGC30" s="105"/>
      <c r="WGJ30" s="56"/>
      <c r="WGK30" s="105"/>
      <c r="WGR30" s="56"/>
      <c r="WGS30" s="105"/>
      <c r="WGZ30" s="56"/>
      <c r="WHA30" s="105"/>
      <c r="WHH30" s="56"/>
      <c r="WHI30" s="105"/>
      <c r="WHP30" s="56"/>
      <c r="WHQ30" s="105"/>
      <c r="WHX30" s="56"/>
      <c r="WHY30" s="105"/>
      <c r="WIF30" s="56"/>
      <c r="WIG30" s="105"/>
      <c r="WIN30" s="56"/>
      <c r="WIO30" s="105"/>
      <c r="WIV30" s="56"/>
      <c r="WIW30" s="105"/>
      <c r="WJD30" s="56"/>
      <c r="WJE30" s="105"/>
      <c r="WJL30" s="56"/>
      <c r="WJM30" s="105"/>
      <c r="WJT30" s="56"/>
      <c r="WJU30" s="105"/>
      <c r="WKB30" s="56"/>
      <c r="WKC30" s="105"/>
      <c r="WKJ30" s="56"/>
      <c r="WKK30" s="105"/>
      <c r="WKR30" s="56"/>
      <c r="WKS30" s="105"/>
      <c r="WKZ30" s="56"/>
      <c r="WLA30" s="105"/>
      <c r="WLH30" s="56"/>
      <c r="WLI30" s="105"/>
      <c r="WLP30" s="56"/>
      <c r="WLQ30" s="105"/>
      <c r="WLX30" s="56"/>
      <c r="WLY30" s="105"/>
      <c r="WMF30" s="56"/>
      <c r="WMG30" s="105"/>
      <c r="WMN30" s="56"/>
      <c r="WMO30" s="105"/>
      <c r="WMV30" s="56"/>
      <c r="WMW30" s="105"/>
      <c r="WND30" s="56"/>
      <c r="WNE30" s="105"/>
      <c r="WNL30" s="56"/>
      <c r="WNM30" s="105"/>
      <c r="WNT30" s="56"/>
      <c r="WNU30" s="105"/>
      <c r="WOB30" s="56"/>
      <c r="WOC30" s="105"/>
      <c r="WOJ30" s="56"/>
      <c r="WOK30" s="105"/>
      <c r="WOR30" s="56"/>
      <c r="WOS30" s="105"/>
      <c r="WOZ30" s="56"/>
      <c r="WPA30" s="105"/>
      <c r="WPH30" s="56"/>
      <c r="WPI30" s="105"/>
      <c r="WPP30" s="56"/>
      <c r="WPQ30" s="105"/>
      <c r="WPX30" s="56"/>
      <c r="WPY30" s="105"/>
      <c r="WQF30" s="56"/>
      <c r="WQG30" s="105"/>
      <c r="WQN30" s="56"/>
      <c r="WQO30" s="105"/>
      <c r="WQV30" s="56"/>
      <c r="WQW30" s="105"/>
      <c r="WRD30" s="56"/>
      <c r="WRE30" s="105"/>
      <c r="WRL30" s="56"/>
      <c r="WRM30" s="105"/>
      <c r="WRT30" s="56"/>
      <c r="WRU30" s="105"/>
      <c r="WSB30" s="56"/>
      <c r="WSC30" s="105"/>
      <c r="WSJ30" s="56"/>
      <c r="WSK30" s="105"/>
      <c r="WSR30" s="56"/>
      <c r="WSS30" s="105"/>
      <c r="WSZ30" s="56"/>
      <c r="WTA30" s="105"/>
      <c r="WTH30" s="56"/>
      <c r="WTI30" s="105"/>
      <c r="WTP30" s="56"/>
      <c r="WTQ30" s="105"/>
      <c r="WTX30" s="56"/>
      <c r="WTY30" s="105"/>
      <c r="WUF30" s="56"/>
      <c r="WUG30" s="105"/>
      <c r="WUN30" s="56"/>
      <c r="WUO30" s="105"/>
      <c r="WUV30" s="56"/>
      <c r="WUW30" s="105"/>
      <c r="WVD30" s="56"/>
      <c r="WVE30" s="105"/>
      <c r="WVL30" s="56"/>
      <c r="WVM30" s="105"/>
      <c r="WVT30" s="56"/>
      <c r="WVU30" s="105"/>
      <c r="WWB30" s="56"/>
      <c r="WWC30" s="105"/>
      <c r="WWJ30" s="56"/>
      <c r="WWK30" s="105"/>
      <c r="WWR30" s="56"/>
      <c r="WWS30" s="105"/>
      <c r="WWZ30" s="56"/>
      <c r="WXA30" s="105"/>
      <c r="WXH30" s="56"/>
      <c r="WXI30" s="105"/>
      <c r="WXP30" s="56"/>
      <c r="WXQ30" s="105"/>
      <c r="WXX30" s="56"/>
      <c r="WXY30" s="105"/>
      <c r="WYF30" s="56"/>
      <c r="WYG30" s="105"/>
      <c r="WYN30" s="56"/>
      <c r="WYO30" s="105"/>
      <c r="WYV30" s="56"/>
      <c r="WYW30" s="105"/>
      <c r="WZD30" s="56"/>
      <c r="WZE30" s="105"/>
      <c r="WZL30" s="56"/>
      <c r="WZM30" s="105"/>
      <c r="WZT30" s="56"/>
      <c r="WZU30" s="105"/>
      <c r="XAB30" s="56"/>
      <c r="XAC30" s="105"/>
      <c r="XAJ30" s="56"/>
      <c r="XAK30" s="105"/>
      <c r="XAR30" s="56"/>
      <c r="XAS30" s="105"/>
      <c r="XAZ30" s="56"/>
      <c r="XBA30" s="105"/>
      <c r="XBH30" s="56"/>
      <c r="XBI30" s="105"/>
      <c r="XBP30" s="56"/>
      <c r="XBQ30" s="105"/>
      <c r="XBX30" s="56"/>
      <c r="XBY30" s="105"/>
      <c r="XCF30" s="56"/>
      <c r="XCG30" s="105"/>
      <c r="XCN30" s="56"/>
      <c r="XCO30" s="105"/>
      <c r="XCV30" s="56"/>
      <c r="XCW30" s="105"/>
      <c r="XDD30" s="56"/>
      <c r="XDE30" s="105"/>
      <c r="XDL30" s="56"/>
      <c r="XDM30" s="105"/>
      <c r="XDT30" s="56"/>
      <c r="XDU30" s="105"/>
      <c r="XEB30" s="56"/>
      <c r="XEC30" s="105"/>
      <c r="XEJ30" s="56"/>
      <c r="XEK30" s="105"/>
      <c r="XER30" s="56"/>
      <c r="XES30" s="105"/>
      <c r="XEZ30" s="56"/>
      <c r="XFA30" s="105"/>
    </row>
    <row r="31" spans="1:1021 1028:2045 2052:3069 3076:4093 4100:5117 5124:6141 6148:7165 7172:8189 8196:9213 9220:10237 10244:11261 11268:12285 12292:13309 13316:14333 14340:15357 15364:16381" ht="15" customHeight="1" thickBot="1">
      <c r="A31" s="58"/>
      <c r="B31" s="59" t="s">
        <v>188</v>
      </c>
      <c r="C31" s="60">
        <v>1489971.8444400001</v>
      </c>
      <c r="D31" s="60">
        <f>D8</f>
        <v>1211261</v>
      </c>
      <c r="E31" s="60">
        <v>1009508</v>
      </c>
      <c r="F31" s="60">
        <v>830920</v>
      </c>
      <c r="G31" s="60">
        <v>621410</v>
      </c>
      <c r="H31" s="60">
        <v>635032</v>
      </c>
      <c r="I31" s="60">
        <f>558477</f>
        <v>558477</v>
      </c>
      <c r="J31" s="60">
        <v>431785</v>
      </c>
      <c r="K31" s="60">
        <v>193773</v>
      </c>
      <c r="L31" s="60">
        <v>181957</v>
      </c>
      <c r="M31" s="60">
        <v>246348</v>
      </c>
      <c r="N31" s="60">
        <v>152062</v>
      </c>
      <c r="O31" s="60">
        <v>167294</v>
      </c>
      <c r="P31" s="60">
        <v>212121</v>
      </c>
      <c r="Q31" s="60">
        <v>276524</v>
      </c>
      <c r="R31" s="60">
        <v>171915</v>
      </c>
      <c r="S31" s="60">
        <v>133978</v>
      </c>
      <c r="T31" s="60">
        <v>116356</v>
      </c>
      <c r="U31" s="60">
        <v>90876</v>
      </c>
      <c r="V31" s="60">
        <v>77116</v>
      </c>
    </row>
    <row r="32" spans="1:1021 1028:2045 2052:3069 3076:4093 4100:5117 5124:6141 6148:7165 7172:8189 8196:9213 9220:10237 10244:11261 11268:12285 12292:13309 13316:14333 14340:15357 15364:16381" ht="15" customHeight="1" thickBot="1">
      <c r="A32" s="58"/>
      <c r="B32" s="59" t="s">
        <v>189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3687</v>
      </c>
      <c r="I32" s="60">
        <f>6975</f>
        <v>6975</v>
      </c>
      <c r="J32" s="60">
        <v>52426</v>
      </c>
      <c r="K32" s="60">
        <v>51854</v>
      </c>
      <c r="L32" s="60">
        <v>64123</v>
      </c>
      <c r="M32" s="60">
        <v>174813</v>
      </c>
      <c r="N32" s="60">
        <v>212317</v>
      </c>
      <c r="O32" s="60">
        <v>227201</v>
      </c>
      <c r="P32" s="60">
        <v>247916</v>
      </c>
      <c r="Q32" s="60">
        <v>221431</v>
      </c>
      <c r="R32" s="60">
        <v>283472</v>
      </c>
      <c r="S32" s="60">
        <v>287342</v>
      </c>
      <c r="T32" s="60">
        <v>285386</v>
      </c>
      <c r="U32" s="60">
        <v>276447</v>
      </c>
      <c r="V32" s="60">
        <v>244563</v>
      </c>
    </row>
    <row r="33" spans="1:1021 1028:2045 2052:3069 3076:4093 4100:5117 5124:6141 6148:7165 7172:8189 8196:9213 9220:10237 10244:11261 11268:12285 12292:13309 13316:14333 14340:15357 15364:16381" ht="15" customHeight="1" thickBot="1">
      <c r="A33" s="58"/>
      <c r="B33" s="59" t="s">
        <v>190</v>
      </c>
      <c r="C33" s="60">
        <v>498331</v>
      </c>
      <c r="D33" s="60">
        <f>D10</f>
        <v>602543</v>
      </c>
      <c r="E33" s="60">
        <v>629364</v>
      </c>
      <c r="F33" s="60">
        <v>594295</v>
      </c>
      <c r="G33" s="60">
        <v>592615</v>
      </c>
      <c r="H33" s="60">
        <v>452746</v>
      </c>
      <c r="I33" s="60">
        <f>445570</f>
        <v>445570</v>
      </c>
      <c r="J33" s="60">
        <v>444532</v>
      </c>
      <c r="K33" s="60">
        <v>443357</v>
      </c>
      <c r="L33" s="60">
        <v>442361</v>
      </c>
      <c r="M33" s="60">
        <v>150411.92975000001</v>
      </c>
      <c r="N33" s="60">
        <v>162592</v>
      </c>
      <c r="O33" s="60">
        <v>145311</v>
      </c>
      <c r="P33" s="60">
        <v>143361</v>
      </c>
      <c r="Q33" s="60">
        <v>54448</v>
      </c>
      <c r="R33" s="60">
        <v>53283</v>
      </c>
      <c r="S33" s="60">
        <v>52094</v>
      </c>
      <c r="T33" s="60">
        <v>52047</v>
      </c>
      <c r="U33" s="60">
        <v>48958</v>
      </c>
      <c r="V33" s="60">
        <v>16185</v>
      </c>
    </row>
    <row r="34" spans="1:1021 1028:2045 2052:3069 3076:4093 4100:5117 5124:6141 6148:7165 7172:8189 8196:9213 9220:10237 10244:11261 11268:12285 12292:13309 13316:14333 14340:15357 15364:16381" ht="15" customHeight="1" thickBot="1">
      <c r="A34" s="58"/>
      <c r="B34" s="59" t="s">
        <v>114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60">
        <v>0</v>
      </c>
      <c r="L34" s="60">
        <v>0</v>
      </c>
      <c r="M34" s="60">
        <v>0</v>
      </c>
      <c r="N34" s="60">
        <v>0</v>
      </c>
      <c r="O34" s="60">
        <v>0</v>
      </c>
      <c r="P34" s="60">
        <v>0</v>
      </c>
      <c r="Q34" s="60">
        <v>0</v>
      </c>
      <c r="R34" s="60">
        <v>0</v>
      </c>
      <c r="S34" s="60">
        <v>0</v>
      </c>
      <c r="T34" s="60">
        <v>226</v>
      </c>
      <c r="U34" s="60">
        <v>25387</v>
      </c>
      <c r="V34" s="60">
        <v>21863</v>
      </c>
    </row>
    <row r="35" spans="1:1021 1028:2045 2052:3069 3076:4093 4100:5117 5124:6141 6148:7165 7172:8189 8196:9213 9220:10237 10244:11261 11268:12285 12292:13309 13316:14333 14340:15357 15364:16381" ht="15" customHeight="1" thickBot="1">
      <c r="A35" s="58"/>
      <c r="B35" s="59" t="s">
        <v>69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60">
        <v>0</v>
      </c>
      <c r="L35" s="60">
        <v>0</v>
      </c>
      <c r="M35" s="60">
        <v>0</v>
      </c>
      <c r="N35" s="60">
        <v>0</v>
      </c>
      <c r="O35" s="60">
        <v>0</v>
      </c>
      <c r="P35" s="60">
        <v>0</v>
      </c>
      <c r="Q35" s="60">
        <v>0</v>
      </c>
      <c r="R35" s="60">
        <v>0</v>
      </c>
      <c r="S35" s="60">
        <v>33</v>
      </c>
      <c r="T35" s="60">
        <v>16533</v>
      </c>
      <c r="U35" s="60">
        <v>16533</v>
      </c>
      <c r="V35" s="60">
        <v>68351</v>
      </c>
    </row>
    <row r="36" spans="1:1021 1028:2045 2052:3069 3076:4093 4100:5117 5124:6141 6148:7165 7172:8189 8196:9213 9220:10237 10244:11261 11268:12285 12292:13309 13316:14333 14340:15357 15364:16381" s="68" customFormat="1" ht="15" customHeight="1" thickBot="1">
      <c r="A36" s="65"/>
      <c r="B36" s="66" t="s">
        <v>191</v>
      </c>
      <c r="C36" s="98">
        <f>SUM(C31:C35)</f>
        <v>1988302.8444400001</v>
      </c>
      <c r="D36" s="98">
        <f t="shared" ref="D36:K36" si="22">SUM(D31:D35)</f>
        <v>1813804</v>
      </c>
      <c r="E36" s="98">
        <f t="shared" si="22"/>
        <v>1638872</v>
      </c>
      <c r="F36" s="98">
        <f t="shared" si="22"/>
        <v>1425215</v>
      </c>
      <c r="G36" s="98">
        <f t="shared" si="22"/>
        <v>1214025</v>
      </c>
      <c r="H36" s="98">
        <f t="shared" si="22"/>
        <v>1091465</v>
      </c>
      <c r="I36" s="98">
        <f t="shared" si="22"/>
        <v>1011022</v>
      </c>
      <c r="J36" s="98">
        <f t="shared" si="22"/>
        <v>928743</v>
      </c>
      <c r="K36" s="98">
        <f t="shared" si="22"/>
        <v>688984</v>
      </c>
      <c r="L36" s="98">
        <f t="shared" ref="L36:V36" si="23">SUM(L31:L35)</f>
        <v>688441</v>
      </c>
      <c r="M36" s="98">
        <f t="shared" si="23"/>
        <v>571572.92975000001</v>
      </c>
      <c r="N36" s="98">
        <f t="shared" si="23"/>
        <v>526971</v>
      </c>
      <c r="O36" s="98">
        <f>SUM(O31:O35)</f>
        <v>539806</v>
      </c>
      <c r="P36" s="98">
        <f t="shared" si="23"/>
        <v>603398</v>
      </c>
      <c r="Q36" s="98">
        <f t="shared" si="23"/>
        <v>552403</v>
      </c>
      <c r="R36" s="98">
        <f t="shared" si="23"/>
        <v>508670</v>
      </c>
      <c r="S36" s="98">
        <f t="shared" si="23"/>
        <v>473447</v>
      </c>
      <c r="T36" s="98">
        <f>SUM(T31:T35)</f>
        <v>470548</v>
      </c>
      <c r="U36" s="98">
        <f>SUM(U31:U35)</f>
        <v>458201</v>
      </c>
      <c r="V36" s="98">
        <f t="shared" si="23"/>
        <v>428078</v>
      </c>
    </row>
    <row r="37" spans="1:1021 1028:2045 2052:3069 3076:4093 4100:5117 5124:6141 6148:7165 7172:8189 8196:9213 9220:10237 10244:11261 11268:12285 12292:13309 13316:14333 14340:15357 15364:16381" ht="15" customHeight="1" thickBot="1">
      <c r="A37" s="58"/>
      <c r="B37" s="59" t="s">
        <v>192</v>
      </c>
      <c r="C37" s="60">
        <v>-464716.52403999999</v>
      </c>
      <c r="D37" s="60">
        <f>D15</f>
        <v>-497947.87162000005</v>
      </c>
      <c r="E37" s="60">
        <v>-190077</v>
      </c>
      <c r="F37" s="60">
        <v>-218810</v>
      </c>
      <c r="G37" s="60">
        <f>-'2. BP'!G12+-'2. BP'!G13</f>
        <v>-136907</v>
      </c>
      <c r="H37" s="60">
        <v>-164717</v>
      </c>
      <c r="I37" s="60">
        <f>-'2. BP'!I12+-'2. BP'!I13</f>
        <v>-170387</v>
      </c>
      <c r="J37" s="60">
        <f>-'2. BP'!J12+-'2. BP'!J13</f>
        <v>-176779</v>
      </c>
      <c r="K37" s="60">
        <f>-'2. BP'!K12+-'2. BP'!K13</f>
        <v>-79314</v>
      </c>
      <c r="L37" s="60">
        <f>-'2. BP'!L12+-'2. BP'!L13</f>
        <v>-129949</v>
      </c>
      <c r="M37" s="60">
        <f>-'2. BP'!M12+-'2. BP'!M13</f>
        <v>-37410</v>
      </c>
      <c r="N37" s="60">
        <f>-'2. BP'!N12+-'2. BP'!N13</f>
        <v>-74997</v>
      </c>
      <c r="O37" s="60">
        <f>-'2. BP'!O12+-'2. BP'!O13</f>
        <v>-34937</v>
      </c>
      <c r="P37" s="60">
        <f>-'2. BP'!P12+-'2. BP'!P13</f>
        <v>-61363</v>
      </c>
      <c r="Q37" s="60">
        <f>-'2. BP'!Q12+-'2. BP'!Q13</f>
        <v>-19535</v>
      </c>
      <c r="R37" s="60">
        <f>-'2. BP'!R12+-'2. BP'!R13</f>
        <v>-33070</v>
      </c>
      <c r="S37" s="60">
        <f>-'2. BP'!S12+-'2. BP'!S13</f>
        <v>-37325</v>
      </c>
      <c r="T37" s="60">
        <f>-'2. BP'!T12+-'2. BP'!T13</f>
        <v>-32792</v>
      </c>
      <c r="U37" s="60">
        <f>-'2. BP'!U12+-'2. BP'!U13</f>
        <v>-34728</v>
      </c>
      <c r="V37" s="60">
        <f>-'2. BP'!V12+-'2. BP'!V13</f>
        <v>-16591</v>
      </c>
    </row>
    <row r="38" spans="1:1021 1028:2045 2052:3069 3076:4093 4100:5117 5124:6141 6148:7165 7172:8189 8196:9213 9220:10237 10244:11261 11268:12285 12292:13309 13316:14333 14340:15357 15364:16381" ht="15" customHeight="1" thickBot="1">
      <c r="A38" s="62"/>
      <c r="B38" s="63" t="s">
        <v>149</v>
      </c>
      <c r="C38" s="64">
        <f t="shared" ref="C38:K38" si="24">C36+C37</f>
        <v>1523586.3204000001</v>
      </c>
      <c r="D38" s="64">
        <f t="shared" si="24"/>
        <v>1315856.1283799999</v>
      </c>
      <c r="E38" s="64">
        <f t="shared" si="24"/>
        <v>1448795</v>
      </c>
      <c r="F38" s="64">
        <f t="shared" si="24"/>
        <v>1206405</v>
      </c>
      <c r="G38" s="64">
        <f t="shared" si="24"/>
        <v>1077118</v>
      </c>
      <c r="H38" s="64">
        <f t="shared" si="24"/>
        <v>926748</v>
      </c>
      <c r="I38" s="64">
        <f t="shared" si="24"/>
        <v>840635</v>
      </c>
      <c r="J38" s="64">
        <f t="shared" si="24"/>
        <v>751964</v>
      </c>
      <c r="K38" s="64">
        <f t="shared" si="24"/>
        <v>609670</v>
      </c>
      <c r="L38" s="64">
        <f t="shared" ref="L38:V38" si="25">L36+L37</f>
        <v>558492</v>
      </c>
      <c r="M38" s="64">
        <f t="shared" si="25"/>
        <v>534162.92975000001</v>
      </c>
      <c r="N38" s="64">
        <f t="shared" si="25"/>
        <v>451974</v>
      </c>
      <c r="O38" s="64">
        <f>O36+O37</f>
        <v>504869</v>
      </c>
      <c r="P38" s="64">
        <f t="shared" si="25"/>
        <v>542035</v>
      </c>
      <c r="Q38" s="64">
        <f t="shared" si="25"/>
        <v>532868</v>
      </c>
      <c r="R38" s="64">
        <f t="shared" si="25"/>
        <v>475600</v>
      </c>
      <c r="S38" s="64">
        <f t="shared" si="25"/>
        <v>436122</v>
      </c>
      <c r="T38" s="64">
        <f>T36+T37</f>
        <v>437756</v>
      </c>
      <c r="U38" s="64">
        <f>U36+U37</f>
        <v>423473</v>
      </c>
      <c r="V38" s="64">
        <f t="shared" si="25"/>
        <v>411487</v>
      </c>
    </row>
    <row r="39" spans="1:1021 1028:2045 2052:3069 3076:4093 4100:5117 5124:6141 6148:7165 7172:8189 8196:9213 9220:10237 10244:11261 11268:12285 12292:13309 13316:14333 14340:15357 15364:16381" ht="15" customHeight="1" thickBot="1">
      <c r="B39" s="106" t="str">
        <f>B17</f>
        <v>EBITDA Ajustado ²</v>
      </c>
      <c r="C39" s="107">
        <f>C17</f>
        <v>665567</v>
      </c>
      <c r="D39" s="107">
        <f>D17</f>
        <v>649072</v>
      </c>
      <c r="E39" s="107">
        <v>584537.4761817184</v>
      </c>
      <c r="F39" s="107">
        <v>625966</v>
      </c>
      <c r="G39" s="107">
        <v>700430</v>
      </c>
      <c r="H39" s="107">
        <v>655805</v>
      </c>
      <c r="I39" s="107">
        <f>649124</f>
        <v>649124</v>
      </c>
      <c r="J39" s="107">
        <v>691507</v>
      </c>
      <c r="K39" s="107">
        <v>683424</v>
      </c>
      <c r="L39" s="107">
        <v>783517</v>
      </c>
      <c r="M39" s="107">
        <v>655094</v>
      </c>
      <c r="N39" s="107">
        <v>618836</v>
      </c>
      <c r="O39" s="107">
        <v>556573</v>
      </c>
      <c r="P39" s="107">
        <v>450535</v>
      </c>
      <c r="Q39" s="107">
        <v>429150</v>
      </c>
      <c r="R39" s="107">
        <v>420246</v>
      </c>
      <c r="S39" s="107">
        <v>396071</v>
      </c>
      <c r="T39" s="107">
        <v>391859</v>
      </c>
      <c r="U39" s="107">
        <v>392972</v>
      </c>
      <c r="V39" s="107">
        <v>283242</v>
      </c>
    </row>
    <row r="40" spans="1:1021 1028:2045 2052:3069 3076:4093 4100:5117 5124:6141 6148:7165 7172:8189 8196:9213 9220:10237 10244:11261 11268:12285 12292:13309 13316:14333 14340:15357 15364:16381" ht="15" customHeight="1" thickBot="1">
      <c r="A40" s="58"/>
      <c r="B40" s="99" t="s">
        <v>193</v>
      </c>
      <c r="C40" s="100">
        <f t="shared" ref="C40:K40" si="26">IFERROR(C38/C39,0)</f>
        <v>2.2891554425024077</v>
      </c>
      <c r="D40" s="100">
        <f t="shared" si="26"/>
        <v>2.0272883876981287</v>
      </c>
      <c r="E40" s="100">
        <f t="shared" si="26"/>
        <v>2.4785322738650293</v>
      </c>
      <c r="F40" s="100">
        <f t="shared" si="26"/>
        <v>1.9272692127048434</v>
      </c>
      <c r="G40" s="100">
        <f t="shared" si="26"/>
        <v>1.5377953542823695</v>
      </c>
      <c r="H40" s="100">
        <f t="shared" si="26"/>
        <v>1.4131456759250083</v>
      </c>
      <c r="I40" s="100">
        <f t="shared" si="26"/>
        <v>1.2950299172423143</v>
      </c>
      <c r="J40" s="100">
        <f t="shared" si="26"/>
        <v>1.0874278929931296</v>
      </c>
      <c r="K40" s="100">
        <f t="shared" si="26"/>
        <v>0.89208163599756518</v>
      </c>
      <c r="L40" s="100">
        <f t="shared" ref="L40:S40" si="27">IFERROR(L38/L39,0)</f>
        <v>0.71280138146332495</v>
      </c>
      <c r="M40" s="100">
        <f t="shared" si="27"/>
        <v>0.81539890420306094</v>
      </c>
      <c r="N40" s="100">
        <f t="shared" si="27"/>
        <v>0.73036151742949662</v>
      </c>
      <c r="O40" s="100">
        <f>IFERROR(O38/O39,0)</f>
        <v>0.90710293169090128</v>
      </c>
      <c r="P40" s="100">
        <f t="shared" si="27"/>
        <v>1.203091879654189</v>
      </c>
      <c r="Q40" s="100">
        <f t="shared" si="27"/>
        <v>1.2416823954328324</v>
      </c>
      <c r="R40" s="100">
        <f t="shared" si="27"/>
        <v>1.1317180889288654</v>
      </c>
      <c r="S40" s="100">
        <f t="shared" si="27"/>
        <v>1.1011207586518579</v>
      </c>
      <c r="T40" s="100">
        <f>IFERROR(T38/T39,0)</f>
        <v>1.1171263132912603</v>
      </c>
      <c r="U40" s="100">
        <f>IFERROR(U38/U39,0)</f>
        <v>1.0776162169314862</v>
      </c>
      <c r="V40" s="100">
        <f>IFERROR(V38/V39,0)</f>
        <v>1.4527753652353819</v>
      </c>
    </row>
    <row r="41" spans="1:1021 1028:2045 2052:3069 3076:4093 4100:5117 5124:6141 6148:7165 7172:8189 8196:9213 9220:10237 10244:11261 11268:12285 12292:13309 13316:14333 14340:15357 15364:16381" ht="15" customHeight="1"/>
    <row r="42" spans="1:1021 1028:2045 2052:3069 3076:4093 4100:5117 5124:6141 6148:7165 7172:8189 8196:9213 9220:10237 10244:11261 11268:12285 12292:13309 13316:14333 14340:15357 15364:16381" s="104" customFormat="1" ht="15" customHeight="1" thickBot="1">
      <c r="A42" s="4"/>
      <c r="B42" s="52" t="s">
        <v>124</v>
      </c>
      <c r="C42" s="54"/>
      <c r="D42" s="54"/>
      <c r="E42" s="54"/>
      <c r="F42" s="54"/>
      <c r="G42" s="54"/>
      <c r="H42" s="54"/>
      <c r="I42" s="54"/>
      <c r="J42" s="54"/>
      <c r="K42" s="54"/>
      <c r="L42" s="55"/>
      <c r="M42" s="55"/>
      <c r="N42" s="54"/>
      <c r="O42" s="54"/>
      <c r="P42" s="54"/>
      <c r="Q42" s="54"/>
      <c r="R42" s="54"/>
      <c r="S42" s="54"/>
      <c r="T42" s="54"/>
      <c r="U42" s="54"/>
      <c r="V42" s="54"/>
      <c r="AB42" s="56"/>
      <c r="AC42" s="105"/>
      <c r="AJ42" s="56"/>
      <c r="AK42" s="105"/>
      <c r="AR42" s="56"/>
      <c r="AS42" s="105"/>
      <c r="AZ42" s="56"/>
      <c r="BA42" s="105"/>
      <c r="BH42" s="56"/>
      <c r="BI42" s="105"/>
      <c r="BP42" s="56"/>
      <c r="BQ42" s="105"/>
      <c r="BX42" s="56"/>
      <c r="BY42" s="105"/>
      <c r="CF42" s="56"/>
      <c r="CG42" s="105"/>
      <c r="CN42" s="56"/>
      <c r="CO42" s="105"/>
      <c r="CV42" s="56"/>
      <c r="CW42" s="105"/>
      <c r="DD42" s="56"/>
      <c r="DE42" s="105"/>
      <c r="DL42" s="56"/>
      <c r="DM42" s="105"/>
      <c r="DT42" s="56"/>
      <c r="DU42" s="105"/>
      <c r="EB42" s="56"/>
      <c r="EC42" s="105"/>
      <c r="EJ42" s="56"/>
      <c r="EK42" s="105"/>
      <c r="ER42" s="56"/>
      <c r="ES42" s="105"/>
      <c r="EZ42" s="56"/>
      <c r="FA42" s="105"/>
      <c r="FH42" s="56"/>
      <c r="FI42" s="105"/>
      <c r="FP42" s="56"/>
      <c r="FQ42" s="105"/>
      <c r="FX42" s="56"/>
      <c r="FY42" s="105"/>
      <c r="GF42" s="56"/>
      <c r="GG42" s="105"/>
      <c r="GN42" s="56"/>
      <c r="GO42" s="105"/>
      <c r="GV42" s="56"/>
      <c r="GW42" s="105"/>
      <c r="HD42" s="56"/>
      <c r="HE42" s="105"/>
      <c r="HL42" s="56"/>
      <c r="HM42" s="105"/>
      <c r="HT42" s="56"/>
      <c r="HU42" s="105"/>
      <c r="IB42" s="56"/>
      <c r="IC42" s="105"/>
      <c r="IJ42" s="56"/>
      <c r="IK42" s="105"/>
      <c r="IR42" s="56"/>
      <c r="IS42" s="105"/>
      <c r="IZ42" s="56"/>
      <c r="JA42" s="105"/>
      <c r="JH42" s="56"/>
      <c r="JI42" s="105"/>
      <c r="JP42" s="56"/>
      <c r="JQ42" s="105"/>
      <c r="JX42" s="56"/>
      <c r="JY42" s="105"/>
      <c r="KF42" s="56"/>
      <c r="KG42" s="105"/>
      <c r="KN42" s="56"/>
      <c r="KO42" s="105"/>
      <c r="KV42" s="56"/>
      <c r="KW42" s="105"/>
      <c r="LD42" s="56"/>
      <c r="LE42" s="105"/>
      <c r="LL42" s="56"/>
      <c r="LM42" s="105"/>
      <c r="LT42" s="56"/>
      <c r="LU42" s="105"/>
      <c r="MB42" s="56"/>
      <c r="MC42" s="105"/>
      <c r="MJ42" s="56"/>
      <c r="MK42" s="105"/>
      <c r="MR42" s="56"/>
      <c r="MS42" s="105"/>
      <c r="MZ42" s="56"/>
      <c r="NA42" s="105"/>
      <c r="NH42" s="56"/>
      <c r="NI42" s="105"/>
      <c r="NP42" s="56"/>
      <c r="NQ42" s="105"/>
      <c r="NX42" s="56"/>
      <c r="NY42" s="105"/>
      <c r="OF42" s="56"/>
      <c r="OG42" s="105"/>
      <c r="ON42" s="56"/>
      <c r="OO42" s="105"/>
      <c r="OV42" s="56"/>
      <c r="OW42" s="105"/>
      <c r="PD42" s="56"/>
      <c r="PE42" s="105"/>
      <c r="PL42" s="56"/>
      <c r="PM42" s="105"/>
      <c r="PT42" s="56"/>
      <c r="PU42" s="105"/>
      <c r="QB42" s="56"/>
      <c r="QC42" s="105"/>
      <c r="QJ42" s="56"/>
      <c r="QK42" s="105"/>
      <c r="QR42" s="56"/>
      <c r="QS42" s="105"/>
      <c r="QZ42" s="56"/>
      <c r="RA42" s="105"/>
      <c r="RH42" s="56"/>
      <c r="RI42" s="105"/>
      <c r="RP42" s="56"/>
      <c r="RQ42" s="105"/>
      <c r="RX42" s="56"/>
      <c r="RY42" s="105"/>
      <c r="SF42" s="56"/>
      <c r="SG42" s="105"/>
      <c r="SN42" s="56"/>
      <c r="SO42" s="105"/>
      <c r="SV42" s="56"/>
      <c r="SW42" s="105"/>
      <c r="TD42" s="56"/>
      <c r="TE42" s="105"/>
      <c r="TL42" s="56"/>
      <c r="TM42" s="105"/>
      <c r="TT42" s="56"/>
      <c r="TU42" s="105"/>
      <c r="UB42" s="56"/>
      <c r="UC42" s="105"/>
      <c r="UJ42" s="56"/>
      <c r="UK42" s="105"/>
      <c r="UR42" s="56"/>
      <c r="US42" s="105"/>
      <c r="UZ42" s="56"/>
      <c r="VA42" s="105"/>
      <c r="VH42" s="56"/>
      <c r="VI42" s="105"/>
      <c r="VP42" s="56"/>
      <c r="VQ42" s="105"/>
      <c r="VX42" s="56"/>
      <c r="VY42" s="105"/>
      <c r="WF42" s="56"/>
      <c r="WG42" s="105"/>
      <c r="WN42" s="56"/>
      <c r="WO42" s="105"/>
      <c r="WV42" s="56"/>
      <c r="WW42" s="105"/>
      <c r="XD42" s="56"/>
      <c r="XE42" s="105"/>
      <c r="XL42" s="56"/>
      <c r="XM42" s="105"/>
      <c r="XT42" s="56"/>
      <c r="XU42" s="105"/>
      <c r="YB42" s="56"/>
      <c r="YC42" s="105"/>
      <c r="YJ42" s="56"/>
      <c r="YK42" s="105"/>
      <c r="YR42" s="56"/>
      <c r="YS42" s="105"/>
      <c r="YZ42" s="56"/>
      <c r="ZA42" s="105"/>
      <c r="ZH42" s="56"/>
      <c r="ZI42" s="105"/>
      <c r="ZP42" s="56"/>
      <c r="ZQ42" s="105"/>
      <c r="ZX42" s="56"/>
      <c r="ZY42" s="105"/>
      <c r="AAF42" s="56"/>
      <c r="AAG42" s="105"/>
      <c r="AAN42" s="56"/>
      <c r="AAO42" s="105"/>
      <c r="AAV42" s="56"/>
      <c r="AAW42" s="105"/>
      <c r="ABD42" s="56"/>
      <c r="ABE42" s="105"/>
      <c r="ABL42" s="56"/>
      <c r="ABM42" s="105"/>
      <c r="ABT42" s="56"/>
      <c r="ABU42" s="105"/>
      <c r="ACB42" s="56"/>
      <c r="ACC42" s="105"/>
      <c r="ACJ42" s="56"/>
      <c r="ACK42" s="105"/>
      <c r="ACR42" s="56"/>
      <c r="ACS42" s="105"/>
      <c r="ACZ42" s="56"/>
      <c r="ADA42" s="105"/>
      <c r="ADH42" s="56"/>
      <c r="ADI42" s="105"/>
      <c r="ADP42" s="56"/>
      <c r="ADQ42" s="105"/>
      <c r="ADX42" s="56"/>
      <c r="ADY42" s="105"/>
      <c r="AEF42" s="56"/>
      <c r="AEG42" s="105"/>
      <c r="AEN42" s="56"/>
      <c r="AEO42" s="105"/>
      <c r="AEV42" s="56"/>
      <c r="AEW42" s="105"/>
      <c r="AFD42" s="56"/>
      <c r="AFE42" s="105"/>
      <c r="AFL42" s="56"/>
      <c r="AFM42" s="105"/>
      <c r="AFT42" s="56"/>
      <c r="AFU42" s="105"/>
      <c r="AGB42" s="56"/>
      <c r="AGC42" s="105"/>
      <c r="AGJ42" s="56"/>
      <c r="AGK42" s="105"/>
      <c r="AGR42" s="56"/>
      <c r="AGS42" s="105"/>
      <c r="AGZ42" s="56"/>
      <c r="AHA42" s="105"/>
      <c r="AHH42" s="56"/>
      <c r="AHI42" s="105"/>
      <c r="AHP42" s="56"/>
      <c r="AHQ42" s="105"/>
      <c r="AHX42" s="56"/>
      <c r="AHY42" s="105"/>
      <c r="AIF42" s="56"/>
      <c r="AIG42" s="105"/>
      <c r="AIN42" s="56"/>
      <c r="AIO42" s="105"/>
      <c r="AIV42" s="56"/>
      <c r="AIW42" s="105"/>
      <c r="AJD42" s="56"/>
      <c r="AJE42" s="105"/>
      <c r="AJL42" s="56"/>
      <c r="AJM42" s="105"/>
      <c r="AJT42" s="56"/>
      <c r="AJU42" s="105"/>
      <c r="AKB42" s="56"/>
      <c r="AKC42" s="105"/>
      <c r="AKJ42" s="56"/>
      <c r="AKK42" s="105"/>
      <c r="AKR42" s="56"/>
      <c r="AKS42" s="105"/>
      <c r="AKZ42" s="56"/>
      <c r="ALA42" s="105"/>
      <c r="ALH42" s="56"/>
      <c r="ALI42" s="105"/>
      <c r="ALP42" s="56"/>
      <c r="ALQ42" s="105"/>
      <c r="ALX42" s="56"/>
      <c r="ALY42" s="105"/>
      <c r="AMF42" s="56"/>
      <c r="AMG42" s="105"/>
      <c r="AMN42" s="56"/>
      <c r="AMO42" s="105"/>
      <c r="AMV42" s="56"/>
      <c r="AMW42" s="105"/>
      <c r="AND42" s="56"/>
      <c r="ANE42" s="105"/>
      <c r="ANL42" s="56"/>
      <c r="ANM42" s="105"/>
      <c r="ANT42" s="56"/>
      <c r="ANU42" s="105"/>
      <c r="AOB42" s="56"/>
      <c r="AOC42" s="105"/>
      <c r="AOJ42" s="56"/>
      <c r="AOK42" s="105"/>
      <c r="AOR42" s="56"/>
      <c r="AOS42" s="105"/>
      <c r="AOZ42" s="56"/>
      <c r="APA42" s="105"/>
      <c r="APH42" s="56"/>
      <c r="API42" s="105"/>
      <c r="APP42" s="56"/>
      <c r="APQ42" s="105"/>
      <c r="APX42" s="56"/>
      <c r="APY42" s="105"/>
      <c r="AQF42" s="56"/>
      <c r="AQG42" s="105"/>
      <c r="AQN42" s="56"/>
      <c r="AQO42" s="105"/>
      <c r="AQV42" s="56"/>
      <c r="AQW42" s="105"/>
      <c r="ARD42" s="56"/>
      <c r="ARE42" s="105"/>
      <c r="ARL42" s="56"/>
      <c r="ARM42" s="105"/>
      <c r="ART42" s="56"/>
      <c r="ARU42" s="105"/>
      <c r="ASB42" s="56"/>
      <c r="ASC42" s="105"/>
      <c r="ASJ42" s="56"/>
      <c r="ASK42" s="105"/>
      <c r="ASR42" s="56"/>
      <c r="ASS42" s="105"/>
      <c r="ASZ42" s="56"/>
      <c r="ATA42" s="105"/>
      <c r="ATH42" s="56"/>
      <c r="ATI42" s="105"/>
      <c r="ATP42" s="56"/>
      <c r="ATQ42" s="105"/>
      <c r="ATX42" s="56"/>
      <c r="ATY42" s="105"/>
      <c r="AUF42" s="56"/>
      <c r="AUG42" s="105"/>
      <c r="AUN42" s="56"/>
      <c r="AUO42" s="105"/>
      <c r="AUV42" s="56"/>
      <c r="AUW42" s="105"/>
      <c r="AVD42" s="56"/>
      <c r="AVE42" s="105"/>
      <c r="AVL42" s="56"/>
      <c r="AVM42" s="105"/>
      <c r="AVT42" s="56"/>
      <c r="AVU42" s="105"/>
      <c r="AWB42" s="56"/>
      <c r="AWC42" s="105"/>
      <c r="AWJ42" s="56"/>
      <c r="AWK42" s="105"/>
      <c r="AWR42" s="56"/>
      <c r="AWS42" s="105"/>
      <c r="AWZ42" s="56"/>
      <c r="AXA42" s="105"/>
      <c r="AXH42" s="56"/>
      <c r="AXI42" s="105"/>
      <c r="AXP42" s="56"/>
      <c r="AXQ42" s="105"/>
      <c r="AXX42" s="56"/>
      <c r="AXY42" s="105"/>
      <c r="AYF42" s="56"/>
      <c r="AYG42" s="105"/>
      <c r="AYN42" s="56"/>
      <c r="AYO42" s="105"/>
      <c r="AYV42" s="56"/>
      <c r="AYW42" s="105"/>
      <c r="AZD42" s="56"/>
      <c r="AZE42" s="105"/>
      <c r="AZL42" s="56"/>
      <c r="AZM42" s="105"/>
      <c r="AZT42" s="56"/>
      <c r="AZU42" s="105"/>
      <c r="BAB42" s="56"/>
      <c r="BAC42" s="105"/>
      <c r="BAJ42" s="56"/>
      <c r="BAK42" s="105"/>
      <c r="BAR42" s="56"/>
      <c r="BAS42" s="105"/>
      <c r="BAZ42" s="56"/>
      <c r="BBA42" s="105"/>
      <c r="BBH42" s="56"/>
      <c r="BBI42" s="105"/>
      <c r="BBP42" s="56"/>
      <c r="BBQ42" s="105"/>
      <c r="BBX42" s="56"/>
      <c r="BBY42" s="105"/>
      <c r="BCF42" s="56"/>
      <c r="BCG42" s="105"/>
      <c r="BCN42" s="56"/>
      <c r="BCO42" s="105"/>
      <c r="BCV42" s="56"/>
      <c r="BCW42" s="105"/>
      <c r="BDD42" s="56"/>
      <c r="BDE42" s="105"/>
      <c r="BDL42" s="56"/>
      <c r="BDM42" s="105"/>
      <c r="BDT42" s="56"/>
      <c r="BDU42" s="105"/>
      <c r="BEB42" s="56"/>
      <c r="BEC42" s="105"/>
      <c r="BEJ42" s="56"/>
      <c r="BEK42" s="105"/>
      <c r="BER42" s="56"/>
      <c r="BES42" s="105"/>
      <c r="BEZ42" s="56"/>
      <c r="BFA42" s="105"/>
      <c r="BFH42" s="56"/>
      <c r="BFI42" s="105"/>
      <c r="BFP42" s="56"/>
      <c r="BFQ42" s="105"/>
      <c r="BFX42" s="56"/>
      <c r="BFY42" s="105"/>
      <c r="BGF42" s="56"/>
      <c r="BGG42" s="105"/>
      <c r="BGN42" s="56"/>
      <c r="BGO42" s="105"/>
      <c r="BGV42" s="56"/>
      <c r="BGW42" s="105"/>
      <c r="BHD42" s="56"/>
      <c r="BHE42" s="105"/>
      <c r="BHL42" s="56"/>
      <c r="BHM42" s="105"/>
      <c r="BHT42" s="56"/>
      <c r="BHU42" s="105"/>
      <c r="BIB42" s="56"/>
      <c r="BIC42" s="105"/>
      <c r="BIJ42" s="56"/>
      <c r="BIK42" s="105"/>
      <c r="BIR42" s="56"/>
      <c r="BIS42" s="105"/>
      <c r="BIZ42" s="56"/>
      <c r="BJA42" s="105"/>
      <c r="BJH42" s="56"/>
      <c r="BJI42" s="105"/>
      <c r="BJP42" s="56"/>
      <c r="BJQ42" s="105"/>
      <c r="BJX42" s="56"/>
      <c r="BJY42" s="105"/>
      <c r="BKF42" s="56"/>
      <c r="BKG42" s="105"/>
      <c r="BKN42" s="56"/>
      <c r="BKO42" s="105"/>
      <c r="BKV42" s="56"/>
      <c r="BKW42" s="105"/>
      <c r="BLD42" s="56"/>
      <c r="BLE42" s="105"/>
      <c r="BLL42" s="56"/>
      <c r="BLM42" s="105"/>
      <c r="BLT42" s="56"/>
      <c r="BLU42" s="105"/>
      <c r="BMB42" s="56"/>
      <c r="BMC42" s="105"/>
      <c r="BMJ42" s="56"/>
      <c r="BMK42" s="105"/>
      <c r="BMR42" s="56"/>
      <c r="BMS42" s="105"/>
      <c r="BMZ42" s="56"/>
      <c r="BNA42" s="105"/>
      <c r="BNH42" s="56"/>
      <c r="BNI42" s="105"/>
      <c r="BNP42" s="56"/>
      <c r="BNQ42" s="105"/>
      <c r="BNX42" s="56"/>
      <c r="BNY42" s="105"/>
      <c r="BOF42" s="56"/>
      <c r="BOG42" s="105"/>
      <c r="BON42" s="56"/>
      <c r="BOO42" s="105"/>
      <c r="BOV42" s="56"/>
      <c r="BOW42" s="105"/>
      <c r="BPD42" s="56"/>
      <c r="BPE42" s="105"/>
      <c r="BPL42" s="56"/>
      <c r="BPM42" s="105"/>
      <c r="BPT42" s="56"/>
      <c r="BPU42" s="105"/>
      <c r="BQB42" s="56"/>
      <c r="BQC42" s="105"/>
      <c r="BQJ42" s="56"/>
      <c r="BQK42" s="105"/>
      <c r="BQR42" s="56"/>
      <c r="BQS42" s="105"/>
      <c r="BQZ42" s="56"/>
      <c r="BRA42" s="105"/>
      <c r="BRH42" s="56"/>
      <c r="BRI42" s="105"/>
      <c r="BRP42" s="56"/>
      <c r="BRQ42" s="105"/>
      <c r="BRX42" s="56"/>
      <c r="BRY42" s="105"/>
      <c r="BSF42" s="56"/>
      <c r="BSG42" s="105"/>
      <c r="BSN42" s="56"/>
      <c r="BSO42" s="105"/>
      <c r="BSV42" s="56"/>
      <c r="BSW42" s="105"/>
      <c r="BTD42" s="56"/>
      <c r="BTE42" s="105"/>
      <c r="BTL42" s="56"/>
      <c r="BTM42" s="105"/>
      <c r="BTT42" s="56"/>
      <c r="BTU42" s="105"/>
      <c r="BUB42" s="56"/>
      <c r="BUC42" s="105"/>
      <c r="BUJ42" s="56"/>
      <c r="BUK42" s="105"/>
      <c r="BUR42" s="56"/>
      <c r="BUS42" s="105"/>
      <c r="BUZ42" s="56"/>
      <c r="BVA42" s="105"/>
      <c r="BVH42" s="56"/>
      <c r="BVI42" s="105"/>
      <c r="BVP42" s="56"/>
      <c r="BVQ42" s="105"/>
      <c r="BVX42" s="56"/>
      <c r="BVY42" s="105"/>
      <c r="BWF42" s="56"/>
      <c r="BWG42" s="105"/>
      <c r="BWN42" s="56"/>
      <c r="BWO42" s="105"/>
      <c r="BWV42" s="56"/>
      <c r="BWW42" s="105"/>
      <c r="BXD42" s="56"/>
      <c r="BXE42" s="105"/>
      <c r="BXL42" s="56"/>
      <c r="BXM42" s="105"/>
      <c r="BXT42" s="56"/>
      <c r="BXU42" s="105"/>
      <c r="BYB42" s="56"/>
      <c r="BYC42" s="105"/>
      <c r="BYJ42" s="56"/>
      <c r="BYK42" s="105"/>
      <c r="BYR42" s="56"/>
      <c r="BYS42" s="105"/>
      <c r="BYZ42" s="56"/>
      <c r="BZA42" s="105"/>
      <c r="BZH42" s="56"/>
      <c r="BZI42" s="105"/>
      <c r="BZP42" s="56"/>
      <c r="BZQ42" s="105"/>
      <c r="BZX42" s="56"/>
      <c r="BZY42" s="105"/>
      <c r="CAF42" s="56"/>
      <c r="CAG42" s="105"/>
      <c r="CAN42" s="56"/>
      <c r="CAO42" s="105"/>
      <c r="CAV42" s="56"/>
      <c r="CAW42" s="105"/>
      <c r="CBD42" s="56"/>
      <c r="CBE42" s="105"/>
      <c r="CBL42" s="56"/>
      <c r="CBM42" s="105"/>
      <c r="CBT42" s="56"/>
      <c r="CBU42" s="105"/>
      <c r="CCB42" s="56"/>
      <c r="CCC42" s="105"/>
      <c r="CCJ42" s="56"/>
      <c r="CCK42" s="105"/>
      <c r="CCR42" s="56"/>
      <c r="CCS42" s="105"/>
      <c r="CCZ42" s="56"/>
      <c r="CDA42" s="105"/>
      <c r="CDH42" s="56"/>
      <c r="CDI42" s="105"/>
      <c r="CDP42" s="56"/>
      <c r="CDQ42" s="105"/>
      <c r="CDX42" s="56"/>
      <c r="CDY42" s="105"/>
      <c r="CEF42" s="56"/>
      <c r="CEG42" s="105"/>
      <c r="CEN42" s="56"/>
      <c r="CEO42" s="105"/>
      <c r="CEV42" s="56"/>
      <c r="CEW42" s="105"/>
      <c r="CFD42" s="56"/>
      <c r="CFE42" s="105"/>
      <c r="CFL42" s="56"/>
      <c r="CFM42" s="105"/>
      <c r="CFT42" s="56"/>
      <c r="CFU42" s="105"/>
      <c r="CGB42" s="56"/>
      <c r="CGC42" s="105"/>
      <c r="CGJ42" s="56"/>
      <c r="CGK42" s="105"/>
      <c r="CGR42" s="56"/>
      <c r="CGS42" s="105"/>
      <c r="CGZ42" s="56"/>
      <c r="CHA42" s="105"/>
      <c r="CHH42" s="56"/>
      <c r="CHI42" s="105"/>
      <c r="CHP42" s="56"/>
      <c r="CHQ42" s="105"/>
      <c r="CHX42" s="56"/>
      <c r="CHY42" s="105"/>
      <c r="CIF42" s="56"/>
      <c r="CIG42" s="105"/>
      <c r="CIN42" s="56"/>
      <c r="CIO42" s="105"/>
      <c r="CIV42" s="56"/>
      <c r="CIW42" s="105"/>
      <c r="CJD42" s="56"/>
      <c r="CJE42" s="105"/>
      <c r="CJL42" s="56"/>
      <c r="CJM42" s="105"/>
      <c r="CJT42" s="56"/>
      <c r="CJU42" s="105"/>
      <c r="CKB42" s="56"/>
      <c r="CKC42" s="105"/>
      <c r="CKJ42" s="56"/>
      <c r="CKK42" s="105"/>
      <c r="CKR42" s="56"/>
      <c r="CKS42" s="105"/>
      <c r="CKZ42" s="56"/>
      <c r="CLA42" s="105"/>
      <c r="CLH42" s="56"/>
      <c r="CLI42" s="105"/>
      <c r="CLP42" s="56"/>
      <c r="CLQ42" s="105"/>
      <c r="CLX42" s="56"/>
      <c r="CLY42" s="105"/>
      <c r="CMF42" s="56"/>
      <c r="CMG42" s="105"/>
      <c r="CMN42" s="56"/>
      <c r="CMO42" s="105"/>
      <c r="CMV42" s="56"/>
      <c r="CMW42" s="105"/>
      <c r="CND42" s="56"/>
      <c r="CNE42" s="105"/>
      <c r="CNL42" s="56"/>
      <c r="CNM42" s="105"/>
      <c r="CNT42" s="56"/>
      <c r="CNU42" s="105"/>
      <c r="COB42" s="56"/>
      <c r="COC42" s="105"/>
      <c r="COJ42" s="56"/>
      <c r="COK42" s="105"/>
      <c r="COR42" s="56"/>
      <c r="COS42" s="105"/>
      <c r="COZ42" s="56"/>
      <c r="CPA42" s="105"/>
      <c r="CPH42" s="56"/>
      <c r="CPI42" s="105"/>
      <c r="CPP42" s="56"/>
      <c r="CPQ42" s="105"/>
      <c r="CPX42" s="56"/>
      <c r="CPY42" s="105"/>
      <c r="CQF42" s="56"/>
      <c r="CQG42" s="105"/>
      <c r="CQN42" s="56"/>
      <c r="CQO42" s="105"/>
      <c r="CQV42" s="56"/>
      <c r="CQW42" s="105"/>
      <c r="CRD42" s="56"/>
      <c r="CRE42" s="105"/>
      <c r="CRL42" s="56"/>
      <c r="CRM42" s="105"/>
      <c r="CRT42" s="56"/>
      <c r="CRU42" s="105"/>
      <c r="CSB42" s="56"/>
      <c r="CSC42" s="105"/>
      <c r="CSJ42" s="56"/>
      <c r="CSK42" s="105"/>
      <c r="CSR42" s="56"/>
      <c r="CSS42" s="105"/>
      <c r="CSZ42" s="56"/>
      <c r="CTA42" s="105"/>
      <c r="CTH42" s="56"/>
      <c r="CTI42" s="105"/>
      <c r="CTP42" s="56"/>
      <c r="CTQ42" s="105"/>
      <c r="CTX42" s="56"/>
      <c r="CTY42" s="105"/>
      <c r="CUF42" s="56"/>
      <c r="CUG42" s="105"/>
      <c r="CUN42" s="56"/>
      <c r="CUO42" s="105"/>
      <c r="CUV42" s="56"/>
      <c r="CUW42" s="105"/>
      <c r="CVD42" s="56"/>
      <c r="CVE42" s="105"/>
      <c r="CVL42" s="56"/>
      <c r="CVM42" s="105"/>
      <c r="CVT42" s="56"/>
      <c r="CVU42" s="105"/>
      <c r="CWB42" s="56"/>
      <c r="CWC42" s="105"/>
      <c r="CWJ42" s="56"/>
      <c r="CWK42" s="105"/>
      <c r="CWR42" s="56"/>
      <c r="CWS42" s="105"/>
      <c r="CWZ42" s="56"/>
      <c r="CXA42" s="105"/>
      <c r="CXH42" s="56"/>
      <c r="CXI42" s="105"/>
      <c r="CXP42" s="56"/>
      <c r="CXQ42" s="105"/>
      <c r="CXX42" s="56"/>
      <c r="CXY42" s="105"/>
      <c r="CYF42" s="56"/>
      <c r="CYG42" s="105"/>
      <c r="CYN42" s="56"/>
      <c r="CYO42" s="105"/>
      <c r="CYV42" s="56"/>
      <c r="CYW42" s="105"/>
      <c r="CZD42" s="56"/>
      <c r="CZE42" s="105"/>
      <c r="CZL42" s="56"/>
      <c r="CZM42" s="105"/>
      <c r="CZT42" s="56"/>
      <c r="CZU42" s="105"/>
      <c r="DAB42" s="56"/>
      <c r="DAC42" s="105"/>
      <c r="DAJ42" s="56"/>
      <c r="DAK42" s="105"/>
      <c r="DAR42" s="56"/>
      <c r="DAS42" s="105"/>
      <c r="DAZ42" s="56"/>
      <c r="DBA42" s="105"/>
      <c r="DBH42" s="56"/>
      <c r="DBI42" s="105"/>
      <c r="DBP42" s="56"/>
      <c r="DBQ42" s="105"/>
      <c r="DBX42" s="56"/>
      <c r="DBY42" s="105"/>
      <c r="DCF42" s="56"/>
      <c r="DCG42" s="105"/>
      <c r="DCN42" s="56"/>
      <c r="DCO42" s="105"/>
      <c r="DCV42" s="56"/>
      <c r="DCW42" s="105"/>
      <c r="DDD42" s="56"/>
      <c r="DDE42" s="105"/>
      <c r="DDL42" s="56"/>
      <c r="DDM42" s="105"/>
      <c r="DDT42" s="56"/>
      <c r="DDU42" s="105"/>
      <c r="DEB42" s="56"/>
      <c r="DEC42" s="105"/>
      <c r="DEJ42" s="56"/>
      <c r="DEK42" s="105"/>
      <c r="DER42" s="56"/>
      <c r="DES42" s="105"/>
      <c r="DEZ42" s="56"/>
      <c r="DFA42" s="105"/>
      <c r="DFH42" s="56"/>
      <c r="DFI42" s="105"/>
      <c r="DFP42" s="56"/>
      <c r="DFQ42" s="105"/>
      <c r="DFX42" s="56"/>
      <c r="DFY42" s="105"/>
      <c r="DGF42" s="56"/>
      <c r="DGG42" s="105"/>
      <c r="DGN42" s="56"/>
      <c r="DGO42" s="105"/>
      <c r="DGV42" s="56"/>
      <c r="DGW42" s="105"/>
      <c r="DHD42" s="56"/>
      <c r="DHE42" s="105"/>
      <c r="DHL42" s="56"/>
      <c r="DHM42" s="105"/>
      <c r="DHT42" s="56"/>
      <c r="DHU42" s="105"/>
      <c r="DIB42" s="56"/>
      <c r="DIC42" s="105"/>
      <c r="DIJ42" s="56"/>
      <c r="DIK42" s="105"/>
      <c r="DIR42" s="56"/>
      <c r="DIS42" s="105"/>
      <c r="DIZ42" s="56"/>
      <c r="DJA42" s="105"/>
      <c r="DJH42" s="56"/>
      <c r="DJI42" s="105"/>
      <c r="DJP42" s="56"/>
      <c r="DJQ42" s="105"/>
      <c r="DJX42" s="56"/>
      <c r="DJY42" s="105"/>
      <c r="DKF42" s="56"/>
      <c r="DKG42" s="105"/>
      <c r="DKN42" s="56"/>
      <c r="DKO42" s="105"/>
      <c r="DKV42" s="56"/>
      <c r="DKW42" s="105"/>
      <c r="DLD42" s="56"/>
      <c r="DLE42" s="105"/>
      <c r="DLL42" s="56"/>
      <c r="DLM42" s="105"/>
      <c r="DLT42" s="56"/>
      <c r="DLU42" s="105"/>
      <c r="DMB42" s="56"/>
      <c r="DMC42" s="105"/>
      <c r="DMJ42" s="56"/>
      <c r="DMK42" s="105"/>
      <c r="DMR42" s="56"/>
      <c r="DMS42" s="105"/>
      <c r="DMZ42" s="56"/>
      <c r="DNA42" s="105"/>
      <c r="DNH42" s="56"/>
      <c r="DNI42" s="105"/>
      <c r="DNP42" s="56"/>
      <c r="DNQ42" s="105"/>
      <c r="DNX42" s="56"/>
      <c r="DNY42" s="105"/>
      <c r="DOF42" s="56"/>
      <c r="DOG42" s="105"/>
      <c r="DON42" s="56"/>
      <c r="DOO42" s="105"/>
      <c r="DOV42" s="56"/>
      <c r="DOW42" s="105"/>
      <c r="DPD42" s="56"/>
      <c r="DPE42" s="105"/>
      <c r="DPL42" s="56"/>
      <c r="DPM42" s="105"/>
      <c r="DPT42" s="56"/>
      <c r="DPU42" s="105"/>
      <c r="DQB42" s="56"/>
      <c r="DQC42" s="105"/>
      <c r="DQJ42" s="56"/>
      <c r="DQK42" s="105"/>
      <c r="DQR42" s="56"/>
      <c r="DQS42" s="105"/>
      <c r="DQZ42" s="56"/>
      <c r="DRA42" s="105"/>
      <c r="DRH42" s="56"/>
      <c r="DRI42" s="105"/>
      <c r="DRP42" s="56"/>
      <c r="DRQ42" s="105"/>
      <c r="DRX42" s="56"/>
      <c r="DRY42" s="105"/>
      <c r="DSF42" s="56"/>
      <c r="DSG42" s="105"/>
      <c r="DSN42" s="56"/>
      <c r="DSO42" s="105"/>
      <c r="DSV42" s="56"/>
      <c r="DSW42" s="105"/>
      <c r="DTD42" s="56"/>
      <c r="DTE42" s="105"/>
      <c r="DTL42" s="56"/>
      <c r="DTM42" s="105"/>
      <c r="DTT42" s="56"/>
      <c r="DTU42" s="105"/>
      <c r="DUB42" s="56"/>
      <c r="DUC42" s="105"/>
      <c r="DUJ42" s="56"/>
      <c r="DUK42" s="105"/>
      <c r="DUR42" s="56"/>
      <c r="DUS42" s="105"/>
      <c r="DUZ42" s="56"/>
      <c r="DVA42" s="105"/>
      <c r="DVH42" s="56"/>
      <c r="DVI42" s="105"/>
      <c r="DVP42" s="56"/>
      <c r="DVQ42" s="105"/>
      <c r="DVX42" s="56"/>
      <c r="DVY42" s="105"/>
      <c r="DWF42" s="56"/>
      <c r="DWG42" s="105"/>
      <c r="DWN42" s="56"/>
      <c r="DWO42" s="105"/>
      <c r="DWV42" s="56"/>
      <c r="DWW42" s="105"/>
      <c r="DXD42" s="56"/>
      <c r="DXE42" s="105"/>
      <c r="DXL42" s="56"/>
      <c r="DXM42" s="105"/>
      <c r="DXT42" s="56"/>
      <c r="DXU42" s="105"/>
      <c r="DYB42" s="56"/>
      <c r="DYC42" s="105"/>
      <c r="DYJ42" s="56"/>
      <c r="DYK42" s="105"/>
      <c r="DYR42" s="56"/>
      <c r="DYS42" s="105"/>
      <c r="DYZ42" s="56"/>
      <c r="DZA42" s="105"/>
      <c r="DZH42" s="56"/>
      <c r="DZI42" s="105"/>
      <c r="DZP42" s="56"/>
      <c r="DZQ42" s="105"/>
      <c r="DZX42" s="56"/>
      <c r="DZY42" s="105"/>
      <c r="EAF42" s="56"/>
      <c r="EAG42" s="105"/>
      <c r="EAN42" s="56"/>
      <c r="EAO42" s="105"/>
      <c r="EAV42" s="56"/>
      <c r="EAW42" s="105"/>
      <c r="EBD42" s="56"/>
      <c r="EBE42" s="105"/>
      <c r="EBL42" s="56"/>
      <c r="EBM42" s="105"/>
      <c r="EBT42" s="56"/>
      <c r="EBU42" s="105"/>
      <c r="ECB42" s="56"/>
      <c r="ECC42" s="105"/>
      <c r="ECJ42" s="56"/>
      <c r="ECK42" s="105"/>
      <c r="ECR42" s="56"/>
      <c r="ECS42" s="105"/>
      <c r="ECZ42" s="56"/>
      <c r="EDA42" s="105"/>
      <c r="EDH42" s="56"/>
      <c r="EDI42" s="105"/>
      <c r="EDP42" s="56"/>
      <c r="EDQ42" s="105"/>
      <c r="EDX42" s="56"/>
      <c r="EDY42" s="105"/>
      <c r="EEF42" s="56"/>
      <c r="EEG42" s="105"/>
      <c r="EEN42" s="56"/>
      <c r="EEO42" s="105"/>
      <c r="EEV42" s="56"/>
      <c r="EEW42" s="105"/>
      <c r="EFD42" s="56"/>
      <c r="EFE42" s="105"/>
      <c r="EFL42" s="56"/>
      <c r="EFM42" s="105"/>
      <c r="EFT42" s="56"/>
      <c r="EFU42" s="105"/>
      <c r="EGB42" s="56"/>
      <c r="EGC42" s="105"/>
      <c r="EGJ42" s="56"/>
      <c r="EGK42" s="105"/>
      <c r="EGR42" s="56"/>
      <c r="EGS42" s="105"/>
      <c r="EGZ42" s="56"/>
      <c r="EHA42" s="105"/>
      <c r="EHH42" s="56"/>
      <c r="EHI42" s="105"/>
      <c r="EHP42" s="56"/>
      <c r="EHQ42" s="105"/>
      <c r="EHX42" s="56"/>
      <c r="EHY42" s="105"/>
      <c r="EIF42" s="56"/>
      <c r="EIG42" s="105"/>
      <c r="EIN42" s="56"/>
      <c r="EIO42" s="105"/>
      <c r="EIV42" s="56"/>
      <c r="EIW42" s="105"/>
      <c r="EJD42" s="56"/>
      <c r="EJE42" s="105"/>
      <c r="EJL42" s="56"/>
      <c r="EJM42" s="105"/>
      <c r="EJT42" s="56"/>
      <c r="EJU42" s="105"/>
      <c r="EKB42" s="56"/>
      <c r="EKC42" s="105"/>
      <c r="EKJ42" s="56"/>
      <c r="EKK42" s="105"/>
      <c r="EKR42" s="56"/>
      <c r="EKS42" s="105"/>
      <c r="EKZ42" s="56"/>
      <c r="ELA42" s="105"/>
      <c r="ELH42" s="56"/>
      <c r="ELI42" s="105"/>
      <c r="ELP42" s="56"/>
      <c r="ELQ42" s="105"/>
      <c r="ELX42" s="56"/>
      <c r="ELY42" s="105"/>
      <c r="EMF42" s="56"/>
      <c r="EMG42" s="105"/>
      <c r="EMN42" s="56"/>
      <c r="EMO42" s="105"/>
      <c r="EMV42" s="56"/>
      <c r="EMW42" s="105"/>
      <c r="END42" s="56"/>
      <c r="ENE42" s="105"/>
      <c r="ENL42" s="56"/>
      <c r="ENM42" s="105"/>
      <c r="ENT42" s="56"/>
      <c r="ENU42" s="105"/>
      <c r="EOB42" s="56"/>
      <c r="EOC42" s="105"/>
      <c r="EOJ42" s="56"/>
      <c r="EOK42" s="105"/>
      <c r="EOR42" s="56"/>
      <c r="EOS42" s="105"/>
      <c r="EOZ42" s="56"/>
      <c r="EPA42" s="105"/>
      <c r="EPH42" s="56"/>
      <c r="EPI42" s="105"/>
      <c r="EPP42" s="56"/>
      <c r="EPQ42" s="105"/>
      <c r="EPX42" s="56"/>
      <c r="EPY42" s="105"/>
      <c r="EQF42" s="56"/>
      <c r="EQG42" s="105"/>
      <c r="EQN42" s="56"/>
      <c r="EQO42" s="105"/>
      <c r="EQV42" s="56"/>
      <c r="EQW42" s="105"/>
      <c r="ERD42" s="56"/>
      <c r="ERE42" s="105"/>
      <c r="ERL42" s="56"/>
      <c r="ERM42" s="105"/>
      <c r="ERT42" s="56"/>
      <c r="ERU42" s="105"/>
      <c r="ESB42" s="56"/>
      <c r="ESC42" s="105"/>
      <c r="ESJ42" s="56"/>
      <c r="ESK42" s="105"/>
      <c r="ESR42" s="56"/>
      <c r="ESS42" s="105"/>
      <c r="ESZ42" s="56"/>
      <c r="ETA42" s="105"/>
      <c r="ETH42" s="56"/>
      <c r="ETI42" s="105"/>
      <c r="ETP42" s="56"/>
      <c r="ETQ42" s="105"/>
      <c r="ETX42" s="56"/>
      <c r="ETY42" s="105"/>
      <c r="EUF42" s="56"/>
      <c r="EUG42" s="105"/>
      <c r="EUN42" s="56"/>
      <c r="EUO42" s="105"/>
      <c r="EUV42" s="56"/>
      <c r="EUW42" s="105"/>
      <c r="EVD42" s="56"/>
      <c r="EVE42" s="105"/>
      <c r="EVL42" s="56"/>
      <c r="EVM42" s="105"/>
      <c r="EVT42" s="56"/>
      <c r="EVU42" s="105"/>
      <c r="EWB42" s="56"/>
      <c r="EWC42" s="105"/>
      <c r="EWJ42" s="56"/>
      <c r="EWK42" s="105"/>
      <c r="EWR42" s="56"/>
      <c r="EWS42" s="105"/>
      <c r="EWZ42" s="56"/>
      <c r="EXA42" s="105"/>
      <c r="EXH42" s="56"/>
      <c r="EXI42" s="105"/>
      <c r="EXP42" s="56"/>
      <c r="EXQ42" s="105"/>
      <c r="EXX42" s="56"/>
      <c r="EXY42" s="105"/>
      <c r="EYF42" s="56"/>
      <c r="EYG42" s="105"/>
      <c r="EYN42" s="56"/>
      <c r="EYO42" s="105"/>
      <c r="EYV42" s="56"/>
      <c r="EYW42" s="105"/>
      <c r="EZD42" s="56"/>
      <c r="EZE42" s="105"/>
      <c r="EZL42" s="56"/>
      <c r="EZM42" s="105"/>
      <c r="EZT42" s="56"/>
      <c r="EZU42" s="105"/>
      <c r="FAB42" s="56"/>
      <c r="FAC42" s="105"/>
      <c r="FAJ42" s="56"/>
      <c r="FAK42" s="105"/>
      <c r="FAR42" s="56"/>
      <c r="FAS42" s="105"/>
      <c r="FAZ42" s="56"/>
      <c r="FBA42" s="105"/>
      <c r="FBH42" s="56"/>
      <c r="FBI42" s="105"/>
      <c r="FBP42" s="56"/>
      <c r="FBQ42" s="105"/>
      <c r="FBX42" s="56"/>
      <c r="FBY42" s="105"/>
      <c r="FCF42" s="56"/>
      <c r="FCG42" s="105"/>
      <c r="FCN42" s="56"/>
      <c r="FCO42" s="105"/>
      <c r="FCV42" s="56"/>
      <c r="FCW42" s="105"/>
      <c r="FDD42" s="56"/>
      <c r="FDE42" s="105"/>
      <c r="FDL42" s="56"/>
      <c r="FDM42" s="105"/>
      <c r="FDT42" s="56"/>
      <c r="FDU42" s="105"/>
      <c r="FEB42" s="56"/>
      <c r="FEC42" s="105"/>
      <c r="FEJ42" s="56"/>
      <c r="FEK42" s="105"/>
      <c r="FER42" s="56"/>
      <c r="FES42" s="105"/>
      <c r="FEZ42" s="56"/>
      <c r="FFA42" s="105"/>
      <c r="FFH42" s="56"/>
      <c r="FFI42" s="105"/>
      <c r="FFP42" s="56"/>
      <c r="FFQ42" s="105"/>
      <c r="FFX42" s="56"/>
      <c r="FFY42" s="105"/>
      <c r="FGF42" s="56"/>
      <c r="FGG42" s="105"/>
      <c r="FGN42" s="56"/>
      <c r="FGO42" s="105"/>
      <c r="FGV42" s="56"/>
      <c r="FGW42" s="105"/>
      <c r="FHD42" s="56"/>
      <c r="FHE42" s="105"/>
      <c r="FHL42" s="56"/>
      <c r="FHM42" s="105"/>
      <c r="FHT42" s="56"/>
      <c r="FHU42" s="105"/>
      <c r="FIB42" s="56"/>
      <c r="FIC42" s="105"/>
      <c r="FIJ42" s="56"/>
      <c r="FIK42" s="105"/>
      <c r="FIR42" s="56"/>
      <c r="FIS42" s="105"/>
      <c r="FIZ42" s="56"/>
      <c r="FJA42" s="105"/>
      <c r="FJH42" s="56"/>
      <c r="FJI42" s="105"/>
      <c r="FJP42" s="56"/>
      <c r="FJQ42" s="105"/>
      <c r="FJX42" s="56"/>
      <c r="FJY42" s="105"/>
      <c r="FKF42" s="56"/>
      <c r="FKG42" s="105"/>
      <c r="FKN42" s="56"/>
      <c r="FKO42" s="105"/>
      <c r="FKV42" s="56"/>
      <c r="FKW42" s="105"/>
      <c r="FLD42" s="56"/>
      <c r="FLE42" s="105"/>
      <c r="FLL42" s="56"/>
      <c r="FLM42" s="105"/>
      <c r="FLT42" s="56"/>
      <c r="FLU42" s="105"/>
      <c r="FMB42" s="56"/>
      <c r="FMC42" s="105"/>
      <c r="FMJ42" s="56"/>
      <c r="FMK42" s="105"/>
      <c r="FMR42" s="56"/>
      <c r="FMS42" s="105"/>
      <c r="FMZ42" s="56"/>
      <c r="FNA42" s="105"/>
      <c r="FNH42" s="56"/>
      <c r="FNI42" s="105"/>
      <c r="FNP42" s="56"/>
      <c r="FNQ42" s="105"/>
      <c r="FNX42" s="56"/>
      <c r="FNY42" s="105"/>
      <c r="FOF42" s="56"/>
      <c r="FOG42" s="105"/>
      <c r="FON42" s="56"/>
      <c r="FOO42" s="105"/>
      <c r="FOV42" s="56"/>
      <c r="FOW42" s="105"/>
      <c r="FPD42" s="56"/>
      <c r="FPE42" s="105"/>
      <c r="FPL42" s="56"/>
      <c r="FPM42" s="105"/>
      <c r="FPT42" s="56"/>
      <c r="FPU42" s="105"/>
      <c r="FQB42" s="56"/>
      <c r="FQC42" s="105"/>
      <c r="FQJ42" s="56"/>
      <c r="FQK42" s="105"/>
      <c r="FQR42" s="56"/>
      <c r="FQS42" s="105"/>
      <c r="FQZ42" s="56"/>
      <c r="FRA42" s="105"/>
      <c r="FRH42" s="56"/>
      <c r="FRI42" s="105"/>
      <c r="FRP42" s="56"/>
      <c r="FRQ42" s="105"/>
      <c r="FRX42" s="56"/>
      <c r="FRY42" s="105"/>
      <c r="FSF42" s="56"/>
      <c r="FSG42" s="105"/>
      <c r="FSN42" s="56"/>
      <c r="FSO42" s="105"/>
      <c r="FSV42" s="56"/>
      <c r="FSW42" s="105"/>
      <c r="FTD42" s="56"/>
      <c r="FTE42" s="105"/>
      <c r="FTL42" s="56"/>
      <c r="FTM42" s="105"/>
      <c r="FTT42" s="56"/>
      <c r="FTU42" s="105"/>
      <c r="FUB42" s="56"/>
      <c r="FUC42" s="105"/>
      <c r="FUJ42" s="56"/>
      <c r="FUK42" s="105"/>
      <c r="FUR42" s="56"/>
      <c r="FUS42" s="105"/>
      <c r="FUZ42" s="56"/>
      <c r="FVA42" s="105"/>
      <c r="FVH42" s="56"/>
      <c r="FVI42" s="105"/>
      <c r="FVP42" s="56"/>
      <c r="FVQ42" s="105"/>
      <c r="FVX42" s="56"/>
      <c r="FVY42" s="105"/>
      <c r="FWF42" s="56"/>
      <c r="FWG42" s="105"/>
      <c r="FWN42" s="56"/>
      <c r="FWO42" s="105"/>
      <c r="FWV42" s="56"/>
      <c r="FWW42" s="105"/>
      <c r="FXD42" s="56"/>
      <c r="FXE42" s="105"/>
      <c r="FXL42" s="56"/>
      <c r="FXM42" s="105"/>
      <c r="FXT42" s="56"/>
      <c r="FXU42" s="105"/>
      <c r="FYB42" s="56"/>
      <c r="FYC42" s="105"/>
      <c r="FYJ42" s="56"/>
      <c r="FYK42" s="105"/>
      <c r="FYR42" s="56"/>
      <c r="FYS42" s="105"/>
      <c r="FYZ42" s="56"/>
      <c r="FZA42" s="105"/>
      <c r="FZH42" s="56"/>
      <c r="FZI42" s="105"/>
      <c r="FZP42" s="56"/>
      <c r="FZQ42" s="105"/>
      <c r="FZX42" s="56"/>
      <c r="FZY42" s="105"/>
      <c r="GAF42" s="56"/>
      <c r="GAG42" s="105"/>
      <c r="GAN42" s="56"/>
      <c r="GAO42" s="105"/>
      <c r="GAV42" s="56"/>
      <c r="GAW42" s="105"/>
      <c r="GBD42" s="56"/>
      <c r="GBE42" s="105"/>
      <c r="GBL42" s="56"/>
      <c r="GBM42" s="105"/>
      <c r="GBT42" s="56"/>
      <c r="GBU42" s="105"/>
      <c r="GCB42" s="56"/>
      <c r="GCC42" s="105"/>
      <c r="GCJ42" s="56"/>
      <c r="GCK42" s="105"/>
      <c r="GCR42" s="56"/>
      <c r="GCS42" s="105"/>
      <c r="GCZ42" s="56"/>
      <c r="GDA42" s="105"/>
      <c r="GDH42" s="56"/>
      <c r="GDI42" s="105"/>
      <c r="GDP42" s="56"/>
      <c r="GDQ42" s="105"/>
      <c r="GDX42" s="56"/>
      <c r="GDY42" s="105"/>
      <c r="GEF42" s="56"/>
      <c r="GEG42" s="105"/>
      <c r="GEN42" s="56"/>
      <c r="GEO42" s="105"/>
      <c r="GEV42" s="56"/>
      <c r="GEW42" s="105"/>
      <c r="GFD42" s="56"/>
      <c r="GFE42" s="105"/>
      <c r="GFL42" s="56"/>
      <c r="GFM42" s="105"/>
      <c r="GFT42" s="56"/>
      <c r="GFU42" s="105"/>
      <c r="GGB42" s="56"/>
      <c r="GGC42" s="105"/>
      <c r="GGJ42" s="56"/>
      <c r="GGK42" s="105"/>
      <c r="GGR42" s="56"/>
      <c r="GGS42" s="105"/>
      <c r="GGZ42" s="56"/>
      <c r="GHA42" s="105"/>
      <c r="GHH42" s="56"/>
      <c r="GHI42" s="105"/>
      <c r="GHP42" s="56"/>
      <c r="GHQ42" s="105"/>
      <c r="GHX42" s="56"/>
      <c r="GHY42" s="105"/>
      <c r="GIF42" s="56"/>
      <c r="GIG42" s="105"/>
      <c r="GIN42" s="56"/>
      <c r="GIO42" s="105"/>
      <c r="GIV42" s="56"/>
      <c r="GIW42" s="105"/>
      <c r="GJD42" s="56"/>
      <c r="GJE42" s="105"/>
      <c r="GJL42" s="56"/>
      <c r="GJM42" s="105"/>
      <c r="GJT42" s="56"/>
      <c r="GJU42" s="105"/>
      <c r="GKB42" s="56"/>
      <c r="GKC42" s="105"/>
      <c r="GKJ42" s="56"/>
      <c r="GKK42" s="105"/>
      <c r="GKR42" s="56"/>
      <c r="GKS42" s="105"/>
      <c r="GKZ42" s="56"/>
      <c r="GLA42" s="105"/>
      <c r="GLH42" s="56"/>
      <c r="GLI42" s="105"/>
      <c r="GLP42" s="56"/>
      <c r="GLQ42" s="105"/>
      <c r="GLX42" s="56"/>
      <c r="GLY42" s="105"/>
      <c r="GMF42" s="56"/>
      <c r="GMG42" s="105"/>
      <c r="GMN42" s="56"/>
      <c r="GMO42" s="105"/>
      <c r="GMV42" s="56"/>
      <c r="GMW42" s="105"/>
      <c r="GND42" s="56"/>
      <c r="GNE42" s="105"/>
      <c r="GNL42" s="56"/>
      <c r="GNM42" s="105"/>
      <c r="GNT42" s="56"/>
      <c r="GNU42" s="105"/>
      <c r="GOB42" s="56"/>
      <c r="GOC42" s="105"/>
      <c r="GOJ42" s="56"/>
      <c r="GOK42" s="105"/>
      <c r="GOR42" s="56"/>
      <c r="GOS42" s="105"/>
      <c r="GOZ42" s="56"/>
      <c r="GPA42" s="105"/>
      <c r="GPH42" s="56"/>
      <c r="GPI42" s="105"/>
      <c r="GPP42" s="56"/>
      <c r="GPQ42" s="105"/>
      <c r="GPX42" s="56"/>
      <c r="GPY42" s="105"/>
      <c r="GQF42" s="56"/>
      <c r="GQG42" s="105"/>
      <c r="GQN42" s="56"/>
      <c r="GQO42" s="105"/>
      <c r="GQV42" s="56"/>
      <c r="GQW42" s="105"/>
      <c r="GRD42" s="56"/>
      <c r="GRE42" s="105"/>
      <c r="GRL42" s="56"/>
      <c r="GRM42" s="105"/>
      <c r="GRT42" s="56"/>
      <c r="GRU42" s="105"/>
      <c r="GSB42" s="56"/>
      <c r="GSC42" s="105"/>
      <c r="GSJ42" s="56"/>
      <c r="GSK42" s="105"/>
      <c r="GSR42" s="56"/>
      <c r="GSS42" s="105"/>
      <c r="GSZ42" s="56"/>
      <c r="GTA42" s="105"/>
      <c r="GTH42" s="56"/>
      <c r="GTI42" s="105"/>
      <c r="GTP42" s="56"/>
      <c r="GTQ42" s="105"/>
      <c r="GTX42" s="56"/>
      <c r="GTY42" s="105"/>
      <c r="GUF42" s="56"/>
      <c r="GUG42" s="105"/>
      <c r="GUN42" s="56"/>
      <c r="GUO42" s="105"/>
      <c r="GUV42" s="56"/>
      <c r="GUW42" s="105"/>
      <c r="GVD42" s="56"/>
      <c r="GVE42" s="105"/>
      <c r="GVL42" s="56"/>
      <c r="GVM42" s="105"/>
      <c r="GVT42" s="56"/>
      <c r="GVU42" s="105"/>
      <c r="GWB42" s="56"/>
      <c r="GWC42" s="105"/>
      <c r="GWJ42" s="56"/>
      <c r="GWK42" s="105"/>
      <c r="GWR42" s="56"/>
      <c r="GWS42" s="105"/>
      <c r="GWZ42" s="56"/>
      <c r="GXA42" s="105"/>
      <c r="GXH42" s="56"/>
      <c r="GXI42" s="105"/>
      <c r="GXP42" s="56"/>
      <c r="GXQ42" s="105"/>
      <c r="GXX42" s="56"/>
      <c r="GXY42" s="105"/>
      <c r="GYF42" s="56"/>
      <c r="GYG42" s="105"/>
      <c r="GYN42" s="56"/>
      <c r="GYO42" s="105"/>
      <c r="GYV42" s="56"/>
      <c r="GYW42" s="105"/>
      <c r="GZD42" s="56"/>
      <c r="GZE42" s="105"/>
      <c r="GZL42" s="56"/>
      <c r="GZM42" s="105"/>
      <c r="GZT42" s="56"/>
      <c r="GZU42" s="105"/>
      <c r="HAB42" s="56"/>
      <c r="HAC42" s="105"/>
      <c r="HAJ42" s="56"/>
      <c r="HAK42" s="105"/>
      <c r="HAR42" s="56"/>
      <c r="HAS42" s="105"/>
      <c r="HAZ42" s="56"/>
      <c r="HBA42" s="105"/>
      <c r="HBH42" s="56"/>
      <c r="HBI42" s="105"/>
      <c r="HBP42" s="56"/>
      <c r="HBQ42" s="105"/>
      <c r="HBX42" s="56"/>
      <c r="HBY42" s="105"/>
      <c r="HCF42" s="56"/>
      <c r="HCG42" s="105"/>
      <c r="HCN42" s="56"/>
      <c r="HCO42" s="105"/>
      <c r="HCV42" s="56"/>
      <c r="HCW42" s="105"/>
      <c r="HDD42" s="56"/>
      <c r="HDE42" s="105"/>
      <c r="HDL42" s="56"/>
      <c r="HDM42" s="105"/>
      <c r="HDT42" s="56"/>
      <c r="HDU42" s="105"/>
      <c r="HEB42" s="56"/>
      <c r="HEC42" s="105"/>
      <c r="HEJ42" s="56"/>
      <c r="HEK42" s="105"/>
      <c r="HER42" s="56"/>
      <c r="HES42" s="105"/>
      <c r="HEZ42" s="56"/>
      <c r="HFA42" s="105"/>
      <c r="HFH42" s="56"/>
      <c r="HFI42" s="105"/>
      <c r="HFP42" s="56"/>
      <c r="HFQ42" s="105"/>
      <c r="HFX42" s="56"/>
      <c r="HFY42" s="105"/>
      <c r="HGF42" s="56"/>
      <c r="HGG42" s="105"/>
      <c r="HGN42" s="56"/>
      <c r="HGO42" s="105"/>
      <c r="HGV42" s="56"/>
      <c r="HGW42" s="105"/>
      <c r="HHD42" s="56"/>
      <c r="HHE42" s="105"/>
      <c r="HHL42" s="56"/>
      <c r="HHM42" s="105"/>
      <c r="HHT42" s="56"/>
      <c r="HHU42" s="105"/>
      <c r="HIB42" s="56"/>
      <c r="HIC42" s="105"/>
      <c r="HIJ42" s="56"/>
      <c r="HIK42" s="105"/>
      <c r="HIR42" s="56"/>
      <c r="HIS42" s="105"/>
      <c r="HIZ42" s="56"/>
      <c r="HJA42" s="105"/>
      <c r="HJH42" s="56"/>
      <c r="HJI42" s="105"/>
      <c r="HJP42" s="56"/>
      <c r="HJQ42" s="105"/>
      <c r="HJX42" s="56"/>
      <c r="HJY42" s="105"/>
      <c r="HKF42" s="56"/>
      <c r="HKG42" s="105"/>
      <c r="HKN42" s="56"/>
      <c r="HKO42" s="105"/>
      <c r="HKV42" s="56"/>
      <c r="HKW42" s="105"/>
      <c r="HLD42" s="56"/>
      <c r="HLE42" s="105"/>
      <c r="HLL42" s="56"/>
      <c r="HLM42" s="105"/>
      <c r="HLT42" s="56"/>
      <c r="HLU42" s="105"/>
      <c r="HMB42" s="56"/>
      <c r="HMC42" s="105"/>
      <c r="HMJ42" s="56"/>
      <c r="HMK42" s="105"/>
      <c r="HMR42" s="56"/>
      <c r="HMS42" s="105"/>
      <c r="HMZ42" s="56"/>
      <c r="HNA42" s="105"/>
      <c r="HNH42" s="56"/>
      <c r="HNI42" s="105"/>
      <c r="HNP42" s="56"/>
      <c r="HNQ42" s="105"/>
      <c r="HNX42" s="56"/>
      <c r="HNY42" s="105"/>
      <c r="HOF42" s="56"/>
      <c r="HOG42" s="105"/>
      <c r="HON42" s="56"/>
      <c r="HOO42" s="105"/>
      <c r="HOV42" s="56"/>
      <c r="HOW42" s="105"/>
      <c r="HPD42" s="56"/>
      <c r="HPE42" s="105"/>
      <c r="HPL42" s="56"/>
      <c r="HPM42" s="105"/>
      <c r="HPT42" s="56"/>
      <c r="HPU42" s="105"/>
      <c r="HQB42" s="56"/>
      <c r="HQC42" s="105"/>
      <c r="HQJ42" s="56"/>
      <c r="HQK42" s="105"/>
      <c r="HQR42" s="56"/>
      <c r="HQS42" s="105"/>
      <c r="HQZ42" s="56"/>
      <c r="HRA42" s="105"/>
      <c r="HRH42" s="56"/>
      <c r="HRI42" s="105"/>
      <c r="HRP42" s="56"/>
      <c r="HRQ42" s="105"/>
      <c r="HRX42" s="56"/>
      <c r="HRY42" s="105"/>
      <c r="HSF42" s="56"/>
      <c r="HSG42" s="105"/>
      <c r="HSN42" s="56"/>
      <c r="HSO42" s="105"/>
      <c r="HSV42" s="56"/>
      <c r="HSW42" s="105"/>
      <c r="HTD42" s="56"/>
      <c r="HTE42" s="105"/>
      <c r="HTL42" s="56"/>
      <c r="HTM42" s="105"/>
      <c r="HTT42" s="56"/>
      <c r="HTU42" s="105"/>
      <c r="HUB42" s="56"/>
      <c r="HUC42" s="105"/>
      <c r="HUJ42" s="56"/>
      <c r="HUK42" s="105"/>
      <c r="HUR42" s="56"/>
      <c r="HUS42" s="105"/>
      <c r="HUZ42" s="56"/>
      <c r="HVA42" s="105"/>
      <c r="HVH42" s="56"/>
      <c r="HVI42" s="105"/>
      <c r="HVP42" s="56"/>
      <c r="HVQ42" s="105"/>
      <c r="HVX42" s="56"/>
      <c r="HVY42" s="105"/>
      <c r="HWF42" s="56"/>
      <c r="HWG42" s="105"/>
      <c r="HWN42" s="56"/>
      <c r="HWO42" s="105"/>
      <c r="HWV42" s="56"/>
      <c r="HWW42" s="105"/>
      <c r="HXD42" s="56"/>
      <c r="HXE42" s="105"/>
      <c r="HXL42" s="56"/>
      <c r="HXM42" s="105"/>
      <c r="HXT42" s="56"/>
      <c r="HXU42" s="105"/>
      <c r="HYB42" s="56"/>
      <c r="HYC42" s="105"/>
      <c r="HYJ42" s="56"/>
      <c r="HYK42" s="105"/>
      <c r="HYR42" s="56"/>
      <c r="HYS42" s="105"/>
      <c r="HYZ42" s="56"/>
      <c r="HZA42" s="105"/>
      <c r="HZH42" s="56"/>
      <c r="HZI42" s="105"/>
      <c r="HZP42" s="56"/>
      <c r="HZQ42" s="105"/>
      <c r="HZX42" s="56"/>
      <c r="HZY42" s="105"/>
      <c r="IAF42" s="56"/>
      <c r="IAG42" s="105"/>
      <c r="IAN42" s="56"/>
      <c r="IAO42" s="105"/>
      <c r="IAV42" s="56"/>
      <c r="IAW42" s="105"/>
      <c r="IBD42" s="56"/>
      <c r="IBE42" s="105"/>
      <c r="IBL42" s="56"/>
      <c r="IBM42" s="105"/>
      <c r="IBT42" s="56"/>
      <c r="IBU42" s="105"/>
      <c r="ICB42" s="56"/>
      <c r="ICC42" s="105"/>
      <c r="ICJ42" s="56"/>
      <c r="ICK42" s="105"/>
      <c r="ICR42" s="56"/>
      <c r="ICS42" s="105"/>
      <c r="ICZ42" s="56"/>
      <c r="IDA42" s="105"/>
      <c r="IDH42" s="56"/>
      <c r="IDI42" s="105"/>
      <c r="IDP42" s="56"/>
      <c r="IDQ42" s="105"/>
      <c r="IDX42" s="56"/>
      <c r="IDY42" s="105"/>
      <c r="IEF42" s="56"/>
      <c r="IEG42" s="105"/>
      <c r="IEN42" s="56"/>
      <c r="IEO42" s="105"/>
      <c r="IEV42" s="56"/>
      <c r="IEW42" s="105"/>
      <c r="IFD42" s="56"/>
      <c r="IFE42" s="105"/>
      <c r="IFL42" s="56"/>
      <c r="IFM42" s="105"/>
      <c r="IFT42" s="56"/>
      <c r="IFU42" s="105"/>
      <c r="IGB42" s="56"/>
      <c r="IGC42" s="105"/>
      <c r="IGJ42" s="56"/>
      <c r="IGK42" s="105"/>
      <c r="IGR42" s="56"/>
      <c r="IGS42" s="105"/>
      <c r="IGZ42" s="56"/>
      <c r="IHA42" s="105"/>
      <c r="IHH42" s="56"/>
      <c r="IHI42" s="105"/>
      <c r="IHP42" s="56"/>
      <c r="IHQ42" s="105"/>
      <c r="IHX42" s="56"/>
      <c r="IHY42" s="105"/>
      <c r="IIF42" s="56"/>
      <c r="IIG42" s="105"/>
      <c r="IIN42" s="56"/>
      <c r="IIO42" s="105"/>
      <c r="IIV42" s="56"/>
      <c r="IIW42" s="105"/>
      <c r="IJD42" s="56"/>
      <c r="IJE42" s="105"/>
      <c r="IJL42" s="56"/>
      <c r="IJM42" s="105"/>
      <c r="IJT42" s="56"/>
      <c r="IJU42" s="105"/>
      <c r="IKB42" s="56"/>
      <c r="IKC42" s="105"/>
      <c r="IKJ42" s="56"/>
      <c r="IKK42" s="105"/>
      <c r="IKR42" s="56"/>
      <c r="IKS42" s="105"/>
      <c r="IKZ42" s="56"/>
      <c r="ILA42" s="105"/>
      <c r="ILH42" s="56"/>
      <c r="ILI42" s="105"/>
      <c r="ILP42" s="56"/>
      <c r="ILQ42" s="105"/>
      <c r="ILX42" s="56"/>
      <c r="ILY42" s="105"/>
      <c r="IMF42" s="56"/>
      <c r="IMG42" s="105"/>
      <c r="IMN42" s="56"/>
      <c r="IMO42" s="105"/>
      <c r="IMV42" s="56"/>
      <c r="IMW42" s="105"/>
      <c r="IND42" s="56"/>
      <c r="INE42" s="105"/>
      <c r="INL42" s="56"/>
      <c r="INM42" s="105"/>
      <c r="INT42" s="56"/>
      <c r="INU42" s="105"/>
      <c r="IOB42" s="56"/>
      <c r="IOC42" s="105"/>
      <c r="IOJ42" s="56"/>
      <c r="IOK42" s="105"/>
      <c r="IOR42" s="56"/>
      <c r="IOS42" s="105"/>
      <c r="IOZ42" s="56"/>
      <c r="IPA42" s="105"/>
      <c r="IPH42" s="56"/>
      <c r="IPI42" s="105"/>
      <c r="IPP42" s="56"/>
      <c r="IPQ42" s="105"/>
      <c r="IPX42" s="56"/>
      <c r="IPY42" s="105"/>
      <c r="IQF42" s="56"/>
      <c r="IQG42" s="105"/>
      <c r="IQN42" s="56"/>
      <c r="IQO42" s="105"/>
      <c r="IQV42" s="56"/>
      <c r="IQW42" s="105"/>
      <c r="IRD42" s="56"/>
      <c r="IRE42" s="105"/>
      <c r="IRL42" s="56"/>
      <c r="IRM42" s="105"/>
      <c r="IRT42" s="56"/>
      <c r="IRU42" s="105"/>
      <c r="ISB42" s="56"/>
      <c r="ISC42" s="105"/>
      <c r="ISJ42" s="56"/>
      <c r="ISK42" s="105"/>
      <c r="ISR42" s="56"/>
      <c r="ISS42" s="105"/>
      <c r="ISZ42" s="56"/>
      <c r="ITA42" s="105"/>
      <c r="ITH42" s="56"/>
      <c r="ITI42" s="105"/>
      <c r="ITP42" s="56"/>
      <c r="ITQ42" s="105"/>
      <c r="ITX42" s="56"/>
      <c r="ITY42" s="105"/>
      <c r="IUF42" s="56"/>
      <c r="IUG42" s="105"/>
      <c r="IUN42" s="56"/>
      <c r="IUO42" s="105"/>
      <c r="IUV42" s="56"/>
      <c r="IUW42" s="105"/>
      <c r="IVD42" s="56"/>
      <c r="IVE42" s="105"/>
      <c r="IVL42" s="56"/>
      <c r="IVM42" s="105"/>
      <c r="IVT42" s="56"/>
      <c r="IVU42" s="105"/>
      <c r="IWB42" s="56"/>
      <c r="IWC42" s="105"/>
      <c r="IWJ42" s="56"/>
      <c r="IWK42" s="105"/>
      <c r="IWR42" s="56"/>
      <c r="IWS42" s="105"/>
      <c r="IWZ42" s="56"/>
      <c r="IXA42" s="105"/>
      <c r="IXH42" s="56"/>
      <c r="IXI42" s="105"/>
      <c r="IXP42" s="56"/>
      <c r="IXQ42" s="105"/>
      <c r="IXX42" s="56"/>
      <c r="IXY42" s="105"/>
      <c r="IYF42" s="56"/>
      <c r="IYG42" s="105"/>
      <c r="IYN42" s="56"/>
      <c r="IYO42" s="105"/>
      <c r="IYV42" s="56"/>
      <c r="IYW42" s="105"/>
      <c r="IZD42" s="56"/>
      <c r="IZE42" s="105"/>
      <c r="IZL42" s="56"/>
      <c r="IZM42" s="105"/>
      <c r="IZT42" s="56"/>
      <c r="IZU42" s="105"/>
      <c r="JAB42" s="56"/>
      <c r="JAC42" s="105"/>
      <c r="JAJ42" s="56"/>
      <c r="JAK42" s="105"/>
      <c r="JAR42" s="56"/>
      <c r="JAS42" s="105"/>
      <c r="JAZ42" s="56"/>
      <c r="JBA42" s="105"/>
      <c r="JBH42" s="56"/>
      <c r="JBI42" s="105"/>
      <c r="JBP42" s="56"/>
      <c r="JBQ42" s="105"/>
      <c r="JBX42" s="56"/>
      <c r="JBY42" s="105"/>
      <c r="JCF42" s="56"/>
      <c r="JCG42" s="105"/>
      <c r="JCN42" s="56"/>
      <c r="JCO42" s="105"/>
      <c r="JCV42" s="56"/>
      <c r="JCW42" s="105"/>
      <c r="JDD42" s="56"/>
      <c r="JDE42" s="105"/>
      <c r="JDL42" s="56"/>
      <c r="JDM42" s="105"/>
      <c r="JDT42" s="56"/>
      <c r="JDU42" s="105"/>
      <c r="JEB42" s="56"/>
      <c r="JEC42" s="105"/>
      <c r="JEJ42" s="56"/>
      <c r="JEK42" s="105"/>
      <c r="JER42" s="56"/>
      <c r="JES42" s="105"/>
      <c r="JEZ42" s="56"/>
      <c r="JFA42" s="105"/>
      <c r="JFH42" s="56"/>
      <c r="JFI42" s="105"/>
      <c r="JFP42" s="56"/>
      <c r="JFQ42" s="105"/>
      <c r="JFX42" s="56"/>
      <c r="JFY42" s="105"/>
      <c r="JGF42" s="56"/>
      <c r="JGG42" s="105"/>
      <c r="JGN42" s="56"/>
      <c r="JGO42" s="105"/>
      <c r="JGV42" s="56"/>
      <c r="JGW42" s="105"/>
      <c r="JHD42" s="56"/>
      <c r="JHE42" s="105"/>
      <c r="JHL42" s="56"/>
      <c r="JHM42" s="105"/>
      <c r="JHT42" s="56"/>
      <c r="JHU42" s="105"/>
      <c r="JIB42" s="56"/>
      <c r="JIC42" s="105"/>
      <c r="JIJ42" s="56"/>
      <c r="JIK42" s="105"/>
      <c r="JIR42" s="56"/>
      <c r="JIS42" s="105"/>
      <c r="JIZ42" s="56"/>
      <c r="JJA42" s="105"/>
      <c r="JJH42" s="56"/>
      <c r="JJI42" s="105"/>
      <c r="JJP42" s="56"/>
      <c r="JJQ42" s="105"/>
      <c r="JJX42" s="56"/>
      <c r="JJY42" s="105"/>
      <c r="JKF42" s="56"/>
      <c r="JKG42" s="105"/>
      <c r="JKN42" s="56"/>
      <c r="JKO42" s="105"/>
      <c r="JKV42" s="56"/>
      <c r="JKW42" s="105"/>
      <c r="JLD42" s="56"/>
      <c r="JLE42" s="105"/>
      <c r="JLL42" s="56"/>
      <c r="JLM42" s="105"/>
      <c r="JLT42" s="56"/>
      <c r="JLU42" s="105"/>
      <c r="JMB42" s="56"/>
      <c r="JMC42" s="105"/>
      <c r="JMJ42" s="56"/>
      <c r="JMK42" s="105"/>
      <c r="JMR42" s="56"/>
      <c r="JMS42" s="105"/>
      <c r="JMZ42" s="56"/>
      <c r="JNA42" s="105"/>
      <c r="JNH42" s="56"/>
      <c r="JNI42" s="105"/>
      <c r="JNP42" s="56"/>
      <c r="JNQ42" s="105"/>
      <c r="JNX42" s="56"/>
      <c r="JNY42" s="105"/>
      <c r="JOF42" s="56"/>
      <c r="JOG42" s="105"/>
      <c r="JON42" s="56"/>
      <c r="JOO42" s="105"/>
      <c r="JOV42" s="56"/>
      <c r="JOW42" s="105"/>
      <c r="JPD42" s="56"/>
      <c r="JPE42" s="105"/>
      <c r="JPL42" s="56"/>
      <c r="JPM42" s="105"/>
      <c r="JPT42" s="56"/>
      <c r="JPU42" s="105"/>
      <c r="JQB42" s="56"/>
      <c r="JQC42" s="105"/>
      <c r="JQJ42" s="56"/>
      <c r="JQK42" s="105"/>
      <c r="JQR42" s="56"/>
      <c r="JQS42" s="105"/>
      <c r="JQZ42" s="56"/>
      <c r="JRA42" s="105"/>
      <c r="JRH42" s="56"/>
      <c r="JRI42" s="105"/>
      <c r="JRP42" s="56"/>
      <c r="JRQ42" s="105"/>
      <c r="JRX42" s="56"/>
      <c r="JRY42" s="105"/>
      <c r="JSF42" s="56"/>
      <c r="JSG42" s="105"/>
      <c r="JSN42" s="56"/>
      <c r="JSO42" s="105"/>
      <c r="JSV42" s="56"/>
      <c r="JSW42" s="105"/>
      <c r="JTD42" s="56"/>
      <c r="JTE42" s="105"/>
      <c r="JTL42" s="56"/>
      <c r="JTM42" s="105"/>
      <c r="JTT42" s="56"/>
      <c r="JTU42" s="105"/>
      <c r="JUB42" s="56"/>
      <c r="JUC42" s="105"/>
      <c r="JUJ42" s="56"/>
      <c r="JUK42" s="105"/>
      <c r="JUR42" s="56"/>
      <c r="JUS42" s="105"/>
      <c r="JUZ42" s="56"/>
      <c r="JVA42" s="105"/>
      <c r="JVH42" s="56"/>
      <c r="JVI42" s="105"/>
      <c r="JVP42" s="56"/>
      <c r="JVQ42" s="105"/>
      <c r="JVX42" s="56"/>
      <c r="JVY42" s="105"/>
      <c r="JWF42" s="56"/>
      <c r="JWG42" s="105"/>
      <c r="JWN42" s="56"/>
      <c r="JWO42" s="105"/>
      <c r="JWV42" s="56"/>
      <c r="JWW42" s="105"/>
      <c r="JXD42" s="56"/>
      <c r="JXE42" s="105"/>
      <c r="JXL42" s="56"/>
      <c r="JXM42" s="105"/>
      <c r="JXT42" s="56"/>
      <c r="JXU42" s="105"/>
      <c r="JYB42" s="56"/>
      <c r="JYC42" s="105"/>
      <c r="JYJ42" s="56"/>
      <c r="JYK42" s="105"/>
      <c r="JYR42" s="56"/>
      <c r="JYS42" s="105"/>
      <c r="JYZ42" s="56"/>
      <c r="JZA42" s="105"/>
      <c r="JZH42" s="56"/>
      <c r="JZI42" s="105"/>
      <c r="JZP42" s="56"/>
      <c r="JZQ42" s="105"/>
      <c r="JZX42" s="56"/>
      <c r="JZY42" s="105"/>
      <c r="KAF42" s="56"/>
      <c r="KAG42" s="105"/>
      <c r="KAN42" s="56"/>
      <c r="KAO42" s="105"/>
      <c r="KAV42" s="56"/>
      <c r="KAW42" s="105"/>
      <c r="KBD42" s="56"/>
      <c r="KBE42" s="105"/>
      <c r="KBL42" s="56"/>
      <c r="KBM42" s="105"/>
      <c r="KBT42" s="56"/>
      <c r="KBU42" s="105"/>
      <c r="KCB42" s="56"/>
      <c r="KCC42" s="105"/>
      <c r="KCJ42" s="56"/>
      <c r="KCK42" s="105"/>
      <c r="KCR42" s="56"/>
      <c r="KCS42" s="105"/>
      <c r="KCZ42" s="56"/>
      <c r="KDA42" s="105"/>
      <c r="KDH42" s="56"/>
      <c r="KDI42" s="105"/>
      <c r="KDP42" s="56"/>
      <c r="KDQ42" s="105"/>
      <c r="KDX42" s="56"/>
      <c r="KDY42" s="105"/>
      <c r="KEF42" s="56"/>
      <c r="KEG42" s="105"/>
      <c r="KEN42" s="56"/>
      <c r="KEO42" s="105"/>
      <c r="KEV42" s="56"/>
      <c r="KEW42" s="105"/>
      <c r="KFD42" s="56"/>
      <c r="KFE42" s="105"/>
      <c r="KFL42" s="56"/>
      <c r="KFM42" s="105"/>
      <c r="KFT42" s="56"/>
      <c r="KFU42" s="105"/>
      <c r="KGB42" s="56"/>
      <c r="KGC42" s="105"/>
      <c r="KGJ42" s="56"/>
      <c r="KGK42" s="105"/>
      <c r="KGR42" s="56"/>
      <c r="KGS42" s="105"/>
      <c r="KGZ42" s="56"/>
      <c r="KHA42" s="105"/>
      <c r="KHH42" s="56"/>
      <c r="KHI42" s="105"/>
      <c r="KHP42" s="56"/>
      <c r="KHQ42" s="105"/>
      <c r="KHX42" s="56"/>
      <c r="KHY42" s="105"/>
      <c r="KIF42" s="56"/>
      <c r="KIG42" s="105"/>
      <c r="KIN42" s="56"/>
      <c r="KIO42" s="105"/>
      <c r="KIV42" s="56"/>
      <c r="KIW42" s="105"/>
      <c r="KJD42" s="56"/>
      <c r="KJE42" s="105"/>
      <c r="KJL42" s="56"/>
      <c r="KJM42" s="105"/>
      <c r="KJT42" s="56"/>
      <c r="KJU42" s="105"/>
      <c r="KKB42" s="56"/>
      <c r="KKC42" s="105"/>
      <c r="KKJ42" s="56"/>
      <c r="KKK42" s="105"/>
      <c r="KKR42" s="56"/>
      <c r="KKS42" s="105"/>
      <c r="KKZ42" s="56"/>
      <c r="KLA42" s="105"/>
      <c r="KLH42" s="56"/>
      <c r="KLI42" s="105"/>
      <c r="KLP42" s="56"/>
      <c r="KLQ42" s="105"/>
      <c r="KLX42" s="56"/>
      <c r="KLY42" s="105"/>
      <c r="KMF42" s="56"/>
      <c r="KMG42" s="105"/>
      <c r="KMN42" s="56"/>
      <c r="KMO42" s="105"/>
      <c r="KMV42" s="56"/>
      <c r="KMW42" s="105"/>
      <c r="KND42" s="56"/>
      <c r="KNE42" s="105"/>
      <c r="KNL42" s="56"/>
      <c r="KNM42" s="105"/>
      <c r="KNT42" s="56"/>
      <c r="KNU42" s="105"/>
      <c r="KOB42" s="56"/>
      <c r="KOC42" s="105"/>
      <c r="KOJ42" s="56"/>
      <c r="KOK42" s="105"/>
      <c r="KOR42" s="56"/>
      <c r="KOS42" s="105"/>
      <c r="KOZ42" s="56"/>
      <c r="KPA42" s="105"/>
      <c r="KPH42" s="56"/>
      <c r="KPI42" s="105"/>
      <c r="KPP42" s="56"/>
      <c r="KPQ42" s="105"/>
      <c r="KPX42" s="56"/>
      <c r="KPY42" s="105"/>
      <c r="KQF42" s="56"/>
      <c r="KQG42" s="105"/>
      <c r="KQN42" s="56"/>
      <c r="KQO42" s="105"/>
      <c r="KQV42" s="56"/>
      <c r="KQW42" s="105"/>
      <c r="KRD42" s="56"/>
      <c r="KRE42" s="105"/>
      <c r="KRL42" s="56"/>
      <c r="KRM42" s="105"/>
      <c r="KRT42" s="56"/>
      <c r="KRU42" s="105"/>
      <c r="KSB42" s="56"/>
      <c r="KSC42" s="105"/>
      <c r="KSJ42" s="56"/>
      <c r="KSK42" s="105"/>
      <c r="KSR42" s="56"/>
      <c r="KSS42" s="105"/>
      <c r="KSZ42" s="56"/>
      <c r="KTA42" s="105"/>
      <c r="KTH42" s="56"/>
      <c r="KTI42" s="105"/>
      <c r="KTP42" s="56"/>
      <c r="KTQ42" s="105"/>
      <c r="KTX42" s="56"/>
      <c r="KTY42" s="105"/>
      <c r="KUF42" s="56"/>
      <c r="KUG42" s="105"/>
      <c r="KUN42" s="56"/>
      <c r="KUO42" s="105"/>
      <c r="KUV42" s="56"/>
      <c r="KUW42" s="105"/>
      <c r="KVD42" s="56"/>
      <c r="KVE42" s="105"/>
      <c r="KVL42" s="56"/>
      <c r="KVM42" s="105"/>
      <c r="KVT42" s="56"/>
      <c r="KVU42" s="105"/>
      <c r="KWB42" s="56"/>
      <c r="KWC42" s="105"/>
      <c r="KWJ42" s="56"/>
      <c r="KWK42" s="105"/>
      <c r="KWR42" s="56"/>
      <c r="KWS42" s="105"/>
      <c r="KWZ42" s="56"/>
      <c r="KXA42" s="105"/>
      <c r="KXH42" s="56"/>
      <c r="KXI42" s="105"/>
      <c r="KXP42" s="56"/>
      <c r="KXQ42" s="105"/>
      <c r="KXX42" s="56"/>
      <c r="KXY42" s="105"/>
      <c r="KYF42" s="56"/>
      <c r="KYG42" s="105"/>
      <c r="KYN42" s="56"/>
      <c r="KYO42" s="105"/>
      <c r="KYV42" s="56"/>
      <c r="KYW42" s="105"/>
      <c r="KZD42" s="56"/>
      <c r="KZE42" s="105"/>
      <c r="KZL42" s="56"/>
      <c r="KZM42" s="105"/>
      <c r="KZT42" s="56"/>
      <c r="KZU42" s="105"/>
      <c r="LAB42" s="56"/>
      <c r="LAC42" s="105"/>
      <c r="LAJ42" s="56"/>
      <c r="LAK42" s="105"/>
      <c r="LAR42" s="56"/>
      <c r="LAS42" s="105"/>
      <c r="LAZ42" s="56"/>
      <c r="LBA42" s="105"/>
      <c r="LBH42" s="56"/>
      <c r="LBI42" s="105"/>
      <c r="LBP42" s="56"/>
      <c r="LBQ42" s="105"/>
      <c r="LBX42" s="56"/>
      <c r="LBY42" s="105"/>
      <c r="LCF42" s="56"/>
      <c r="LCG42" s="105"/>
      <c r="LCN42" s="56"/>
      <c r="LCO42" s="105"/>
      <c r="LCV42" s="56"/>
      <c r="LCW42" s="105"/>
      <c r="LDD42" s="56"/>
      <c r="LDE42" s="105"/>
      <c r="LDL42" s="56"/>
      <c r="LDM42" s="105"/>
      <c r="LDT42" s="56"/>
      <c r="LDU42" s="105"/>
      <c r="LEB42" s="56"/>
      <c r="LEC42" s="105"/>
      <c r="LEJ42" s="56"/>
      <c r="LEK42" s="105"/>
      <c r="LER42" s="56"/>
      <c r="LES42" s="105"/>
      <c r="LEZ42" s="56"/>
      <c r="LFA42" s="105"/>
      <c r="LFH42" s="56"/>
      <c r="LFI42" s="105"/>
      <c r="LFP42" s="56"/>
      <c r="LFQ42" s="105"/>
      <c r="LFX42" s="56"/>
      <c r="LFY42" s="105"/>
      <c r="LGF42" s="56"/>
      <c r="LGG42" s="105"/>
      <c r="LGN42" s="56"/>
      <c r="LGO42" s="105"/>
      <c r="LGV42" s="56"/>
      <c r="LGW42" s="105"/>
      <c r="LHD42" s="56"/>
      <c r="LHE42" s="105"/>
      <c r="LHL42" s="56"/>
      <c r="LHM42" s="105"/>
      <c r="LHT42" s="56"/>
      <c r="LHU42" s="105"/>
      <c r="LIB42" s="56"/>
      <c r="LIC42" s="105"/>
      <c r="LIJ42" s="56"/>
      <c r="LIK42" s="105"/>
      <c r="LIR42" s="56"/>
      <c r="LIS42" s="105"/>
      <c r="LIZ42" s="56"/>
      <c r="LJA42" s="105"/>
      <c r="LJH42" s="56"/>
      <c r="LJI42" s="105"/>
      <c r="LJP42" s="56"/>
      <c r="LJQ42" s="105"/>
      <c r="LJX42" s="56"/>
      <c r="LJY42" s="105"/>
      <c r="LKF42" s="56"/>
      <c r="LKG42" s="105"/>
      <c r="LKN42" s="56"/>
      <c r="LKO42" s="105"/>
      <c r="LKV42" s="56"/>
      <c r="LKW42" s="105"/>
      <c r="LLD42" s="56"/>
      <c r="LLE42" s="105"/>
      <c r="LLL42" s="56"/>
      <c r="LLM42" s="105"/>
      <c r="LLT42" s="56"/>
      <c r="LLU42" s="105"/>
      <c r="LMB42" s="56"/>
      <c r="LMC42" s="105"/>
      <c r="LMJ42" s="56"/>
      <c r="LMK42" s="105"/>
      <c r="LMR42" s="56"/>
      <c r="LMS42" s="105"/>
      <c r="LMZ42" s="56"/>
      <c r="LNA42" s="105"/>
      <c r="LNH42" s="56"/>
      <c r="LNI42" s="105"/>
      <c r="LNP42" s="56"/>
      <c r="LNQ42" s="105"/>
      <c r="LNX42" s="56"/>
      <c r="LNY42" s="105"/>
      <c r="LOF42" s="56"/>
      <c r="LOG42" s="105"/>
      <c r="LON42" s="56"/>
      <c r="LOO42" s="105"/>
      <c r="LOV42" s="56"/>
      <c r="LOW42" s="105"/>
      <c r="LPD42" s="56"/>
      <c r="LPE42" s="105"/>
      <c r="LPL42" s="56"/>
      <c r="LPM42" s="105"/>
      <c r="LPT42" s="56"/>
      <c r="LPU42" s="105"/>
      <c r="LQB42" s="56"/>
      <c r="LQC42" s="105"/>
      <c r="LQJ42" s="56"/>
      <c r="LQK42" s="105"/>
      <c r="LQR42" s="56"/>
      <c r="LQS42" s="105"/>
      <c r="LQZ42" s="56"/>
      <c r="LRA42" s="105"/>
      <c r="LRH42" s="56"/>
      <c r="LRI42" s="105"/>
      <c r="LRP42" s="56"/>
      <c r="LRQ42" s="105"/>
      <c r="LRX42" s="56"/>
      <c r="LRY42" s="105"/>
      <c r="LSF42" s="56"/>
      <c r="LSG42" s="105"/>
      <c r="LSN42" s="56"/>
      <c r="LSO42" s="105"/>
      <c r="LSV42" s="56"/>
      <c r="LSW42" s="105"/>
      <c r="LTD42" s="56"/>
      <c r="LTE42" s="105"/>
      <c r="LTL42" s="56"/>
      <c r="LTM42" s="105"/>
      <c r="LTT42" s="56"/>
      <c r="LTU42" s="105"/>
      <c r="LUB42" s="56"/>
      <c r="LUC42" s="105"/>
      <c r="LUJ42" s="56"/>
      <c r="LUK42" s="105"/>
      <c r="LUR42" s="56"/>
      <c r="LUS42" s="105"/>
      <c r="LUZ42" s="56"/>
      <c r="LVA42" s="105"/>
      <c r="LVH42" s="56"/>
      <c r="LVI42" s="105"/>
      <c r="LVP42" s="56"/>
      <c r="LVQ42" s="105"/>
      <c r="LVX42" s="56"/>
      <c r="LVY42" s="105"/>
      <c r="LWF42" s="56"/>
      <c r="LWG42" s="105"/>
      <c r="LWN42" s="56"/>
      <c r="LWO42" s="105"/>
      <c r="LWV42" s="56"/>
      <c r="LWW42" s="105"/>
      <c r="LXD42" s="56"/>
      <c r="LXE42" s="105"/>
      <c r="LXL42" s="56"/>
      <c r="LXM42" s="105"/>
      <c r="LXT42" s="56"/>
      <c r="LXU42" s="105"/>
      <c r="LYB42" s="56"/>
      <c r="LYC42" s="105"/>
      <c r="LYJ42" s="56"/>
      <c r="LYK42" s="105"/>
      <c r="LYR42" s="56"/>
      <c r="LYS42" s="105"/>
      <c r="LYZ42" s="56"/>
      <c r="LZA42" s="105"/>
      <c r="LZH42" s="56"/>
      <c r="LZI42" s="105"/>
      <c r="LZP42" s="56"/>
      <c r="LZQ42" s="105"/>
      <c r="LZX42" s="56"/>
      <c r="LZY42" s="105"/>
      <c r="MAF42" s="56"/>
      <c r="MAG42" s="105"/>
      <c r="MAN42" s="56"/>
      <c r="MAO42" s="105"/>
      <c r="MAV42" s="56"/>
      <c r="MAW42" s="105"/>
      <c r="MBD42" s="56"/>
      <c r="MBE42" s="105"/>
      <c r="MBL42" s="56"/>
      <c r="MBM42" s="105"/>
      <c r="MBT42" s="56"/>
      <c r="MBU42" s="105"/>
      <c r="MCB42" s="56"/>
      <c r="MCC42" s="105"/>
      <c r="MCJ42" s="56"/>
      <c r="MCK42" s="105"/>
      <c r="MCR42" s="56"/>
      <c r="MCS42" s="105"/>
      <c r="MCZ42" s="56"/>
      <c r="MDA42" s="105"/>
      <c r="MDH42" s="56"/>
      <c r="MDI42" s="105"/>
      <c r="MDP42" s="56"/>
      <c r="MDQ42" s="105"/>
      <c r="MDX42" s="56"/>
      <c r="MDY42" s="105"/>
      <c r="MEF42" s="56"/>
      <c r="MEG42" s="105"/>
      <c r="MEN42" s="56"/>
      <c r="MEO42" s="105"/>
      <c r="MEV42" s="56"/>
      <c r="MEW42" s="105"/>
      <c r="MFD42" s="56"/>
      <c r="MFE42" s="105"/>
      <c r="MFL42" s="56"/>
      <c r="MFM42" s="105"/>
      <c r="MFT42" s="56"/>
      <c r="MFU42" s="105"/>
      <c r="MGB42" s="56"/>
      <c r="MGC42" s="105"/>
      <c r="MGJ42" s="56"/>
      <c r="MGK42" s="105"/>
      <c r="MGR42" s="56"/>
      <c r="MGS42" s="105"/>
      <c r="MGZ42" s="56"/>
      <c r="MHA42" s="105"/>
      <c r="MHH42" s="56"/>
      <c r="MHI42" s="105"/>
      <c r="MHP42" s="56"/>
      <c r="MHQ42" s="105"/>
      <c r="MHX42" s="56"/>
      <c r="MHY42" s="105"/>
      <c r="MIF42" s="56"/>
      <c r="MIG42" s="105"/>
      <c r="MIN42" s="56"/>
      <c r="MIO42" s="105"/>
      <c r="MIV42" s="56"/>
      <c r="MIW42" s="105"/>
      <c r="MJD42" s="56"/>
      <c r="MJE42" s="105"/>
      <c r="MJL42" s="56"/>
      <c r="MJM42" s="105"/>
      <c r="MJT42" s="56"/>
      <c r="MJU42" s="105"/>
      <c r="MKB42" s="56"/>
      <c r="MKC42" s="105"/>
      <c r="MKJ42" s="56"/>
      <c r="MKK42" s="105"/>
      <c r="MKR42" s="56"/>
      <c r="MKS42" s="105"/>
      <c r="MKZ42" s="56"/>
      <c r="MLA42" s="105"/>
      <c r="MLH42" s="56"/>
      <c r="MLI42" s="105"/>
      <c r="MLP42" s="56"/>
      <c r="MLQ42" s="105"/>
      <c r="MLX42" s="56"/>
      <c r="MLY42" s="105"/>
      <c r="MMF42" s="56"/>
      <c r="MMG42" s="105"/>
      <c r="MMN42" s="56"/>
      <c r="MMO42" s="105"/>
      <c r="MMV42" s="56"/>
      <c r="MMW42" s="105"/>
      <c r="MND42" s="56"/>
      <c r="MNE42" s="105"/>
      <c r="MNL42" s="56"/>
      <c r="MNM42" s="105"/>
      <c r="MNT42" s="56"/>
      <c r="MNU42" s="105"/>
      <c r="MOB42" s="56"/>
      <c r="MOC42" s="105"/>
      <c r="MOJ42" s="56"/>
      <c r="MOK42" s="105"/>
      <c r="MOR42" s="56"/>
      <c r="MOS42" s="105"/>
      <c r="MOZ42" s="56"/>
      <c r="MPA42" s="105"/>
      <c r="MPH42" s="56"/>
      <c r="MPI42" s="105"/>
      <c r="MPP42" s="56"/>
      <c r="MPQ42" s="105"/>
      <c r="MPX42" s="56"/>
      <c r="MPY42" s="105"/>
      <c r="MQF42" s="56"/>
      <c r="MQG42" s="105"/>
      <c r="MQN42" s="56"/>
      <c r="MQO42" s="105"/>
      <c r="MQV42" s="56"/>
      <c r="MQW42" s="105"/>
      <c r="MRD42" s="56"/>
      <c r="MRE42" s="105"/>
      <c r="MRL42" s="56"/>
      <c r="MRM42" s="105"/>
      <c r="MRT42" s="56"/>
      <c r="MRU42" s="105"/>
      <c r="MSB42" s="56"/>
      <c r="MSC42" s="105"/>
      <c r="MSJ42" s="56"/>
      <c r="MSK42" s="105"/>
      <c r="MSR42" s="56"/>
      <c r="MSS42" s="105"/>
      <c r="MSZ42" s="56"/>
      <c r="MTA42" s="105"/>
      <c r="MTH42" s="56"/>
      <c r="MTI42" s="105"/>
      <c r="MTP42" s="56"/>
      <c r="MTQ42" s="105"/>
      <c r="MTX42" s="56"/>
      <c r="MTY42" s="105"/>
      <c r="MUF42" s="56"/>
      <c r="MUG42" s="105"/>
      <c r="MUN42" s="56"/>
      <c r="MUO42" s="105"/>
      <c r="MUV42" s="56"/>
      <c r="MUW42" s="105"/>
      <c r="MVD42" s="56"/>
      <c r="MVE42" s="105"/>
      <c r="MVL42" s="56"/>
      <c r="MVM42" s="105"/>
      <c r="MVT42" s="56"/>
      <c r="MVU42" s="105"/>
      <c r="MWB42" s="56"/>
      <c r="MWC42" s="105"/>
      <c r="MWJ42" s="56"/>
      <c r="MWK42" s="105"/>
      <c r="MWR42" s="56"/>
      <c r="MWS42" s="105"/>
      <c r="MWZ42" s="56"/>
      <c r="MXA42" s="105"/>
      <c r="MXH42" s="56"/>
      <c r="MXI42" s="105"/>
      <c r="MXP42" s="56"/>
      <c r="MXQ42" s="105"/>
      <c r="MXX42" s="56"/>
      <c r="MXY42" s="105"/>
      <c r="MYF42" s="56"/>
      <c r="MYG42" s="105"/>
      <c r="MYN42" s="56"/>
      <c r="MYO42" s="105"/>
      <c r="MYV42" s="56"/>
      <c r="MYW42" s="105"/>
      <c r="MZD42" s="56"/>
      <c r="MZE42" s="105"/>
      <c r="MZL42" s="56"/>
      <c r="MZM42" s="105"/>
      <c r="MZT42" s="56"/>
      <c r="MZU42" s="105"/>
      <c r="NAB42" s="56"/>
      <c r="NAC42" s="105"/>
      <c r="NAJ42" s="56"/>
      <c r="NAK42" s="105"/>
      <c r="NAR42" s="56"/>
      <c r="NAS42" s="105"/>
      <c r="NAZ42" s="56"/>
      <c r="NBA42" s="105"/>
      <c r="NBH42" s="56"/>
      <c r="NBI42" s="105"/>
      <c r="NBP42" s="56"/>
      <c r="NBQ42" s="105"/>
      <c r="NBX42" s="56"/>
      <c r="NBY42" s="105"/>
      <c r="NCF42" s="56"/>
      <c r="NCG42" s="105"/>
      <c r="NCN42" s="56"/>
      <c r="NCO42" s="105"/>
      <c r="NCV42" s="56"/>
      <c r="NCW42" s="105"/>
      <c r="NDD42" s="56"/>
      <c r="NDE42" s="105"/>
      <c r="NDL42" s="56"/>
      <c r="NDM42" s="105"/>
      <c r="NDT42" s="56"/>
      <c r="NDU42" s="105"/>
      <c r="NEB42" s="56"/>
      <c r="NEC42" s="105"/>
      <c r="NEJ42" s="56"/>
      <c r="NEK42" s="105"/>
      <c r="NER42" s="56"/>
      <c r="NES42" s="105"/>
      <c r="NEZ42" s="56"/>
      <c r="NFA42" s="105"/>
      <c r="NFH42" s="56"/>
      <c r="NFI42" s="105"/>
      <c r="NFP42" s="56"/>
      <c r="NFQ42" s="105"/>
      <c r="NFX42" s="56"/>
      <c r="NFY42" s="105"/>
      <c r="NGF42" s="56"/>
      <c r="NGG42" s="105"/>
      <c r="NGN42" s="56"/>
      <c r="NGO42" s="105"/>
      <c r="NGV42" s="56"/>
      <c r="NGW42" s="105"/>
      <c r="NHD42" s="56"/>
      <c r="NHE42" s="105"/>
      <c r="NHL42" s="56"/>
      <c r="NHM42" s="105"/>
      <c r="NHT42" s="56"/>
      <c r="NHU42" s="105"/>
      <c r="NIB42" s="56"/>
      <c r="NIC42" s="105"/>
      <c r="NIJ42" s="56"/>
      <c r="NIK42" s="105"/>
      <c r="NIR42" s="56"/>
      <c r="NIS42" s="105"/>
      <c r="NIZ42" s="56"/>
      <c r="NJA42" s="105"/>
      <c r="NJH42" s="56"/>
      <c r="NJI42" s="105"/>
      <c r="NJP42" s="56"/>
      <c r="NJQ42" s="105"/>
      <c r="NJX42" s="56"/>
      <c r="NJY42" s="105"/>
      <c r="NKF42" s="56"/>
      <c r="NKG42" s="105"/>
      <c r="NKN42" s="56"/>
      <c r="NKO42" s="105"/>
      <c r="NKV42" s="56"/>
      <c r="NKW42" s="105"/>
      <c r="NLD42" s="56"/>
      <c r="NLE42" s="105"/>
      <c r="NLL42" s="56"/>
      <c r="NLM42" s="105"/>
      <c r="NLT42" s="56"/>
      <c r="NLU42" s="105"/>
      <c r="NMB42" s="56"/>
      <c r="NMC42" s="105"/>
      <c r="NMJ42" s="56"/>
      <c r="NMK42" s="105"/>
      <c r="NMR42" s="56"/>
      <c r="NMS42" s="105"/>
      <c r="NMZ42" s="56"/>
      <c r="NNA42" s="105"/>
      <c r="NNH42" s="56"/>
      <c r="NNI42" s="105"/>
      <c r="NNP42" s="56"/>
      <c r="NNQ42" s="105"/>
      <c r="NNX42" s="56"/>
      <c r="NNY42" s="105"/>
      <c r="NOF42" s="56"/>
      <c r="NOG42" s="105"/>
      <c r="NON42" s="56"/>
      <c r="NOO42" s="105"/>
      <c r="NOV42" s="56"/>
      <c r="NOW42" s="105"/>
      <c r="NPD42" s="56"/>
      <c r="NPE42" s="105"/>
      <c r="NPL42" s="56"/>
      <c r="NPM42" s="105"/>
      <c r="NPT42" s="56"/>
      <c r="NPU42" s="105"/>
      <c r="NQB42" s="56"/>
      <c r="NQC42" s="105"/>
      <c r="NQJ42" s="56"/>
      <c r="NQK42" s="105"/>
      <c r="NQR42" s="56"/>
      <c r="NQS42" s="105"/>
      <c r="NQZ42" s="56"/>
      <c r="NRA42" s="105"/>
      <c r="NRH42" s="56"/>
      <c r="NRI42" s="105"/>
      <c r="NRP42" s="56"/>
      <c r="NRQ42" s="105"/>
      <c r="NRX42" s="56"/>
      <c r="NRY42" s="105"/>
      <c r="NSF42" s="56"/>
      <c r="NSG42" s="105"/>
      <c r="NSN42" s="56"/>
      <c r="NSO42" s="105"/>
      <c r="NSV42" s="56"/>
      <c r="NSW42" s="105"/>
      <c r="NTD42" s="56"/>
      <c r="NTE42" s="105"/>
      <c r="NTL42" s="56"/>
      <c r="NTM42" s="105"/>
      <c r="NTT42" s="56"/>
      <c r="NTU42" s="105"/>
      <c r="NUB42" s="56"/>
      <c r="NUC42" s="105"/>
      <c r="NUJ42" s="56"/>
      <c r="NUK42" s="105"/>
      <c r="NUR42" s="56"/>
      <c r="NUS42" s="105"/>
      <c r="NUZ42" s="56"/>
      <c r="NVA42" s="105"/>
      <c r="NVH42" s="56"/>
      <c r="NVI42" s="105"/>
      <c r="NVP42" s="56"/>
      <c r="NVQ42" s="105"/>
      <c r="NVX42" s="56"/>
      <c r="NVY42" s="105"/>
      <c r="NWF42" s="56"/>
      <c r="NWG42" s="105"/>
      <c r="NWN42" s="56"/>
      <c r="NWO42" s="105"/>
      <c r="NWV42" s="56"/>
      <c r="NWW42" s="105"/>
      <c r="NXD42" s="56"/>
      <c r="NXE42" s="105"/>
      <c r="NXL42" s="56"/>
      <c r="NXM42" s="105"/>
      <c r="NXT42" s="56"/>
      <c r="NXU42" s="105"/>
      <c r="NYB42" s="56"/>
      <c r="NYC42" s="105"/>
      <c r="NYJ42" s="56"/>
      <c r="NYK42" s="105"/>
      <c r="NYR42" s="56"/>
      <c r="NYS42" s="105"/>
      <c r="NYZ42" s="56"/>
      <c r="NZA42" s="105"/>
      <c r="NZH42" s="56"/>
      <c r="NZI42" s="105"/>
      <c r="NZP42" s="56"/>
      <c r="NZQ42" s="105"/>
      <c r="NZX42" s="56"/>
      <c r="NZY42" s="105"/>
      <c r="OAF42" s="56"/>
      <c r="OAG42" s="105"/>
      <c r="OAN42" s="56"/>
      <c r="OAO42" s="105"/>
      <c r="OAV42" s="56"/>
      <c r="OAW42" s="105"/>
      <c r="OBD42" s="56"/>
      <c r="OBE42" s="105"/>
      <c r="OBL42" s="56"/>
      <c r="OBM42" s="105"/>
      <c r="OBT42" s="56"/>
      <c r="OBU42" s="105"/>
      <c r="OCB42" s="56"/>
      <c r="OCC42" s="105"/>
      <c r="OCJ42" s="56"/>
      <c r="OCK42" s="105"/>
      <c r="OCR42" s="56"/>
      <c r="OCS42" s="105"/>
      <c r="OCZ42" s="56"/>
      <c r="ODA42" s="105"/>
      <c r="ODH42" s="56"/>
      <c r="ODI42" s="105"/>
      <c r="ODP42" s="56"/>
      <c r="ODQ42" s="105"/>
      <c r="ODX42" s="56"/>
      <c r="ODY42" s="105"/>
      <c r="OEF42" s="56"/>
      <c r="OEG42" s="105"/>
      <c r="OEN42" s="56"/>
      <c r="OEO42" s="105"/>
      <c r="OEV42" s="56"/>
      <c r="OEW42" s="105"/>
      <c r="OFD42" s="56"/>
      <c r="OFE42" s="105"/>
      <c r="OFL42" s="56"/>
      <c r="OFM42" s="105"/>
      <c r="OFT42" s="56"/>
      <c r="OFU42" s="105"/>
      <c r="OGB42" s="56"/>
      <c r="OGC42" s="105"/>
      <c r="OGJ42" s="56"/>
      <c r="OGK42" s="105"/>
      <c r="OGR42" s="56"/>
      <c r="OGS42" s="105"/>
      <c r="OGZ42" s="56"/>
      <c r="OHA42" s="105"/>
      <c r="OHH42" s="56"/>
      <c r="OHI42" s="105"/>
      <c r="OHP42" s="56"/>
      <c r="OHQ42" s="105"/>
      <c r="OHX42" s="56"/>
      <c r="OHY42" s="105"/>
      <c r="OIF42" s="56"/>
      <c r="OIG42" s="105"/>
      <c r="OIN42" s="56"/>
      <c r="OIO42" s="105"/>
      <c r="OIV42" s="56"/>
      <c r="OIW42" s="105"/>
      <c r="OJD42" s="56"/>
      <c r="OJE42" s="105"/>
      <c r="OJL42" s="56"/>
      <c r="OJM42" s="105"/>
      <c r="OJT42" s="56"/>
      <c r="OJU42" s="105"/>
      <c r="OKB42" s="56"/>
      <c r="OKC42" s="105"/>
      <c r="OKJ42" s="56"/>
      <c r="OKK42" s="105"/>
      <c r="OKR42" s="56"/>
      <c r="OKS42" s="105"/>
      <c r="OKZ42" s="56"/>
      <c r="OLA42" s="105"/>
      <c r="OLH42" s="56"/>
      <c r="OLI42" s="105"/>
      <c r="OLP42" s="56"/>
      <c r="OLQ42" s="105"/>
      <c r="OLX42" s="56"/>
      <c r="OLY42" s="105"/>
      <c r="OMF42" s="56"/>
      <c r="OMG42" s="105"/>
      <c r="OMN42" s="56"/>
      <c r="OMO42" s="105"/>
      <c r="OMV42" s="56"/>
      <c r="OMW42" s="105"/>
      <c r="OND42" s="56"/>
      <c r="ONE42" s="105"/>
      <c r="ONL42" s="56"/>
      <c r="ONM42" s="105"/>
      <c r="ONT42" s="56"/>
      <c r="ONU42" s="105"/>
      <c r="OOB42" s="56"/>
      <c r="OOC42" s="105"/>
      <c r="OOJ42" s="56"/>
      <c r="OOK42" s="105"/>
      <c r="OOR42" s="56"/>
      <c r="OOS42" s="105"/>
      <c r="OOZ42" s="56"/>
      <c r="OPA42" s="105"/>
      <c r="OPH42" s="56"/>
      <c r="OPI42" s="105"/>
      <c r="OPP42" s="56"/>
      <c r="OPQ42" s="105"/>
      <c r="OPX42" s="56"/>
      <c r="OPY42" s="105"/>
      <c r="OQF42" s="56"/>
      <c r="OQG42" s="105"/>
      <c r="OQN42" s="56"/>
      <c r="OQO42" s="105"/>
      <c r="OQV42" s="56"/>
      <c r="OQW42" s="105"/>
      <c r="ORD42" s="56"/>
      <c r="ORE42" s="105"/>
      <c r="ORL42" s="56"/>
      <c r="ORM42" s="105"/>
      <c r="ORT42" s="56"/>
      <c r="ORU42" s="105"/>
      <c r="OSB42" s="56"/>
      <c r="OSC42" s="105"/>
      <c r="OSJ42" s="56"/>
      <c r="OSK42" s="105"/>
      <c r="OSR42" s="56"/>
      <c r="OSS42" s="105"/>
      <c r="OSZ42" s="56"/>
      <c r="OTA42" s="105"/>
      <c r="OTH42" s="56"/>
      <c r="OTI42" s="105"/>
      <c r="OTP42" s="56"/>
      <c r="OTQ42" s="105"/>
      <c r="OTX42" s="56"/>
      <c r="OTY42" s="105"/>
      <c r="OUF42" s="56"/>
      <c r="OUG42" s="105"/>
      <c r="OUN42" s="56"/>
      <c r="OUO42" s="105"/>
      <c r="OUV42" s="56"/>
      <c r="OUW42" s="105"/>
      <c r="OVD42" s="56"/>
      <c r="OVE42" s="105"/>
      <c r="OVL42" s="56"/>
      <c r="OVM42" s="105"/>
      <c r="OVT42" s="56"/>
      <c r="OVU42" s="105"/>
      <c r="OWB42" s="56"/>
      <c r="OWC42" s="105"/>
      <c r="OWJ42" s="56"/>
      <c r="OWK42" s="105"/>
      <c r="OWR42" s="56"/>
      <c r="OWS42" s="105"/>
      <c r="OWZ42" s="56"/>
      <c r="OXA42" s="105"/>
      <c r="OXH42" s="56"/>
      <c r="OXI42" s="105"/>
      <c r="OXP42" s="56"/>
      <c r="OXQ42" s="105"/>
      <c r="OXX42" s="56"/>
      <c r="OXY42" s="105"/>
      <c r="OYF42" s="56"/>
      <c r="OYG42" s="105"/>
      <c r="OYN42" s="56"/>
      <c r="OYO42" s="105"/>
      <c r="OYV42" s="56"/>
      <c r="OYW42" s="105"/>
      <c r="OZD42" s="56"/>
      <c r="OZE42" s="105"/>
      <c r="OZL42" s="56"/>
      <c r="OZM42" s="105"/>
      <c r="OZT42" s="56"/>
      <c r="OZU42" s="105"/>
      <c r="PAB42" s="56"/>
      <c r="PAC42" s="105"/>
      <c r="PAJ42" s="56"/>
      <c r="PAK42" s="105"/>
      <c r="PAR42" s="56"/>
      <c r="PAS42" s="105"/>
      <c r="PAZ42" s="56"/>
      <c r="PBA42" s="105"/>
      <c r="PBH42" s="56"/>
      <c r="PBI42" s="105"/>
      <c r="PBP42" s="56"/>
      <c r="PBQ42" s="105"/>
      <c r="PBX42" s="56"/>
      <c r="PBY42" s="105"/>
      <c r="PCF42" s="56"/>
      <c r="PCG42" s="105"/>
      <c r="PCN42" s="56"/>
      <c r="PCO42" s="105"/>
      <c r="PCV42" s="56"/>
      <c r="PCW42" s="105"/>
      <c r="PDD42" s="56"/>
      <c r="PDE42" s="105"/>
      <c r="PDL42" s="56"/>
      <c r="PDM42" s="105"/>
      <c r="PDT42" s="56"/>
      <c r="PDU42" s="105"/>
      <c r="PEB42" s="56"/>
      <c r="PEC42" s="105"/>
      <c r="PEJ42" s="56"/>
      <c r="PEK42" s="105"/>
      <c r="PER42" s="56"/>
      <c r="PES42" s="105"/>
      <c r="PEZ42" s="56"/>
      <c r="PFA42" s="105"/>
      <c r="PFH42" s="56"/>
      <c r="PFI42" s="105"/>
      <c r="PFP42" s="56"/>
      <c r="PFQ42" s="105"/>
      <c r="PFX42" s="56"/>
      <c r="PFY42" s="105"/>
      <c r="PGF42" s="56"/>
      <c r="PGG42" s="105"/>
      <c r="PGN42" s="56"/>
      <c r="PGO42" s="105"/>
      <c r="PGV42" s="56"/>
      <c r="PGW42" s="105"/>
      <c r="PHD42" s="56"/>
      <c r="PHE42" s="105"/>
      <c r="PHL42" s="56"/>
      <c r="PHM42" s="105"/>
      <c r="PHT42" s="56"/>
      <c r="PHU42" s="105"/>
      <c r="PIB42" s="56"/>
      <c r="PIC42" s="105"/>
      <c r="PIJ42" s="56"/>
      <c r="PIK42" s="105"/>
      <c r="PIR42" s="56"/>
      <c r="PIS42" s="105"/>
      <c r="PIZ42" s="56"/>
      <c r="PJA42" s="105"/>
      <c r="PJH42" s="56"/>
      <c r="PJI42" s="105"/>
      <c r="PJP42" s="56"/>
      <c r="PJQ42" s="105"/>
      <c r="PJX42" s="56"/>
      <c r="PJY42" s="105"/>
      <c r="PKF42" s="56"/>
      <c r="PKG42" s="105"/>
      <c r="PKN42" s="56"/>
      <c r="PKO42" s="105"/>
      <c r="PKV42" s="56"/>
      <c r="PKW42" s="105"/>
      <c r="PLD42" s="56"/>
      <c r="PLE42" s="105"/>
      <c r="PLL42" s="56"/>
      <c r="PLM42" s="105"/>
      <c r="PLT42" s="56"/>
      <c r="PLU42" s="105"/>
      <c r="PMB42" s="56"/>
      <c r="PMC42" s="105"/>
      <c r="PMJ42" s="56"/>
      <c r="PMK42" s="105"/>
      <c r="PMR42" s="56"/>
      <c r="PMS42" s="105"/>
      <c r="PMZ42" s="56"/>
      <c r="PNA42" s="105"/>
      <c r="PNH42" s="56"/>
      <c r="PNI42" s="105"/>
      <c r="PNP42" s="56"/>
      <c r="PNQ42" s="105"/>
      <c r="PNX42" s="56"/>
      <c r="PNY42" s="105"/>
      <c r="POF42" s="56"/>
      <c r="POG42" s="105"/>
      <c r="PON42" s="56"/>
      <c r="POO42" s="105"/>
      <c r="POV42" s="56"/>
      <c r="POW42" s="105"/>
      <c r="PPD42" s="56"/>
      <c r="PPE42" s="105"/>
      <c r="PPL42" s="56"/>
      <c r="PPM42" s="105"/>
      <c r="PPT42" s="56"/>
      <c r="PPU42" s="105"/>
      <c r="PQB42" s="56"/>
      <c r="PQC42" s="105"/>
      <c r="PQJ42" s="56"/>
      <c r="PQK42" s="105"/>
      <c r="PQR42" s="56"/>
      <c r="PQS42" s="105"/>
      <c r="PQZ42" s="56"/>
      <c r="PRA42" s="105"/>
      <c r="PRH42" s="56"/>
      <c r="PRI42" s="105"/>
      <c r="PRP42" s="56"/>
      <c r="PRQ42" s="105"/>
      <c r="PRX42" s="56"/>
      <c r="PRY42" s="105"/>
      <c r="PSF42" s="56"/>
      <c r="PSG42" s="105"/>
      <c r="PSN42" s="56"/>
      <c r="PSO42" s="105"/>
      <c r="PSV42" s="56"/>
      <c r="PSW42" s="105"/>
      <c r="PTD42" s="56"/>
      <c r="PTE42" s="105"/>
      <c r="PTL42" s="56"/>
      <c r="PTM42" s="105"/>
      <c r="PTT42" s="56"/>
      <c r="PTU42" s="105"/>
      <c r="PUB42" s="56"/>
      <c r="PUC42" s="105"/>
      <c r="PUJ42" s="56"/>
      <c r="PUK42" s="105"/>
      <c r="PUR42" s="56"/>
      <c r="PUS42" s="105"/>
      <c r="PUZ42" s="56"/>
      <c r="PVA42" s="105"/>
      <c r="PVH42" s="56"/>
      <c r="PVI42" s="105"/>
      <c r="PVP42" s="56"/>
      <c r="PVQ42" s="105"/>
      <c r="PVX42" s="56"/>
      <c r="PVY42" s="105"/>
      <c r="PWF42" s="56"/>
      <c r="PWG42" s="105"/>
      <c r="PWN42" s="56"/>
      <c r="PWO42" s="105"/>
      <c r="PWV42" s="56"/>
      <c r="PWW42" s="105"/>
      <c r="PXD42" s="56"/>
      <c r="PXE42" s="105"/>
      <c r="PXL42" s="56"/>
      <c r="PXM42" s="105"/>
      <c r="PXT42" s="56"/>
      <c r="PXU42" s="105"/>
      <c r="PYB42" s="56"/>
      <c r="PYC42" s="105"/>
      <c r="PYJ42" s="56"/>
      <c r="PYK42" s="105"/>
      <c r="PYR42" s="56"/>
      <c r="PYS42" s="105"/>
      <c r="PYZ42" s="56"/>
      <c r="PZA42" s="105"/>
      <c r="PZH42" s="56"/>
      <c r="PZI42" s="105"/>
      <c r="PZP42" s="56"/>
      <c r="PZQ42" s="105"/>
      <c r="PZX42" s="56"/>
      <c r="PZY42" s="105"/>
      <c r="QAF42" s="56"/>
      <c r="QAG42" s="105"/>
      <c r="QAN42" s="56"/>
      <c r="QAO42" s="105"/>
      <c r="QAV42" s="56"/>
      <c r="QAW42" s="105"/>
      <c r="QBD42" s="56"/>
      <c r="QBE42" s="105"/>
      <c r="QBL42" s="56"/>
      <c r="QBM42" s="105"/>
      <c r="QBT42" s="56"/>
      <c r="QBU42" s="105"/>
      <c r="QCB42" s="56"/>
      <c r="QCC42" s="105"/>
      <c r="QCJ42" s="56"/>
      <c r="QCK42" s="105"/>
      <c r="QCR42" s="56"/>
      <c r="QCS42" s="105"/>
      <c r="QCZ42" s="56"/>
      <c r="QDA42" s="105"/>
      <c r="QDH42" s="56"/>
      <c r="QDI42" s="105"/>
      <c r="QDP42" s="56"/>
      <c r="QDQ42" s="105"/>
      <c r="QDX42" s="56"/>
      <c r="QDY42" s="105"/>
      <c r="QEF42" s="56"/>
      <c r="QEG42" s="105"/>
      <c r="QEN42" s="56"/>
      <c r="QEO42" s="105"/>
      <c r="QEV42" s="56"/>
      <c r="QEW42" s="105"/>
      <c r="QFD42" s="56"/>
      <c r="QFE42" s="105"/>
      <c r="QFL42" s="56"/>
      <c r="QFM42" s="105"/>
      <c r="QFT42" s="56"/>
      <c r="QFU42" s="105"/>
      <c r="QGB42" s="56"/>
      <c r="QGC42" s="105"/>
      <c r="QGJ42" s="56"/>
      <c r="QGK42" s="105"/>
      <c r="QGR42" s="56"/>
      <c r="QGS42" s="105"/>
      <c r="QGZ42" s="56"/>
      <c r="QHA42" s="105"/>
      <c r="QHH42" s="56"/>
      <c r="QHI42" s="105"/>
      <c r="QHP42" s="56"/>
      <c r="QHQ42" s="105"/>
      <c r="QHX42" s="56"/>
      <c r="QHY42" s="105"/>
      <c r="QIF42" s="56"/>
      <c r="QIG42" s="105"/>
      <c r="QIN42" s="56"/>
      <c r="QIO42" s="105"/>
      <c r="QIV42" s="56"/>
      <c r="QIW42" s="105"/>
      <c r="QJD42" s="56"/>
      <c r="QJE42" s="105"/>
      <c r="QJL42" s="56"/>
      <c r="QJM42" s="105"/>
      <c r="QJT42" s="56"/>
      <c r="QJU42" s="105"/>
      <c r="QKB42" s="56"/>
      <c r="QKC42" s="105"/>
      <c r="QKJ42" s="56"/>
      <c r="QKK42" s="105"/>
      <c r="QKR42" s="56"/>
      <c r="QKS42" s="105"/>
      <c r="QKZ42" s="56"/>
      <c r="QLA42" s="105"/>
      <c r="QLH42" s="56"/>
      <c r="QLI42" s="105"/>
      <c r="QLP42" s="56"/>
      <c r="QLQ42" s="105"/>
      <c r="QLX42" s="56"/>
      <c r="QLY42" s="105"/>
      <c r="QMF42" s="56"/>
      <c r="QMG42" s="105"/>
      <c r="QMN42" s="56"/>
      <c r="QMO42" s="105"/>
      <c r="QMV42" s="56"/>
      <c r="QMW42" s="105"/>
      <c r="QND42" s="56"/>
      <c r="QNE42" s="105"/>
      <c r="QNL42" s="56"/>
      <c r="QNM42" s="105"/>
      <c r="QNT42" s="56"/>
      <c r="QNU42" s="105"/>
      <c r="QOB42" s="56"/>
      <c r="QOC42" s="105"/>
      <c r="QOJ42" s="56"/>
      <c r="QOK42" s="105"/>
      <c r="QOR42" s="56"/>
      <c r="QOS42" s="105"/>
      <c r="QOZ42" s="56"/>
      <c r="QPA42" s="105"/>
      <c r="QPH42" s="56"/>
      <c r="QPI42" s="105"/>
      <c r="QPP42" s="56"/>
      <c r="QPQ42" s="105"/>
      <c r="QPX42" s="56"/>
      <c r="QPY42" s="105"/>
      <c r="QQF42" s="56"/>
      <c r="QQG42" s="105"/>
      <c r="QQN42" s="56"/>
      <c r="QQO42" s="105"/>
      <c r="QQV42" s="56"/>
      <c r="QQW42" s="105"/>
      <c r="QRD42" s="56"/>
      <c r="QRE42" s="105"/>
      <c r="QRL42" s="56"/>
      <c r="QRM42" s="105"/>
      <c r="QRT42" s="56"/>
      <c r="QRU42" s="105"/>
      <c r="QSB42" s="56"/>
      <c r="QSC42" s="105"/>
      <c r="QSJ42" s="56"/>
      <c r="QSK42" s="105"/>
      <c r="QSR42" s="56"/>
      <c r="QSS42" s="105"/>
      <c r="QSZ42" s="56"/>
      <c r="QTA42" s="105"/>
      <c r="QTH42" s="56"/>
      <c r="QTI42" s="105"/>
      <c r="QTP42" s="56"/>
      <c r="QTQ42" s="105"/>
      <c r="QTX42" s="56"/>
      <c r="QTY42" s="105"/>
      <c r="QUF42" s="56"/>
      <c r="QUG42" s="105"/>
      <c r="QUN42" s="56"/>
      <c r="QUO42" s="105"/>
      <c r="QUV42" s="56"/>
      <c r="QUW42" s="105"/>
      <c r="QVD42" s="56"/>
      <c r="QVE42" s="105"/>
      <c r="QVL42" s="56"/>
      <c r="QVM42" s="105"/>
      <c r="QVT42" s="56"/>
      <c r="QVU42" s="105"/>
      <c r="QWB42" s="56"/>
      <c r="QWC42" s="105"/>
      <c r="QWJ42" s="56"/>
      <c r="QWK42" s="105"/>
      <c r="QWR42" s="56"/>
      <c r="QWS42" s="105"/>
      <c r="QWZ42" s="56"/>
      <c r="QXA42" s="105"/>
      <c r="QXH42" s="56"/>
      <c r="QXI42" s="105"/>
      <c r="QXP42" s="56"/>
      <c r="QXQ42" s="105"/>
      <c r="QXX42" s="56"/>
      <c r="QXY42" s="105"/>
      <c r="QYF42" s="56"/>
      <c r="QYG42" s="105"/>
      <c r="QYN42" s="56"/>
      <c r="QYO42" s="105"/>
      <c r="QYV42" s="56"/>
      <c r="QYW42" s="105"/>
      <c r="QZD42" s="56"/>
      <c r="QZE42" s="105"/>
      <c r="QZL42" s="56"/>
      <c r="QZM42" s="105"/>
      <c r="QZT42" s="56"/>
      <c r="QZU42" s="105"/>
      <c r="RAB42" s="56"/>
      <c r="RAC42" s="105"/>
      <c r="RAJ42" s="56"/>
      <c r="RAK42" s="105"/>
      <c r="RAR42" s="56"/>
      <c r="RAS42" s="105"/>
      <c r="RAZ42" s="56"/>
      <c r="RBA42" s="105"/>
      <c r="RBH42" s="56"/>
      <c r="RBI42" s="105"/>
      <c r="RBP42" s="56"/>
      <c r="RBQ42" s="105"/>
      <c r="RBX42" s="56"/>
      <c r="RBY42" s="105"/>
      <c r="RCF42" s="56"/>
      <c r="RCG42" s="105"/>
      <c r="RCN42" s="56"/>
      <c r="RCO42" s="105"/>
      <c r="RCV42" s="56"/>
      <c r="RCW42" s="105"/>
      <c r="RDD42" s="56"/>
      <c r="RDE42" s="105"/>
      <c r="RDL42" s="56"/>
      <c r="RDM42" s="105"/>
      <c r="RDT42" s="56"/>
      <c r="RDU42" s="105"/>
      <c r="REB42" s="56"/>
      <c r="REC42" s="105"/>
      <c r="REJ42" s="56"/>
      <c r="REK42" s="105"/>
      <c r="RER42" s="56"/>
      <c r="RES42" s="105"/>
      <c r="REZ42" s="56"/>
      <c r="RFA42" s="105"/>
      <c r="RFH42" s="56"/>
      <c r="RFI42" s="105"/>
      <c r="RFP42" s="56"/>
      <c r="RFQ42" s="105"/>
      <c r="RFX42" s="56"/>
      <c r="RFY42" s="105"/>
      <c r="RGF42" s="56"/>
      <c r="RGG42" s="105"/>
      <c r="RGN42" s="56"/>
      <c r="RGO42" s="105"/>
      <c r="RGV42" s="56"/>
      <c r="RGW42" s="105"/>
      <c r="RHD42" s="56"/>
      <c r="RHE42" s="105"/>
      <c r="RHL42" s="56"/>
      <c r="RHM42" s="105"/>
      <c r="RHT42" s="56"/>
      <c r="RHU42" s="105"/>
      <c r="RIB42" s="56"/>
      <c r="RIC42" s="105"/>
      <c r="RIJ42" s="56"/>
      <c r="RIK42" s="105"/>
      <c r="RIR42" s="56"/>
      <c r="RIS42" s="105"/>
      <c r="RIZ42" s="56"/>
      <c r="RJA42" s="105"/>
      <c r="RJH42" s="56"/>
      <c r="RJI42" s="105"/>
      <c r="RJP42" s="56"/>
      <c r="RJQ42" s="105"/>
      <c r="RJX42" s="56"/>
      <c r="RJY42" s="105"/>
      <c r="RKF42" s="56"/>
      <c r="RKG42" s="105"/>
      <c r="RKN42" s="56"/>
      <c r="RKO42" s="105"/>
      <c r="RKV42" s="56"/>
      <c r="RKW42" s="105"/>
      <c r="RLD42" s="56"/>
      <c r="RLE42" s="105"/>
      <c r="RLL42" s="56"/>
      <c r="RLM42" s="105"/>
      <c r="RLT42" s="56"/>
      <c r="RLU42" s="105"/>
      <c r="RMB42" s="56"/>
      <c r="RMC42" s="105"/>
      <c r="RMJ42" s="56"/>
      <c r="RMK42" s="105"/>
      <c r="RMR42" s="56"/>
      <c r="RMS42" s="105"/>
      <c r="RMZ42" s="56"/>
      <c r="RNA42" s="105"/>
      <c r="RNH42" s="56"/>
      <c r="RNI42" s="105"/>
      <c r="RNP42" s="56"/>
      <c r="RNQ42" s="105"/>
      <c r="RNX42" s="56"/>
      <c r="RNY42" s="105"/>
      <c r="ROF42" s="56"/>
      <c r="ROG42" s="105"/>
      <c r="RON42" s="56"/>
      <c r="ROO42" s="105"/>
      <c r="ROV42" s="56"/>
      <c r="ROW42" s="105"/>
      <c r="RPD42" s="56"/>
      <c r="RPE42" s="105"/>
      <c r="RPL42" s="56"/>
      <c r="RPM42" s="105"/>
      <c r="RPT42" s="56"/>
      <c r="RPU42" s="105"/>
      <c r="RQB42" s="56"/>
      <c r="RQC42" s="105"/>
      <c r="RQJ42" s="56"/>
      <c r="RQK42" s="105"/>
      <c r="RQR42" s="56"/>
      <c r="RQS42" s="105"/>
      <c r="RQZ42" s="56"/>
      <c r="RRA42" s="105"/>
      <c r="RRH42" s="56"/>
      <c r="RRI42" s="105"/>
      <c r="RRP42" s="56"/>
      <c r="RRQ42" s="105"/>
      <c r="RRX42" s="56"/>
      <c r="RRY42" s="105"/>
      <c r="RSF42" s="56"/>
      <c r="RSG42" s="105"/>
      <c r="RSN42" s="56"/>
      <c r="RSO42" s="105"/>
      <c r="RSV42" s="56"/>
      <c r="RSW42" s="105"/>
      <c r="RTD42" s="56"/>
      <c r="RTE42" s="105"/>
      <c r="RTL42" s="56"/>
      <c r="RTM42" s="105"/>
      <c r="RTT42" s="56"/>
      <c r="RTU42" s="105"/>
      <c r="RUB42" s="56"/>
      <c r="RUC42" s="105"/>
      <c r="RUJ42" s="56"/>
      <c r="RUK42" s="105"/>
      <c r="RUR42" s="56"/>
      <c r="RUS42" s="105"/>
      <c r="RUZ42" s="56"/>
      <c r="RVA42" s="105"/>
      <c r="RVH42" s="56"/>
      <c r="RVI42" s="105"/>
      <c r="RVP42" s="56"/>
      <c r="RVQ42" s="105"/>
      <c r="RVX42" s="56"/>
      <c r="RVY42" s="105"/>
      <c r="RWF42" s="56"/>
      <c r="RWG42" s="105"/>
      <c r="RWN42" s="56"/>
      <c r="RWO42" s="105"/>
      <c r="RWV42" s="56"/>
      <c r="RWW42" s="105"/>
      <c r="RXD42" s="56"/>
      <c r="RXE42" s="105"/>
      <c r="RXL42" s="56"/>
      <c r="RXM42" s="105"/>
      <c r="RXT42" s="56"/>
      <c r="RXU42" s="105"/>
      <c r="RYB42" s="56"/>
      <c r="RYC42" s="105"/>
      <c r="RYJ42" s="56"/>
      <c r="RYK42" s="105"/>
      <c r="RYR42" s="56"/>
      <c r="RYS42" s="105"/>
      <c r="RYZ42" s="56"/>
      <c r="RZA42" s="105"/>
      <c r="RZH42" s="56"/>
      <c r="RZI42" s="105"/>
      <c r="RZP42" s="56"/>
      <c r="RZQ42" s="105"/>
      <c r="RZX42" s="56"/>
      <c r="RZY42" s="105"/>
      <c r="SAF42" s="56"/>
      <c r="SAG42" s="105"/>
      <c r="SAN42" s="56"/>
      <c r="SAO42" s="105"/>
      <c r="SAV42" s="56"/>
      <c r="SAW42" s="105"/>
      <c r="SBD42" s="56"/>
      <c r="SBE42" s="105"/>
      <c r="SBL42" s="56"/>
      <c r="SBM42" s="105"/>
      <c r="SBT42" s="56"/>
      <c r="SBU42" s="105"/>
      <c r="SCB42" s="56"/>
      <c r="SCC42" s="105"/>
      <c r="SCJ42" s="56"/>
      <c r="SCK42" s="105"/>
      <c r="SCR42" s="56"/>
      <c r="SCS42" s="105"/>
      <c r="SCZ42" s="56"/>
      <c r="SDA42" s="105"/>
      <c r="SDH42" s="56"/>
      <c r="SDI42" s="105"/>
      <c r="SDP42" s="56"/>
      <c r="SDQ42" s="105"/>
      <c r="SDX42" s="56"/>
      <c r="SDY42" s="105"/>
      <c r="SEF42" s="56"/>
      <c r="SEG42" s="105"/>
      <c r="SEN42" s="56"/>
      <c r="SEO42" s="105"/>
      <c r="SEV42" s="56"/>
      <c r="SEW42" s="105"/>
      <c r="SFD42" s="56"/>
      <c r="SFE42" s="105"/>
      <c r="SFL42" s="56"/>
      <c r="SFM42" s="105"/>
      <c r="SFT42" s="56"/>
      <c r="SFU42" s="105"/>
      <c r="SGB42" s="56"/>
      <c r="SGC42" s="105"/>
      <c r="SGJ42" s="56"/>
      <c r="SGK42" s="105"/>
      <c r="SGR42" s="56"/>
      <c r="SGS42" s="105"/>
      <c r="SGZ42" s="56"/>
      <c r="SHA42" s="105"/>
      <c r="SHH42" s="56"/>
      <c r="SHI42" s="105"/>
      <c r="SHP42" s="56"/>
      <c r="SHQ42" s="105"/>
      <c r="SHX42" s="56"/>
      <c r="SHY42" s="105"/>
      <c r="SIF42" s="56"/>
      <c r="SIG42" s="105"/>
      <c r="SIN42" s="56"/>
      <c r="SIO42" s="105"/>
      <c r="SIV42" s="56"/>
      <c r="SIW42" s="105"/>
      <c r="SJD42" s="56"/>
      <c r="SJE42" s="105"/>
      <c r="SJL42" s="56"/>
      <c r="SJM42" s="105"/>
      <c r="SJT42" s="56"/>
      <c r="SJU42" s="105"/>
      <c r="SKB42" s="56"/>
      <c r="SKC42" s="105"/>
      <c r="SKJ42" s="56"/>
      <c r="SKK42" s="105"/>
      <c r="SKR42" s="56"/>
      <c r="SKS42" s="105"/>
      <c r="SKZ42" s="56"/>
      <c r="SLA42" s="105"/>
      <c r="SLH42" s="56"/>
      <c r="SLI42" s="105"/>
      <c r="SLP42" s="56"/>
      <c r="SLQ42" s="105"/>
      <c r="SLX42" s="56"/>
      <c r="SLY42" s="105"/>
      <c r="SMF42" s="56"/>
      <c r="SMG42" s="105"/>
      <c r="SMN42" s="56"/>
      <c r="SMO42" s="105"/>
      <c r="SMV42" s="56"/>
      <c r="SMW42" s="105"/>
      <c r="SND42" s="56"/>
      <c r="SNE42" s="105"/>
      <c r="SNL42" s="56"/>
      <c r="SNM42" s="105"/>
      <c r="SNT42" s="56"/>
      <c r="SNU42" s="105"/>
      <c r="SOB42" s="56"/>
      <c r="SOC42" s="105"/>
      <c r="SOJ42" s="56"/>
      <c r="SOK42" s="105"/>
      <c r="SOR42" s="56"/>
      <c r="SOS42" s="105"/>
      <c r="SOZ42" s="56"/>
      <c r="SPA42" s="105"/>
      <c r="SPH42" s="56"/>
      <c r="SPI42" s="105"/>
      <c r="SPP42" s="56"/>
      <c r="SPQ42" s="105"/>
      <c r="SPX42" s="56"/>
      <c r="SPY42" s="105"/>
      <c r="SQF42" s="56"/>
      <c r="SQG42" s="105"/>
      <c r="SQN42" s="56"/>
      <c r="SQO42" s="105"/>
      <c r="SQV42" s="56"/>
      <c r="SQW42" s="105"/>
      <c r="SRD42" s="56"/>
      <c r="SRE42" s="105"/>
      <c r="SRL42" s="56"/>
      <c r="SRM42" s="105"/>
      <c r="SRT42" s="56"/>
      <c r="SRU42" s="105"/>
      <c r="SSB42" s="56"/>
      <c r="SSC42" s="105"/>
      <c r="SSJ42" s="56"/>
      <c r="SSK42" s="105"/>
      <c r="SSR42" s="56"/>
      <c r="SSS42" s="105"/>
      <c r="SSZ42" s="56"/>
      <c r="STA42" s="105"/>
      <c r="STH42" s="56"/>
      <c r="STI42" s="105"/>
      <c r="STP42" s="56"/>
      <c r="STQ42" s="105"/>
      <c r="STX42" s="56"/>
      <c r="STY42" s="105"/>
      <c r="SUF42" s="56"/>
      <c r="SUG42" s="105"/>
      <c r="SUN42" s="56"/>
      <c r="SUO42" s="105"/>
      <c r="SUV42" s="56"/>
      <c r="SUW42" s="105"/>
      <c r="SVD42" s="56"/>
      <c r="SVE42" s="105"/>
      <c r="SVL42" s="56"/>
      <c r="SVM42" s="105"/>
      <c r="SVT42" s="56"/>
      <c r="SVU42" s="105"/>
      <c r="SWB42" s="56"/>
      <c r="SWC42" s="105"/>
      <c r="SWJ42" s="56"/>
      <c r="SWK42" s="105"/>
      <c r="SWR42" s="56"/>
      <c r="SWS42" s="105"/>
      <c r="SWZ42" s="56"/>
      <c r="SXA42" s="105"/>
      <c r="SXH42" s="56"/>
      <c r="SXI42" s="105"/>
      <c r="SXP42" s="56"/>
      <c r="SXQ42" s="105"/>
      <c r="SXX42" s="56"/>
      <c r="SXY42" s="105"/>
      <c r="SYF42" s="56"/>
      <c r="SYG42" s="105"/>
      <c r="SYN42" s="56"/>
      <c r="SYO42" s="105"/>
      <c r="SYV42" s="56"/>
      <c r="SYW42" s="105"/>
      <c r="SZD42" s="56"/>
      <c r="SZE42" s="105"/>
      <c r="SZL42" s="56"/>
      <c r="SZM42" s="105"/>
      <c r="SZT42" s="56"/>
      <c r="SZU42" s="105"/>
      <c r="TAB42" s="56"/>
      <c r="TAC42" s="105"/>
      <c r="TAJ42" s="56"/>
      <c r="TAK42" s="105"/>
      <c r="TAR42" s="56"/>
      <c r="TAS42" s="105"/>
      <c r="TAZ42" s="56"/>
      <c r="TBA42" s="105"/>
      <c r="TBH42" s="56"/>
      <c r="TBI42" s="105"/>
      <c r="TBP42" s="56"/>
      <c r="TBQ42" s="105"/>
      <c r="TBX42" s="56"/>
      <c r="TBY42" s="105"/>
      <c r="TCF42" s="56"/>
      <c r="TCG42" s="105"/>
      <c r="TCN42" s="56"/>
      <c r="TCO42" s="105"/>
      <c r="TCV42" s="56"/>
      <c r="TCW42" s="105"/>
      <c r="TDD42" s="56"/>
      <c r="TDE42" s="105"/>
      <c r="TDL42" s="56"/>
      <c r="TDM42" s="105"/>
      <c r="TDT42" s="56"/>
      <c r="TDU42" s="105"/>
      <c r="TEB42" s="56"/>
      <c r="TEC42" s="105"/>
      <c r="TEJ42" s="56"/>
      <c r="TEK42" s="105"/>
      <c r="TER42" s="56"/>
      <c r="TES42" s="105"/>
      <c r="TEZ42" s="56"/>
      <c r="TFA42" s="105"/>
      <c r="TFH42" s="56"/>
      <c r="TFI42" s="105"/>
      <c r="TFP42" s="56"/>
      <c r="TFQ42" s="105"/>
      <c r="TFX42" s="56"/>
      <c r="TFY42" s="105"/>
      <c r="TGF42" s="56"/>
      <c r="TGG42" s="105"/>
      <c r="TGN42" s="56"/>
      <c r="TGO42" s="105"/>
      <c r="TGV42" s="56"/>
      <c r="TGW42" s="105"/>
      <c r="THD42" s="56"/>
      <c r="THE42" s="105"/>
      <c r="THL42" s="56"/>
      <c r="THM42" s="105"/>
      <c r="THT42" s="56"/>
      <c r="THU42" s="105"/>
      <c r="TIB42" s="56"/>
      <c r="TIC42" s="105"/>
      <c r="TIJ42" s="56"/>
      <c r="TIK42" s="105"/>
      <c r="TIR42" s="56"/>
      <c r="TIS42" s="105"/>
      <c r="TIZ42" s="56"/>
      <c r="TJA42" s="105"/>
      <c r="TJH42" s="56"/>
      <c r="TJI42" s="105"/>
      <c r="TJP42" s="56"/>
      <c r="TJQ42" s="105"/>
      <c r="TJX42" s="56"/>
      <c r="TJY42" s="105"/>
      <c r="TKF42" s="56"/>
      <c r="TKG42" s="105"/>
      <c r="TKN42" s="56"/>
      <c r="TKO42" s="105"/>
      <c r="TKV42" s="56"/>
      <c r="TKW42" s="105"/>
      <c r="TLD42" s="56"/>
      <c r="TLE42" s="105"/>
      <c r="TLL42" s="56"/>
      <c r="TLM42" s="105"/>
      <c r="TLT42" s="56"/>
      <c r="TLU42" s="105"/>
      <c r="TMB42" s="56"/>
      <c r="TMC42" s="105"/>
      <c r="TMJ42" s="56"/>
      <c r="TMK42" s="105"/>
      <c r="TMR42" s="56"/>
      <c r="TMS42" s="105"/>
      <c r="TMZ42" s="56"/>
      <c r="TNA42" s="105"/>
      <c r="TNH42" s="56"/>
      <c r="TNI42" s="105"/>
      <c r="TNP42" s="56"/>
      <c r="TNQ42" s="105"/>
      <c r="TNX42" s="56"/>
      <c r="TNY42" s="105"/>
      <c r="TOF42" s="56"/>
      <c r="TOG42" s="105"/>
      <c r="TON42" s="56"/>
      <c r="TOO42" s="105"/>
      <c r="TOV42" s="56"/>
      <c r="TOW42" s="105"/>
      <c r="TPD42" s="56"/>
      <c r="TPE42" s="105"/>
      <c r="TPL42" s="56"/>
      <c r="TPM42" s="105"/>
      <c r="TPT42" s="56"/>
      <c r="TPU42" s="105"/>
      <c r="TQB42" s="56"/>
      <c r="TQC42" s="105"/>
      <c r="TQJ42" s="56"/>
      <c r="TQK42" s="105"/>
      <c r="TQR42" s="56"/>
      <c r="TQS42" s="105"/>
      <c r="TQZ42" s="56"/>
      <c r="TRA42" s="105"/>
      <c r="TRH42" s="56"/>
      <c r="TRI42" s="105"/>
      <c r="TRP42" s="56"/>
      <c r="TRQ42" s="105"/>
      <c r="TRX42" s="56"/>
      <c r="TRY42" s="105"/>
      <c r="TSF42" s="56"/>
      <c r="TSG42" s="105"/>
      <c r="TSN42" s="56"/>
      <c r="TSO42" s="105"/>
      <c r="TSV42" s="56"/>
      <c r="TSW42" s="105"/>
      <c r="TTD42" s="56"/>
      <c r="TTE42" s="105"/>
      <c r="TTL42" s="56"/>
      <c r="TTM42" s="105"/>
      <c r="TTT42" s="56"/>
      <c r="TTU42" s="105"/>
      <c r="TUB42" s="56"/>
      <c r="TUC42" s="105"/>
      <c r="TUJ42" s="56"/>
      <c r="TUK42" s="105"/>
      <c r="TUR42" s="56"/>
      <c r="TUS42" s="105"/>
      <c r="TUZ42" s="56"/>
      <c r="TVA42" s="105"/>
      <c r="TVH42" s="56"/>
      <c r="TVI42" s="105"/>
      <c r="TVP42" s="56"/>
      <c r="TVQ42" s="105"/>
      <c r="TVX42" s="56"/>
      <c r="TVY42" s="105"/>
      <c r="TWF42" s="56"/>
      <c r="TWG42" s="105"/>
      <c r="TWN42" s="56"/>
      <c r="TWO42" s="105"/>
      <c r="TWV42" s="56"/>
      <c r="TWW42" s="105"/>
      <c r="TXD42" s="56"/>
      <c r="TXE42" s="105"/>
      <c r="TXL42" s="56"/>
      <c r="TXM42" s="105"/>
      <c r="TXT42" s="56"/>
      <c r="TXU42" s="105"/>
      <c r="TYB42" s="56"/>
      <c r="TYC42" s="105"/>
      <c r="TYJ42" s="56"/>
      <c r="TYK42" s="105"/>
      <c r="TYR42" s="56"/>
      <c r="TYS42" s="105"/>
      <c r="TYZ42" s="56"/>
      <c r="TZA42" s="105"/>
      <c r="TZH42" s="56"/>
      <c r="TZI42" s="105"/>
      <c r="TZP42" s="56"/>
      <c r="TZQ42" s="105"/>
      <c r="TZX42" s="56"/>
      <c r="TZY42" s="105"/>
      <c r="UAF42" s="56"/>
      <c r="UAG42" s="105"/>
      <c r="UAN42" s="56"/>
      <c r="UAO42" s="105"/>
      <c r="UAV42" s="56"/>
      <c r="UAW42" s="105"/>
      <c r="UBD42" s="56"/>
      <c r="UBE42" s="105"/>
      <c r="UBL42" s="56"/>
      <c r="UBM42" s="105"/>
      <c r="UBT42" s="56"/>
      <c r="UBU42" s="105"/>
      <c r="UCB42" s="56"/>
      <c r="UCC42" s="105"/>
      <c r="UCJ42" s="56"/>
      <c r="UCK42" s="105"/>
      <c r="UCR42" s="56"/>
      <c r="UCS42" s="105"/>
      <c r="UCZ42" s="56"/>
      <c r="UDA42" s="105"/>
      <c r="UDH42" s="56"/>
      <c r="UDI42" s="105"/>
      <c r="UDP42" s="56"/>
      <c r="UDQ42" s="105"/>
      <c r="UDX42" s="56"/>
      <c r="UDY42" s="105"/>
      <c r="UEF42" s="56"/>
      <c r="UEG42" s="105"/>
      <c r="UEN42" s="56"/>
      <c r="UEO42" s="105"/>
      <c r="UEV42" s="56"/>
      <c r="UEW42" s="105"/>
      <c r="UFD42" s="56"/>
      <c r="UFE42" s="105"/>
      <c r="UFL42" s="56"/>
      <c r="UFM42" s="105"/>
      <c r="UFT42" s="56"/>
      <c r="UFU42" s="105"/>
      <c r="UGB42" s="56"/>
      <c r="UGC42" s="105"/>
      <c r="UGJ42" s="56"/>
      <c r="UGK42" s="105"/>
      <c r="UGR42" s="56"/>
      <c r="UGS42" s="105"/>
      <c r="UGZ42" s="56"/>
      <c r="UHA42" s="105"/>
      <c r="UHH42" s="56"/>
      <c r="UHI42" s="105"/>
      <c r="UHP42" s="56"/>
      <c r="UHQ42" s="105"/>
      <c r="UHX42" s="56"/>
      <c r="UHY42" s="105"/>
      <c r="UIF42" s="56"/>
      <c r="UIG42" s="105"/>
      <c r="UIN42" s="56"/>
      <c r="UIO42" s="105"/>
      <c r="UIV42" s="56"/>
      <c r="UIW42" s="105"/>
      <c r="UJD42" s="56"/>
      <c r="UJE42" s="105"/>
      <c r="UJL42" s="56"/>
      <c r="UJM42" s="105"/>
      <c r="UJT42" s="56"/>
      <c r="UJU42" s="105"/>
      <c r="UKB42" s="56"/>
      <c r="UKC42" s="105"/>
      <c r="UKJ42" s="56"/>
      <c r="UKK42" s="105"/>
      <c r="UKR42" s="56"/>
      <c r="UKS42" s="105"/>
      <c r="UKZ42" s="56"/>
      <c r="ULA42" s="105"/>
      <c r="ULH42" s="56"/>
      <c r="ULI42" s="105"/>
      <c r="ULP42" s="56"/>
      <c r="ULQ42" s="105"/>
      <c r="ULX42" s="56"/>
      <c r="ULY42" s="105"/>
      <c r="UMF42" s="56"/>
      <c r="UMG42" s="105"/>
      <c r="UMN42" s="56"/>
      <c r="UMO42" s="105"/>
      <c r="UMV42" s="56"/>
      <c r="UMW42" s="105"/>
      <c r="UND42" s="56"/>
      <c r="UNE42" s="105"/>
      <c r="UNL42" s="56"/>
      <c r="UNM42" s="105"/>
      <c r="UNT42" s="56"/>
      <c r="UNU42" s="105"/>
      <c r="UOB42" s="56"/>
      <c r="UOC42" s="105"/>
      <c r="UOJ42" s="56"/>
      <c r="UOK42" s="105"/>
      <c r="UOR42" s="56"/>
      <c r="UOS42" s="105"/>
      <c r="UOZ42" s="56"/>
      <c r="UPA42" s="105"/>
      <c r="UPH42" s="56"/>
      <c r="UPI42" s="105"/>
      <c r="UPP42" s="56"/>
      <c r="UPQ42" s="105"/>
      <c r="UPX42" s="56"/>
      <c r="UPY42" s="105"/>
      <c r="UQF42" s="56"/>
      <c r="UQG42" s="105"/>
      <c r="UQN42" s="56"/>
      <c r="UQO42" s="105"/>
      <c r="UQV42" s="56"/>
      <c r="UQW42" s="105"/>
      <c r="URD42" s="56"/>
      <c r="URE42" s="105"/>
      <c r="URL42" s="56"/>
      <c r="URM42" s="105"/>
      <c r="URT42" s="56"/>
      <c r="URU42" s="105"/>
      <c r="USB42" s="56"/>
      <c r="USC42" s="105"/>
      <c r="USJ42" s="56"/>
      <c r="USK42" s="105"/>
      <c r="USR42" s="56"/>
      <c r="USS42" s="105"/>
      <c r="USZ42" s="56"/>
      <c r="UTA42" s="105"/>
      <c r="UTH42" s="56"/>
      <c r="UTI42" s="105"/>
      <c r="UTP42" s="56"/>
      <c r="UTQ42" s="105"/>
      <c r="UTX42" s="56"/>
      <c r="UTY42" s="105"/>
      <c r="UUF42" s="56"/>
      <c r="UUG42" s="105"/>
      <c r="UUN42" s="56"/>
      <c r="UUO42" s="105"/>
      <c r="UUV42" s="56"/>
      <c r="UUW42" s="105"/>
      <c r="UVD42" s="56"/>
      <c r="UVE42" s="105"/>
      <c r="UVL42" s="56"/>
      <c r="UVM42" s="105"/>
      <c r="UVT42" s="56"/>
      <c r="UVU42" s="105"/>
      <c r="UWB42" s="56"/>
      <c r="UWC42" s="105"/>
      <c r="UWJ42" s="56"/>
      <c r="UWK42" s="105"/>
      <c r="UWR42" s="56"/>
      <c r="UWS42" s="105"/>
      <c r="UWZ42" s="56"/>
      <c r="UXA42" s="105"/>
      <c r="UXH42" s="56"/>
      <c r="UXI42" s="105"/>
      <c r="UXP42" s="56"/>
      <c r="UXQ42" s="105"/>
      <c r="UXX42" s="56"/>
      <c r="UXY42" s="105"/>
      <c r="UYF42" s="56"/>
      <c r="UYG42" s="105"/>
      <c r="UYN42" s="56"/>
      <c r="UYO42" s="105"/>
      <c r="UYV42" s="56"/>
      <c r="UYW42" s="105"/>
      <c r="UZD42" s="56"/>
      <c r="UZE42" s="105"/>
      <c r="UZL42" s="56"/>
      <c r="UZM42" s="105"/>
      <c r="UZT42" s="56"/>
      <c r="UZU42" s="105"/>
      <c r="VAB42" s="56"/>
      <c r="VAC42" s="105"/>
      <c r="VAJ42" s="56"/>
      <c r="VAK42" s="105"/>
      <c r="VAR42" s="56"/>
      <c r="VAS42" s="105"/>
      <c r="VAZ42" s="56"/>
      <c r="VBA42" s="105"/>
      <c r="VBH42" s="56"/>
      <c r="VBI42" s="105"/>
      <c r="VBP42" s="56"/>
      <c r="VBQ42" s="105"/>
      <c r="VBX42" s="56"/>
      <c r="VBY42" s="105"/>
      <c r="VCF42" s="56"/>
      <c r="VCG42" s="105"/>
      <c r="VCN42" s="56"/>
      <c r="VCO42" s="105"/>
      <c r="VCV42" s="56"/>
      <c r="VCW42" s="105"/>
      <c r="VDD42" s="56"/>
      <c r="VDE42" s="105"/>
      <c r="VDL42" s="56"/>
      <c r="VDM42" s="105"/>
      <c r="VDT42" s="56"/>
      <c r="VDU42" s="105"/>
      <c r="VEB42" s="56"/>
      <c r="VEC42" s="105"/>
      <c r="VEJ42" s="56"/>
      <c r="VEK42" s="105"/>
      <c r="VER42" s="56"/>
      <c r="VES42" s="105"/>
      <c r="VEZ42" s="56"/>
      <c r="VFA42" s="105"/>
      <c r="VFH42" s="56"/>
      <c r="VFI42" s="105"/>
      <c r="VFP42" s="56"/>
      <c r="VFQ42" s="105"/>
      <c r="VFX42" s="56"/>
      <c r="VFY42" s="105"/>
      <c r="VGF42" s="56"/>
      <c r="VGG42" s="105"/>
      <c r="VGN42" s="56"/>
      <c r="VGO42" s="105"/>
      <c r="VGV42" s="56"/>
      <c r="VGW42" s="105"/>
      <c r="VHD42" s="56"/>
      <c r="VHE42" s="105"/>
      <c r="VHL42" s="56"/>
      <c r="VHM42" s="105"/>
      <c r="VHT42" s="56"/>
      <c r="VHU42" s="105"/>
      <c r="VIB42" s="56"/>
      <c r="VIC42" s="105"/>
      <c r="VIJ42" s="56"/>
      <c r="VIK42" s="105"/>
      <c r="VIR42" s="56"/>
      <c r="VIS42" s="105"/>
      <c r="VIZ42" s="56"/>
      <c r="VJA42" s="105"/>
      <c r="VJH42" s="56"/>
      <c r="VJI42" s="105"/>
      <c r="VJP42" s="56"/>
      <c r="VJQ42" s="105"/>
      <c r="VJX42" s="56"/>
      <c r="VJY42" s="105"/>
      <c r="VKF42" s="56"/>
      <c r="VKG42" s="105"/>
      <c r="VKN42" s="56"/>
      <c r="VKO42" s="105"/>
      <c r="VKV42" s="56"/>
      <c r="VKW42" s="105"/>
      <c r="VLD42" s="56"/>
      <c r="VLE42" s="105"/>
      <c r="VLL42" s="56"/>
      <c r="VLM42" s="105"/>
      <c r="VLT42" s="56"/>
      <c r="VLU42" s="105"/>
      <c r="VMB42" s="56"/>
      <c r="VMC42" s="105"/>
      <c r="VMJ42" s="56"/>
      <c r="VMK42" s="105"/>
      <c r="VMR42" s="56"/>
      <c r="VMS42" s="105"/>
      <c r="VMZ42" s="56"/>
      <c r="VNA42" s="105"/>
      <c r="VNH42" s="56"/>
      <c r="VNI42" s="105"/>
      <c r="VNP42" s="56"/>
      <c r="VNQ42" s="105"/>
      <c r="VNX42" s="56"/>
      <c r="VNY42" s="105"/>
      <c r="VOF42" s="56"/>
      <c r="VOG42" s="105"/>
      <c r="VON42" s="56"/>
      <c r="VOO42" s="105"/>
      <c r="VOV42" s="56"/>
      <c r="VOW42" s="105"/>
      <c r="VPD42" s="56"/>
      <c r="VPE42" s="105"/>
      <c r="VPL42" s="56"/>
      <c r="VPM42" s="105"/>
      <c r="VPT42" s="56"/>
      <c r="VPU42" s="105"/>
      <c r="VQB42" s="56"/>
      <c r="VQC42" s="105"/>
      <c r="VQJ42" s="56"/>
      <c r="VQK42" s="105"/>
      <c r="VQR42" s="56"/>
      <c r="VQS42" s="105"/>
      <c r="VQZ42" s="56"/>
      <c r="VRA42" s="105"/>
      <c r="VRH42" s="56"/>
      <c r="VRI42" s="105"/>
      <c r="VRP42" s="56"/>
      <c r="VRQ42" s="105"/>
      <c r="VRX42" s="56"/>
      <c r="VRY42" s="105"/>
      <c r="VSF42" s="56"/>
      <c r="VSG42" s="105"/>
      <c r="VSN42" s="56"/>
      <c r="VSO42" s="105"/>
      <c r="VSV42" s="56"/>
      <c r="VSW42" s="105"/>
      <c r="VTD42" s="56"/>
      <c r="VTE42" s="105"/>
      <c r="VTL42" s="56"/>
      <c r="VTM42" s="105"/>
      <c r="VTT42" s="56"/>
      <c r="VTU42" s="105"/>
      <c r="VUB42" s="56"/>
      <c r="VUC42" s="105"/>
      <c r="VUJ42" s="56"/>
      <c r="VUK42" s="105"/>
      <c r="VUR42" s="56"/>
      <c r="VUS42" s="105"/>
      <c r="VUZ42" s="56"/>
      <c r="VVA42" s="105"/>
      <c r="VVH42" s="56"/>
      <c r="VVI42" s="105"/>
      <c r="VVP42" s="56"/>
      <c r="VVQ42" s="105"/>
      <c r="VVX42" s="56"/>
      <c r="VVY42" s="105"/>
      <c r="VWF42" s="56"/>
      <c r="VWG42" s="105"/>
      <c r="VWN42" s="56"/>
      <c r="VWO42" s="105"/>
      <c r="VWV42" s="56"/>
      <c r="VWW42" s="105"/>
      <c r="VXD42" s="56"/>
      <c r="VXE42" s="105"/>
      <c r="VXL42" s="56"/>
      <c r="VXM42" s="105"/>
      <c r="VXT42" s="56"/>
      <c r="VXU42" s="105"/>
      <c r="VYB42" s="56"/>
      <c r="VYC42" s="105"/>
      <c r="VYJ42" s="56"/>
      <c r="VYK42" s="105"/>
      <c r="VYR42" s="56"/>
      <c r="VYS42" s="105"/>
      <c r="VYZ42" s="56"/>
      <c r="VZA42" s="105"/>
      <c r="VZH42" s="56"/>
      <c r="VZI42" s="105"/>
      <c r="VZP42" s="56"/>
      <c r="VZQ42" s="105"/>
      <c r="VZX42" s="56"/>
      <c r="VZY42" s="105"/>
      <c r="WAF42" s="56"/>
      <c r="WAG42" s="105"/>
      <c r="WAN42" s="56"/>
      <c r="WAO42" s="105"/>
      <c r="WAV42" s="56"/>
      <c r="WAW42" s="105"/>
      <c r="WBD42" s="56"/>
      <c r="WBE42" s="105"/>
      <c r="WBL42" s="56"/>
      <c r="WBM42" s="105"/>
      <c r="WBT42" s="56"/>
      <c r="WBU42" s="105"/>
      <c r="WCB42" s="56"/>
      <c r="WCC42" s="105"/>
      <c r="WCJ42" s="56"/>
      <c r="WCK42" s="105"/>
      <c r="WCR42" s="56"/>
      <c r="WCS42" s="105"/>
      <c r="WCZ42" s="56"/>
      <c r="WDA42" s="105"/>
      <c r="WDH42" s="56"/>
      <c r="WDI42" s="105"/>
      <c r="WDP42" s="56"/>
      <c r="WDQ42" s="105"/>
      <c r="WDX42" s="56"/>
      <c r="WDY42" s="105"/>
      <c r="WEF42" s="56"/>
      <c r="WEG42" s="105"/>
      <c r="WEN42" s="56"/>
      <c r="WEO42" s="105"/>
      <c r="WEV42" s="56"/>
      <c r="WEW42" s="105"/>
      <c r="WFD42" s="56"/>
      <c r="WFE42" s="105"/>
      <c r="WFL42" s="56"/>
      <c r="WFM42" s="105"/>
      <c r="WFT42" s="56"/>
      <c r="WFU42" s="105"/>
      <c r="WGB42" s="56"/>
      <c r="WGC42" s="105"/>
      <c r="WGJ42" s="56"/>
      <c r="WGK42" s="105"/>
      <c r="WGR42" s="56"/>
      <c r="WGS42" s="105"/>
      <c r="WGZ42" s="56"/>
      <c r="WHA42" s="105"/>
      <c r="WHH42" s="56"/>
      <c r="WHI42" s="105"/>
      <c r="WHP42" s="56"/>
      <c r="WHQ42" s="105"/>
      <c r="WHX42" s="56"/>
      <c r="WHY42" s="105"/>
      <c r="WIF42" s="56"/>
      <c r="WIG42" s="105"/>
      <c r="WIN42" s="56"/>
      <c r="WIO42" s="105"/>
      <c r="WIV42" s="56"/>
      <c r="WIW42" s="105"/>
      <c r="WJD42" s="56"/>
      <c r="WJE42" s="105"/>
      <c r="WJL42" s="56"/>
      <c r="WJM42" s="105"/>
      <c r="WJT42" s="56"/>
      <c r="WJU42" s="105"/>
      <c r="WKB42" s="56"/>
      <c r="WKC42" s="105"/>
      <c r="WKJ42" s="56"/>
      <c r="WKK42" s="105"/>
      <c r="WKR42" s="56"/>
      <c r="WKS42" s="105"/>
      <c r="WKZ42" s="56"/>
      <c r="WLA42" s="105"/>
      <c r="WLH42" s="56"/>
      <c r="WLI42" s="105"/>
      <c r="WLP42" s="56"/>
      <c r="WLQ42" s="105"/>
      <c r="WLX42" s="56"/>
      <c r="WLY42" s="105"/>
      <c r="WMF42" s="56"/>
      <c r="WMG42" s="105"/>
      <c r="WMN42" s="56"/>
      <c r="WMO42" s="105"/>
      <c r="WMV42" s="56"/>
      <c r="WMW42" s="105"/>
      <c r="WND42" s="56"/>
      <c r="WNE42" s="105"/>
      <c r="WNL42" s="56"/>
      <c r="WNM42" s="105"/>
      <c r="WNT42" s="56"/>
      <c r="WNU42" s="105"/>
      <c r="WOB42" s="56"/>
      <c r="WOC42" s="105"/>
      <c r="WOJ42" s="56"/>
      <c r="WOK42" s="105"/>
      <c r="WOR42" s="56"/>
      <c r="WOS42" s="105"/>
      <c r="WOZ42" s="56"/>
      <c r="WPA42" s="105"/>
      <c r="WPH42" s="56"/>
      <c r="WPI42" s="105"/>
      <c r="WPP42" s="56"/>
      <c r="WPQ42" s="105"/>
      <c r="WPX42" s="56"/>
      <c r="WPY42" s="105"/>
      <c r="WQF42" s="56"/>
      <c r="WQG42" s="105"/>
      <c r="WQN42" s="56"/>
      <c r="WQO42" s="105"/>
      <c r="WQV42" s="56"/>
      <c r="WQW42" s="105"/>
      <c r="WRD42" s="56"/>
      <c r="WRE42" s="105"/>
      <c r="WRL42" s="56"/>
      <c r="WRM42" s="105"/>
      <c r="WRT42" s="56"/>
      <c r="WRU42" s="105"/>
      <c r="WSB42" s="56"/>
      <c r="WSC42" s="105"/>
      <c r="WSJ42" s="56"/>
      <c r="WSK42" s="105"/>
      <c r="WSR42" s="56"/>
      <c r="WSS42" s="105"/>
      <c r="WSZ42" s="56"/>
      <c r="WTA42" s="105"/>
      <c r="WTH42" s="56"/>
      <c r="WTI42" s="105"/>
      <c r="WTP42" s="56"/>
      <c r="WTQ42" s="105"/>
      <c r="WTX42" s="56"/>
      <c r="WTY42" s="105"/>
      <c r="WUF42" s="56"/>
      <c r="WUG42" s="105"/>
      <c r="WUN42" s="56"/>
      <c r="WUO42" s="105"/>
      <c r="WUV42" s="56"/>
      <c r="WUW42" s="105"/>
      <c r="WVD42" s="56"/>
      <c r="WVE42" s="105"/>
      <c r="WVL42" s="56"/>
      <c r="WVM42" s="105"/>
      <c r="WVT42" s="56"/>
      <c r="WVU42" s="105"/>
      <c r="WWB42" s="56"/>
      <c r="WWC42" s="105"/>
      <c r="WWJ42" s="56"/>
      <c r="WWK42" s="105"/>
      <c r="WWR42" s="56"/>
      <c r="WWS42" s="105"/>
      <c r="WWZ42" s="56"/>
      <c r="WXA42" s="105"/>
      <c r="WXH42" s="56"/>
      <c r="WXI42" s="105"/>
      <c r="WXP42" s="56"/>
      <c r="WXQ42" s="105"/>
      <c r="WXX42" s="56"/>
      <c r="WXY42" s="105"/>
      <c r="WYF42" s="56"/>
      <c r="WYG42" s="105"/>
      <c r="WYN42" s="56"/>
      <c r="WYO42" s="105"/>
      <c r="WYV42" s="56"/>
      <c r="WYW42" s="105"/>
      <c r="WZD42" s="56"/>
      <c r="WZE42" s="105"/>
      <c r="WZL42" s="56"/>
      <c r="WZM42" s="105"/>
      <c r="WZT42" s="56"/>
      <c r="WZU42" s="105"/>
      <c r="XAB42" s="56"/>
      <c r="XAC42" s="105"/>
      <c r="XAJ42" s="56"/>
      <c r="XAK42" s="105"/>
      <c r="XAR42" s="56"/>
      <c r="XAS42" s="105"/>
      <c r="XAZ42" s="56"/>
      <c r="XBA42" s="105"/>
      <c r="XBH42" s="56"/>
      <c r="XBI42" s="105"/>
      <c r="XBP42" s="56"/>
      <c r="XBQ42" s="105"/>
      <c r="XBX42" s="56"/>
      <c r="XBY42" s="105"/>
      <c r="XCF42" s="56"/>
      <c r="XCG42" s="105"/>
      <c r="XCN42" s="56"/>
      <c r="XCO42" s="105"/>
      <c r="XCV42" s="56"/>
      <c r="XCW42" s="105"/>
      <c r="XDD42" s="56"/>
      <c r="XDE42" s="105"/>
      <c r="XDL42" s="56"/>
      <c r="XDM42" s="105"/>
      <c r="XDT42" s="56"/>
      <c r="XDU42" s="105"/>
      <c r="XEB42" s="56"/>
      <c r="XEC42" s="105"/>
      <c r="XEJ42" s="56"/>
      <c r="XEK42" s="105"/>
      <c r="XER42" s="56"/>
      <c r="XES42" s="105"/>
      <c r="XEZ42" s="56"/>
      <c r="XFA42" s="105"/>
    </row>
    <row r="43" spans="1:1021 1028:2045 2052:3069 3076:4093 4100:5117 5124:6141 6148:7165 7172:8189 8196:9213 9220:10237 10244:11261 11268:12285 12292:13309 13316:14333 14340:15357 15364:16381" ht="15" customHeight="1" thickBot="1">
      <c r="A43" s="58"/>
      <c r="B43" s="59" t="s">
        <v>105</v>
      </c>
      <c r="C43" s="60">
        <v>12400.5</v>
      </c>
      <c r="D43" s="60">
        <v>4544</v>
      </c>
      <c r="E43" s="60">
        <v>6625</v>
      </c>
      <c r="F43" s="60">
        <v>2772</v>
      </c>
      <c r="G43" s="60">
        <v>726.98643000000004</v>
      </c>
      <c r="H43" s="60">
        <v>1410</v>
      </c>
      <c r="I43" s="60">
        <f>12440</f>
        <v>12440</v>
      </c>
      <c r="J43" s="60">
        <f>13900</f>
        <v>13900</v>
      </c>
      <c r="K43" s="60">
        <v>15665</v>
      </c>
      <c r="L43" s="60">
        <v>16353.15561</v>
      </c>
      <c r="M43" s="60">
        <v>16852.231729781503</v>
      </c>
      <c r="N43" s="60">
        <v>18422</v>
      </c>
      <c r="O43" s="60">
        <v>20315</v>
      </c>
      <c r="P43" s="60">
        <v>21867</v>
      </c>
      <c r="Q43" s="60">
        <v>23546</v>
      </c>
      <c r="R43" s="60">
        <v>27578</v>
      </c>
      <c r="S43" s="60">
        <v>28342</v>
      </c>
      <c r="T43" s="60">
        <v>30138</v>
      </c>
      <c r="U43" s="60">
        <v>21573</v>
      </c>
      <c r="V43" s="60">
        <v>10631</v>
      </c>
    </row>
    <row r="44" spans="1:1021 1028:2045 2052:3069 3076:4093 4100:5117 5124:6141 6148:7165 7172:8189 8196:9213 9220:10237 10244:11261 11268:12285 12292:13309 13316:14333 14340:15357 15364:16381" ht="15" customHeight="1" thickBot="1">
      <c r="A44" s="58"/>
      <c r="B44" s="59" t="s">
        <v>106</v>
      </c>
      <c r="C44" s="60">
        <v>27053.599999999999</v>
      </c>
      <c r="D44" s="60">
        <v>28754.672780000001</v>
      </c>
      <c r="E44" s="60">
        <v>30358</v>
      </c>
      <c r="F44" s="60">
        <v>31832</v>
      </c>
      <c r="G44" s="60">
        <v>33128.669600000001</v>
      </c>
      <c r="H44" s="60">
        <v>34347</v>
      </c>
      <c r="I44" s="60">
        <f>35485</f>
        <v>35485</v>
      </c>
      <c r="J44" s="60">
        <f>36544</f>
        <v>36544</v>
      </c>
      <c r="K44" s="60">
        <v>37480</v>
      </c>
      <c r="L44" s="60">
        <v>38455.040439999997</v>
      </c>
      <c r="M44" s="60">
        <v>39521.892650204012</v>
      </c>
      <c r="N44" s="60">
        <v>40775</v>
      </c>
      <c r="O44" s="60">
        <v>42133</v>
      </c>
      <c r="P44" s="60">
        <v>43614</v>
      </c>
      <c r="Q44" s="60">
        <v>45168</v>
      </c>
      <c r="R44" s="60">
        <v>47047</v>
      </c>
      <c r="S44" s="60">
        <v>243565</v>
      </c>
      <c r="T44" s="60">
        <v>244880</v>
      </c>
      <c r="U44" s="60">
        <v>249030</v>
      </c>
      <c r="V44" s="60">
        <v>253660</v>
      </c>
    </row>
    <row r="45" spans="1:1021 1028:2045 2052:3069 3076:4093 4100:5117 5124:6141 6148:7165 7172:8189 8196:9213 9220:10237 10244:11261 11268:12285 12292:13309 13316:14333 14340:15357 15364:16381" ht="15" customHeight="1" thickBot="1">
      <c r="A45" s="58"/>
      <c r="B45" s="59" t="s">
        <v>107</v>
      </c>
      <c r="C45" s="60">
        <v>23696</v>
      </c>
      <c r="D45" s="60">
        <v>33340</v>
      </c>
      <c r="E45" s="60">
        <v>42791</v>
      </c>
      <c r="F45" s="60">
        <v>52300</v>
      </c>
      <c r="G45" s="60">
        <v>61677.357150000011</v>
      </c>
      <c r="H45" s="60">
        <v>73194</v>
      </c>
      <c r="I45" s="60">
        <f>83087</f>
        <v>83087</v>
      </c>
      <c r="J45" s="60">
        <f>91673</f>
        <v>91673</v>
      </c>
      <c r="K45" s="60">
        <v>99944</v>
      </c>
      <c r="L45" s="60">
        <v>108072.33729999998</v>
      </c>
      <c r="M45" s="60">
        <v>116324.94944311098</v>
      </c>
      <c r="N45" s="60">
        <v>124816</v>
      </c>
      <c r="O45" s="60">
        <v>133489</v>
      </c>
      <c r="P45" s="60">
        <v>142361</v>
      </c>
      <c r="Q45" s="60">
        <v>151295</v>
      </c>
      <c r="R45" s="60">
        <v>163285</v>
      </c>
      <c r="S45" s="60">
        <v>176411</v>
      </c>
      <c r="T45" s="60">
        <v>180781</v>
      </c>
      <c r="U45" s="60">
        <v>193809</v>
      </c>
      <c r="V45" s="60">
        <v>206252</v>
      </c>
    </row>
    <row r="46" spans="1:1021 1028:2045 2052:3069 3076:4093 4100:5117 5124:6141 6148:7165 7172:8189 8196:9213 9220:10237 10244:11261 11268:12285 12292:13309 13316:14333 14340:15357 15364:16381" ht="15" customHeight="1" thickBot="1">
      <c r="A46" s="58"/>
      <c r="B46" s="59" t="s">
        <v>108</v>
      </c>
      <c r="C46" s="60">
        <v>0</v>
      </c>
      <c r="D46" s="60">
        <v>0</v>
      </c>
      <c r="E46" s="60">
        <v>0</v>
      </c>
      <c r="F46" s="60">
        <v>0</v>
      </c>
      <c r="G46" s="60">
        <v>0</v>
      </c>
      <c r="H46" s="60">
        <v>0</v>
      </c>
      <c r="I46" s="60">
        <v>0</v>
      </c>
      <c r="J46" s="60">
        <f>136073</f>
        <v>136073</v>
      </c>
      <c r="K46" s="60">
        <v>140937</v>
      </c>
      <c r="L46" s="60">
        <v>145873.91898000002</v>
      </c>
      <c r="M46" s="60">
        <v>151131.08820140097</v>
      </c>
      <c r="N46" s="60">
        <v>157152</v>
      </c>
      <c r="O46" s="60">
        <v>160299</v>
      </c>
      <c r="P46" s="60">
        <v>161068</v>
      </c>
      <c r="Q46" s="60">
        <v>162195</v>
      </c>
      <c r="R46" s="60">
        <v>162654</v>
      </c>
      <c r="S46" s="60">
        <v>0</v>
      </c>
      <c r="T46" s="60">
        <v>0</v>
      </c>
      <c r="U46" s="60">
        <v>0</v>
      </c>
      <c r="V46" s="60">
        <v>0</v>
      </c>
    </row>
    <row r="47" spans="1:1021 1028:2045 2052:3069 3076:4093 4100:5117 5124:6141 6148:7165 7172:8189 8196:9213 9220:10237 10244:11261 11268:12285 12292:13309 13316:14333 14340:15357 15364:16381" ht="15" customHeight="1" thickBot="1">
      <c r="A47" s="58"/>
      <c r="B47" s="59" t="s">
        <v>353</v>
      </c>
      <c r="C47" s="60">
        <v>1836</v>
      </c>
      <c r="D47" s="60">
        <v>0</v>
      </c>
      <c r="E47" s="60">
        <f>8470+976</f>
        <v>9446</v>
      </c>
      <c r="F47" s="60">
        <f>10566+7447</f>
        <v>18013</v>
      </c>
      <c r="G47" s="60">
        <v>22422.226290000002</v>
      </c>
      <c r="H47" s="60">
        <f>13290+13329+10978</f>
        <v>37597</v>
      </c>
      <c r="I47" s="60">
        <f>33883</f>
        <v>33883</v>
      </c>
      <c r="J47" s="60">
        <v>0</v>
      </c>
      <c r="K47" s="60">
        <v>0</v>
      </c>
      <c r="L47" s="60">
        <v>0</v>
      </c>
      <c r="M47" s="60">
        <v>0</v>
      </c>
      <c r="N47" s="60">
        <v>0</v>
      </c>
      <c r="O47" s="60">
        <v>0</v>
      </c>
      <c r="P47" s="60">
        <v>0</v>
      </c>
      <c r="Q47" s="60">
        <v>0</v>
      </c>
      <c r="R47" s="60">
        <v>0</v>
      </c>
      <c r="S47" s="60">
        <v>0</v>
      </c>
      <c r="T47" s="60">
        <v>0</v>
      </c>
      <c r="U47" s="60">
        <v>0</v>
      </c>
      <c r="V47" s="60">
        <v>0</v>
      </c>
    </row>
    <row r="48" spans="1:1021 1028:2045 2052:3069 3076:4093 4100:5117 5124:6141 6148:7165 7172:8189 8196:9213 9220:10237 10244:11261 11268:12285 12292:13309 13316:14333 14340:15357 15364:16381" ht="15" customHeight="1" thickBot="1">
      <c r="A48" s="58"/>
      <c r="B48" s="59" t="s">
        <v>102</v>
      </c>
      <c r="C48" s="60">
        <v>0</v>
      </c>
      <c r="D48" s="60">
        <v>2021</v>
      </c>
      <c r="E48" s="60">
        <v>0</v>
      </c>
      <c r="F48" s="60">
        <v>0</v>
      </c>
      <c r="G48" s="60">
        <v>0</v>
      </c>
      <c r="H48" s="60">
        <v>0</v>
      </c>
      <c r="I48" s="60">
        <f>2684</f>
        <v>2684</v>
      </c>
      <c r="J48" s="60">
        <f>3376</f>
        <v>3376</v>
      </c>
      <c r="K48" s="60">
        <v>3220</v>
      </c>
      <c r="L48" s="60">
        <v>3955.7616000000003</v>
      </c>
      <c r="M48" s="60">
        <v>4176.5697705669927</v>
      </c>
      <c r="N48" s="60">
        <v>8602</v>
      </c>
      <c r="O48" s="60">
        <v>11321</v>
      </c>
      <c r="P48" s="60">
        <v>13129</v>
      </c>
      <c r="Q48" s="60">
        <v>14461</v>
      </c>
      <c r="R48" s="60">
        <v>12196</v>
      </c>
      <c r="S48" s="60">
        <v>15136</v>
      </c>
      <c r="T48" s="60">
        <v>15793</v>
      </c>
      <c r="U48" s="60">
        <v>22866</v>
      </c>
      <c r="V48" s="60">
        <v>23994</v>
      </c>
    </row>
    <row r="49" spans="1:1021 1028:2045 2052:3069 3076:4093 4100:5117 5124:6141 6148:7165 7172:8189 8196:9213 9220:10237 10244:11261 11268:12285 12292:13309 13316:14333 14340:15357 15364:16381" s="68" customFormat="1" ht="15" customHeight="1" thickBot="1">
      <c r="A49" s="65"/>
      <c r="B49" s="66" t="s">
        <v>194</v>
      </c>
      <c r="C49" s="98">
        <f t="shared" ref="C49:V49" si="28">SUM(C43:C48)</f>
        <v>64986.1</v>
      </c>
      <c r="D49" s="98">
        <f t="shared" si="28"/>
        <v>68659.672779999994</v>
      </c>
      <c r="E49" s="98">
        <f t="shared" si="28"/>
        <v>89220</v>
      </c>
      <c r="F49" s="98">
        <f t="shared" si="28"/>
        <v>104917</v>
      </c>
      <c r="G49" s="98">
        <f t="shared" si="28"/>
        <v>117955.23947000001</v>
      </c>
      <c r="H49" s="98">
        <f t="shared" si="28"/>
        <v>146548</v>
      </c>
      <c r="I49" s="98">
        <f t="shared" si="28"/>
        <v>167579</v>
      </c>
      <c r="J49" s="98">
        <f t="shared" si="28"/>
        <v>281566</v>
      </c>
      <c r="K49" s="98">
        <f t="shared" si="28"/>
        <v>297246</v>
      </c>
      <c r="L49" s="98">
        <f t="shared" si="28"/>
        <v>312710.21393000003</v>
      </c>
      <c r="M49" s="98">
        <f t="shared" si="28"/>
        <v>328006.73179506446</v>
      </c>
      <c r="N49" s="98">
        <f t="shared" si="28"/>
        <v>349767</v>
      </c>
      <c r="O49" s="98">
        <f t="shared" si="28"/>
        <v>367557</v>
      </c>
      <c r="P49" s="98">
        <f t="shared" si="28"/>
        <v>382039</v>
      </c>
      <c r="Q49" s="98">
        <f t="shared" si="28"/>
        <v>396665</v>
      </c>
      <c r="R49" s="98">
        <f t="shared" si="28"/>
        <v>412760</v>
      </c>
      <c r="S49" s="98">
        <f t="shared" si="28"/>
        <v>463454</v>
      </c>
      <c r="T49" s="98">
        <f t="shared" si="28"/>
        <v>471592</v>
      </c>
      <c r="U49" s="98">
        <f t="shared" si="28"/>
        <v>487278</v>
      </c>
      <c r="V49" s="98">
        <f t="shared" si="28"/>
        <v>494537</v>
      </c>
    </row>
    <row r="50" spans="1:1021 1028:2045 2052:3069 3076:4093 4100:5117 5124:6141 6148:7165 7172:8189 8196:9213 9220:10237 10244:11261 11268:12285 12292:13309 13316:14333 14340:15357 15364:16381" ht="15" customHeight="1"/>
    <row r="51" spans="1:1021 1028:2045 2052:3069 3076:4093 4100:5117 5124:6141 6148:7165 7172:8189 8196:9213 9220:10237 10244:11261 11268:12285 12292:13309 13316:14333 14340:15357 15364:16381" s="104" customFormat="1" ht="15" customHeight="1" thickBot="1">
      <c r="A51" s="4"/>
      <c r="B51" s="52" t="s">
        <v>273</v>
      </c>
      <c r="C51" s="54"/>
      <c r="D51" s="54"/>
      <c r="E51" s="54"/>
      <c r="F51" s="54"/>
      <c r="G51" s="54"/>
      <c r="H51" s="54"/>
      <c r="I51" s="54"/>
      <c r="J51" s="54"/>
      <c r="K51" s="54"/>
      <c r="L51" s="55"/>
      <c r="M51" s="55"/>
      <c r="N51" s="54"/>
      <c r="O51" s="54"/>
      <c r="P51" s="54"/>
      <c r="Q51" s="54"/>
      <c r="R51" s="54"/>
      <c r="S51" s="54"/>
      <c r="T51" s="54"/>
      <c r="U51" s="54"/>
      <c r="V51" s="54"/>
      <c r="AB51" s="56"/>
      <c r="AC51" s="105"/>
      <c r="AJ51" s="56"/>
      <c r="AK51" s="105"/>
      <c r="AR51" s="56"/>
      <c r="AS51" s="105"/>
      <c r="AZ51" s="56"/>
      <c r="BA51" s="105"/>
      <c r="BH51" s="56"/>
      <c r="BI51" s="105"/>
      <c r="BP51" s="56"/>
      <c r="BQ51" s="105"/>
      <c r="BX51" s="56"/>
      <c r="BY51" s="105"/>
      <c r="CF51" s="56"/>
      <c r="CG51" s="105"/>
      <c r="CN51" s="56"/>
      <c r="CO51" s="105"/>
      <c r="CV51" s="56"/>
      <c r="CW51" s="105"/>
      <c r="DD51" s="56"/>
      <c r="DE51" s="105"/>
      <c r="DL51" s="56"/>
      <c r="DM51" s="105"/>
      <c r="DT51" s="56"/>
      <c r="DU51" s="105"/>
      <c r="EB51" s="56"/>
      <c r="EC51" s="105"/>
      <c r="EJ51" s="56"/>
      <c r="EK51" s="105"/>
      <c r="ER51" s="56"/>
      <c r="ES51" s="105"/>
      <c r="EZ51" s="56"/>
      <c r="FA51" s="105"/>
      <c r="FH51" s="56"/>
      <c r="FI51" s="105"/>
      <c r="FP51" s="56"/>
      <c r="FQ51" s="105"/>
      <c r="FX51" s="56"/>
      <c r="FY51" s="105"/>
      <c r="GF51" s="56"/>
      <c r="GG51" s="105"/>
      <c r="GN51" s="56"/>
      <c r="GO51" s="105"/>
      <c r="GV51" s="56"/>
      <c r="GW51" s="105"/>
      <c r="HD51" s="56"/>
      <c r="HE51" s="105"/>
      <c r="HL51" s="56"/>
      <c r="HM51" s="105"/>
      <c r="HT51" s="56"/>
      <c r="HU51" s="105"/>
      <c r="IB51" s="56"/>
      <c r="IC51" s="105"/>
      <c r="IJ51" s="56"/>
      <c r="IK51" s="105"/>
      <c r="IR51" s="56"/>
      <c r="IS51" s="105"/>
      <c r="IZ51" s="56"/>
      <c r="JA51" s="105"/>
      <c r="JH51" s="56"/>
      <c r="JI51" s="105"/>
      <c r="JP51" s="56"/>
      <c r="JQ51" s="105"/>
      <c r="JX51" s="56"/>
      <c r="JY51" s="105"/>
      <c r="KF51" s="56"/>
      <c r="KG51" s="105"/>
      <c r="KN51" s="56"/>
      <c r="KO51" s="105"/>
      <c r="KV51" s="56"/>
      <c r="KW51" s="105"/>
      <c r="LD51" s="56"/>
      <c r="LE51" s="105"/>
      <c r="LL51" s="56"/>
      <c r="LM51" s="105"/>
      <c r="LT51" s="56"/>
      <c r="LU51" s="105"/>
      <c r="MB51" s="56"/>
      <c r="MC51" s="105"/>
      <c r="MJ51" s="56"/>
      <c r="MK51" s="105"/>
      <c r="MR51" s="56"/>
      <c r="MS51" s="105"/>
      <c r="MZ51" s="56"/>
      <c r="NA51" s="105"/>
      <c r="NH51" s="56"/>
      <c r="NI51" s="105"/>
      <c r="NP51" s="56"/>
      <c r="NQ51" s="105"/>
      <c r="NX51" s="56"/>
      <c r="NY51" s="105"/>
      <c r="OF51" s="56"/>
      <c r="OG51" s="105"/>
      <c r="ON51" s="56"/>
      <c r="OO51" s="105"/>
      <c r="OV51" s="56"/>
      <c r="OW51" s="105"/>
      <c r="PD51" s="56"/>
      <c r="PE51" s="105"/>
      <c r="PL51" s="56"/>
      <c r="PM51" s="105"/>
      <c r="PT51" s="56"/>
      <c r="PU51" s="105"/>
      <c r="QB51" s="56"/>
      <c r="QC51" s="105"/>
      <c r="QJ51" s="56"/>
      <c r="QK51" s="105"/>
      <c r="QR51" s="56"/>
      <c r="QS51" s="105"/>
      <c r="QZ51" s="56"/>
      <c r="RA51" s="105"/>
      <c r="RH51" s="56"/>
      <c r="RI51" s="105"/>
      <c r="RP51" s="56"/>
      <c r="RQ51" s="105"/>
      <c r="RX51" s="56"/>
      <c r="RY51" s="105"/>
      <c r="SF51" s="56"/>
      <c r="SG51" s="105"/>
      <c r="SN51" s="56"/>
      <c r="SO51" s="105"/>
      <c r="SV51" s="56"/>
      <c r="SW51" s="105"/>
      <c r="TD51" s="56"/>
      <c r="TE51" s="105"/>
      <c r="TL51" s="56"/>
      <c r="TM51" s="105"/>
      <c r="TT51" s="56"/>
      <c r="TU51" s="105"/>
      <c r="UB51" s="56"/>
      <c r="UC51" s="105"/>
      <c r="UJ51" s="56"/>
      <c r="UK51" s="105"/>
      <c r="UR51" s="56"/>
      <c r="US51" s="105"/>
      <c r="UZ51" s="56"/>
      <c r="VA51" s="105"/>
      <c r="VH51" s="56"/>
      <c r="VI51" s="105"/>
      <c r="VP51" s="56"/>
      <c r="VQ51" s="105"/>
      <c r="VX51" s="56"/>
      <c r="VY51" s="105"/>
      <c r="WF51" s="56"/>
      <c r="WG51" s="105"/>
      <c r="WN51" s="56"/>
      <c r="WO51" s="105"/>
      <c r="WV51" s="56"/>
      <c r="WW51" s="105"/>
      <c r="XD51" s="56"/>
      <c r="XE51" s="105"/>
      <c r="XL51" s="56"/>
      <c r="XM51" s="105"/>
      <c r="XT51" s="56"/>
      <c r="XU51" s="105"/>
      <c r="YB51" s="56"/>
      <c r="YC51" s="105"/>
      <c r="YJ51" s="56"/>
      <c r="YK51" s="105"/>
      <c r="YR51" s="56"/>
      <c r="YS51" s="105"/>
      <c r="YZ51" s="56"/>
      <c r="ZA51" s="105"/>
      <c r="ZH51" s="56"/>
      <c r="ZI51" s="105"/>
      <c r="ZP51" s="56"/>
      <c r="ZQ51" s="105"/>
      <c r="ZX51" s="56"/>
      <c r="ZY51" s="105"/>
      <c r="AAF51" s="56"/>
      <c r="AAG51" s="105"/>
      <c r="AAN51" s="56"/>
      <c r="AAO51" s="105"/>
      <c r="AAV51" s="56"/>
      <c r="AAW51" s="105"/>
      <c r="ABD51" s="56"/>
      <c r="ABE51" s="105"/>
      <c r="ABL51" s="56"/>
      <c r="ABM51" s="105"/>
      <c r="ABT51" s="56"/>
      <c r="ABU51" s="105"/>
      <c r="ACB51" s="56"/>
      <c r="ACC51" s="105"/>
      <c r="ACJ51" s="56"/>
      <c r="ACK51" s="105"/>
      <c r="ACR51" s="56"/>
      <c r="ACS51" s="105"/>
      <c r="ACZ51" s="56"/>
      <c r="ADA51" s="105"/>
      <c r="ADH51" s="56"/>
      <c r="ADI51" s="105"/>
      <c r="ADP51" s="56"/>
      <c r="ADQ51" s="105"/>
      <c r="ADX51" s="56"/>
      <c r="ADY51" s="105"/>
      <c r="AEF51" s="56"/>
      <c r="AEG51" s="105"/>
      <c r="AEN51" s="56"/>
      <c r="AEO51" s="105"/>
      <c r="AEV51" s="56"/>
      <c r="AEW51" s="105"/>
      <c r="AFD51" s="56"/>
      <c r="AFE51" s="105"/>
      <c r="AFL51" s="56"/>
      <c r="AFM51" s="105"/>
      <c r="AFT51" s="56"/>
      <c r="AFU51" s="105"/>
      <c r="AGB51" s="56"/>
      <c r="AGC51" s="105"/>
      <c r="AGJ51" s="56"/>
      <c r="AGK51" s="105"/>
      <c r="AGR51" s="56"/>
      <c r="AGS51" s="105"/>
      <c r="AGZ51" s="56"/>
      <c r="AHA51" s="105"/>
      <c r="AHH51" s="56"/>
      <c r="AHI51" s="105"/>
      <c r="AHP51" s="56"/>
      <c r="AHQ51" s="105"/>
      <c r="AHX51" s="56"/>
      <c r="AHY51" s="105"/>
      <c r="AIF51" s="56"/>
      <c r="AIG51" s="105"/>
      <c r="AIN51" s="56"/>
      <c r="AIO51" s="105"/>
      <c r="AIV51" s="56"/>
      <c r="AIW51" s="105"/>
      <c r="AJD51" s="56"/>
      <c r="AJE51" s="105"/>
      <c r="AJL51" s="56"/>
      <c r="AJM51" s="105"/>
      <c r="AJT51" s="56"/>
      <c r="AJU51" s="105"/>
      <c r="AKB51" s="56"/>
      <c r="AKC51" s="105"/>
      <c r="AKJ51" s="56"/>
      <c r="AKK51" s="105"/>
      <c r="AKR51" s="56"/>
      <c r="AKS51" s="105"/>
      <c r="AKZ51" s="56"/>
      <c r="ALA51" s="105"/>
      <c r="ALH51" s="56"/>
      <c r="ALI51" s="105"/>
      <c r="ALP51" s="56"/>
      <c r="ALQ51" s="105"/>
      <c r="ALX51" s="56"/>
      <c r="ALY51" s="105"/>
      <c r="AMF51" s="56"/>
      <c r="AMG51" s="105"/>
      <c r="AMN51" s="56"/>
      <c r="AMO51" s="105"/>
      <c r="AMV51" s="56"/>
      <c r="AMW51" s="105"/>
      <c r="AND51" s="56"/>
      <c r="ANE51" s="105"/>
      <c r="ANL51" s="56"/>
      <c r="ANM51" s="105"/>
      <c r="ANT51" s="56"/>
      <c r="ANU51" s="105"/>
      <c r="AOB51" s="56"/>
      <c r="AOC51" s="105"/>
      <c r="AOJ51" s="56"/>
      <c r="AOK51" s="105"/>
      <c r="AOR51" s="56"/>
      <c r="AOS51" s="105"/>
      <c r="AOZ51" s="56"/>
      <c r="APA51" s="105"/>
      <c r="APH51" s="56"/>
      <c r="API51" s="105"/>
      <c r="APP51" s="56"/>
      <c r="APQ51" s="105"/>
      <c r="APX51" s="56"/>
      <c r="APY51" s="105"/>
      <c r="AQF51" s="56"/>
      <c r="AQG51" s="105"/>
      <c r="AQN51" s="56"/>
      <c r="AQO51" s="105"/>
      <c r="AQV51" s="56"/>
      <c r="AQW51" s="105"/>
      <c r="ARD51" s="56"/>
      <c r="ARE51" s="105"/>
      <c r="ARL51" s="56"/>
      <c r="ARM51" s="105"/>
      <c r="ART51" s="56"/>
      <c r="ARU51" s="105"/>
      <c r="ASB51" s="56"/>
      <c r="ASC51" s="105"/>
      <c r="ASJ51" s="56"/>
      <c r="ASK51" s="105"/>
      <c r="ASR51" s="56"/>
      <c r="ASS51" s="105"/>
      <c r="ASZ51" s="56"/>
      <c r="ATA51" s="105"/>
      <c r="ATH51" s="56"/>
      <c r="ATI51" s="105"/>
      <c r="ATP51" s="56"/>
      <c r="ATQ51" s="105"/>
      <c r="ATX51" s="56"/>
      <c r="ATY51" s="105"/>
      <c r="AUF51" s="56"/>
      <c r="AUG51" s="105"/>
      <c r="AUN51" s="56"/>
      <c r="AUO51" s="105"/>
      <c r="AUV51" s="56"/>
      <c r="AUW51" s="105"/>
      <c r="AVD51" s="56"/>
      <c r="AVE51" s="105"/>
      <c r="AVL51" s="56"/>
      <c r="AVM51" s="105"/>
      <c r="AVT51" s="56"/>
      <c r="AVU51" s="105"/>
      <c r="AWB51" s="56"/>
      <c r="AWC51" s="105"/>
      <c r="AWJ51" s="56"/>
      <c r="AWK51" s="105"/>
      <c r="AWR51" s="56"/>
      <c r="AWS51" s="105"/>
      <c r="AWZ51" s="56"/>
      <c r="AXA51" s="105"/>
      <c r="AXH51" s="56"/>
      <c r="AXI51" s="105"/>
      <c r="AXP51" s="56"/>
      <c r="AXQ51" s="105"/>
      <c r="AXX51" s="56"/>
      <c r="AXY51" s="105"/>
      <c r="AYF51" s="56"/>
      <c r="AYG51" s="105"/>
      <c r="AYN51" s="56"/>
      <c r="AYO51" s="105"/>
      <c r="AYV51" s="56"/>
      <c r="AYW51" s="105"/>
      <c r="AZD51" s="56"/>
      <c r="AZE51" s="105"/>
      <c r="AZL51" s="56"/>
      <c r="AZM51" s="105"/>
      <c r="AZT51" s="56"/>
      <c r="AZU51" s="105"/>
      <c r="BAB51" s="56"/>
      <c r="BAC51" s="105"/>
      <c r="BAJ51" s="56"/>
      <c r="BAK51" s="105"/>
      <c r="BAR51" s="56"/>
      <c r="BAS51" s="105"/>
      <c r="BAZ51" s="56"/>
      <c r="BBA51" s="105"/>
      <c r="BBH51" s="56"/>
      <c r="BBI51" s="105"/>
      <c r="BBP51" s="56"/>
      <c r="BBQ51" s="105"/>
      <c r="BBX51" s="56"/>
      <c r="BBY51" s="105"/>
      <c r="BCF51" s="56"/>
      <c r="BCG51" s="105"/>
      <c r="BCN51" s="56"/>
      <c r="BCO51" s="105"/>
      <c r="BCV51" s="56"/>
      <c r="BCW51" s="105"/>
      <c r="BDD51" s="56"/>
      <c r="BDE51" s="105"/>
      <c r="BDL51" s="56"/>
      <c r="BDM51" s="105"/>
      <c r="BDT51" s="56"/>
      <c r="BDU51" s="105"/>
      <c r="BEB51" s="56"/>
      <c r="BEC51" s="105"/>
      <c r="BEJ51" s="56"/>
      <c r="BEK51" s="105"/>
      <c r="BER51" s="56"/>
      <c r="BES51" s="105"/>
      <c r="BEZ51" s="56"/>
      <c r="BFA51" s="105"/>
      <c r="BFH51" s="56"/>
      <c r="BFI51" s="105"/>
      <c r="BFP51" s="56"/>
      <c r="BFQ51" s="105"/>
      <c r="BFX51" s="56"/>
      <c r="BFY51" s="105"/>
      <c r="BGF51" s="56"/>
      <c r="BGG51" s="105"/>
      <c r="BGN51" s="56"/>
      <c r="BGO51" s="105"/>
      <c r="BGV51" s="56"/>
      <c r="BGW51" s="105"/>
      <c r="BHD51" s="56"/>
      <c r="BHE51" s="105"/>
      <c r="BHL51" s="56"/>
      <c r="BHM51" s="105"/>
      <c r="BHT51" s="56"/>
      <c r="BHU51" s="105"/>
      <c r="BIB51" s="56"/>
      <c r="BIC51" s="105"/>
      <c r="BIJ51" s="56"/>
      <c r="BIK51" s="105"/>
      <c r="BIR51" s="56"/>
      <c r="BIS51" s="105"/>
      <c r="BIZ51" s="56"/>
      <c r="BJA51" s="105"/>
      <c r="BJH51" s="56"/>
      <c r="BJI51" s="105"/>
      <c r="BJP51" s="56"/>
      <c r="BJQ51" s="105"/>
      <c r="BJX51" s="56"/>
      <c r="BJY51" s="105"/>
      <c r="BKF51" s="56"/>
      <c r="BKG51" s="105"/>
      <c r="BKN51" s="56"/>
      <c r="BKO51" s="105"/>
      <c r="BKV51" s="56"/>
      <c r="BKW51" s="105"/>
      <c r="BLD51" s="56"/>
      <c r="BLE51" s="105"/>
      <c r="BLL51" s="56"/>
      <c r="BLM51" s="105"/>
      <c r="BLT51" s="56"/>
      <c r="BLU51" s="105"/>
      <c r="BMB51" s="56"/>
      <c r="BMC51" s="105"/>
      <c r="BMJ51" s="56"/>
      <c r="BMK51" s="105"/>
      <c r="BMR51" s="56"/>
      <c r="BMS51" s="105"/>
      <c r="BMZ51" s="56"/>
      <c r="BNA51" s="105"/>
      <c r="BNH51" s="56"/>
      <c r="BNI51" s="105"/>
      <c r="BNP51" s="56"/>
      <c r="BNQ51" s="105"/>
      <c r="BNX51" s="56"/>
      <c r="BNY51" s="105"/>
      <c r="BOF51" s="56"/>
      <c r="BOG51" s="105"/>
      <c r="BON51" s="56"/>
      <c r="BOO51" s="105"/>
      <c r="BOV51" s="56"/>
      <c r="BOW51" s="105"/>
      <c r="BPD51" s="56"/>
      <c r="BPE51" s="105"/>
      <c r="BPL51" s="56"/>
      <c r="BPM51" s="105"/>
      <c r="BPT51" s="56"/>
      <c r="BPU51" s="105"/>
      <c r="BQB51" s="56"/>
      <c r="BQC51" s="105"/>
      <c r="BQJ51" s="56"/>
      <c r="BQK51" s="105"/>
      <c r="BQR51" s="56"/>
      <c r="BQS51" s="105"/>
      <c r="BQZ51" s="56"/>
      <c r="BRA51" s="105"/>
      <c r="BRH51" s="56"/>
      <c r="BRI51" s="105"/>
      <c r="BRP51" s="56"/>
      <c r="BRQ51" s="105"/>
      <c r="BRX51" s="56"/>
      <c r="BRY51" s="105"/>
      <c r="BSF51" s="56"/>
      <c r="BSG51" s="105"/>
      <c r="BSN51" s="56"/>
      <c r="BSO51" s="105"/>
      <c r="BSV51" s="56"/>
      <c r="BSW51" s="105"/>
      <c r="BTD51" s="56"/>
      <c r="BTE51" s="105"/>
      <c r="BTL51" s="56"/>
      <c r="BTM51" s="105"/>
      <c r="BTT51" s="56"/>
      <c r="BTU51" s="105"/>
      <c r="BUB51" s="56"/>
      <c r="BUC51" s="105"/>
      <c r="BUJ51" s="56"/>
      <c r="BUK51" s="105"/>
      <c r="BUR51" s="56"/>
      <c r="BUS51" s="105"/>
      <c r="BUZ51" s="56"/>
      <c r="BVA51" s="105"/>
      <c r="BVH51" s="56"/>
      <c r="BVI51" s="105"/>
      <c r="BVP51" s="56"/>
      <c r="BVQ51" s="105"/>
      <c r="BVX51" s="56"/>
      <c r="BVY51" s="105"/>
      <c r="BWF51" s="56"/>
      <c r="BWG51" s="105"/>
      <c r="BWN51" s="56"/>
      <c r="BWO51" s="105"/>
      <c r="BWV51" s="56"/>
      <c r="BWW51" s="105"/>
      <c r="BXD51" s="56"/>
      <c r="BXE51" s="105"/>
      <c r="BXL51" s="56"/>
      <c r="BXM51" s="105"/>
      <c r="BXT51" s="56"/>
      <c r="BXU51" s="105"/>
      <c r="BYB51" s="56"/>
      <c r="BYC51" s="105"/>
      <c r="BYJ51" s="56"/>
      <c r="BYK51" s="105"/>
      <c r="BYR51" s="56"/>
      <c r="BYS51" s="105"/>
      <c r="BYZ51" s="56"/>
      <c r="BZA51" s="105"/>
      <c r="BZH51" s="56"/>
      <c r="BZI51" s="105"/>
      <c r="BZP51" s="56"/>
      <c r="BZQ51" s="105"/>
      <c r="BZX51" s="56"/>
      <c r="BZY51" s="105"/>
      <c r="CAF51" s="56"/>
      <c r="CAG51" s="105"/>
      <c r="CAN51" s="56"/>
      <c r="CAO51" s="105"/>
      <c r="CAV51" s="56"/>
      <c r="CAW51" s="105"/>
      <c r="CBD51" s="56"/>
      <c r="CBE51" s="105"/>
      <c r="CBL51" s="56"/>
      <c r="CBM51" s="105"/>
      <c r="CBT51" s="56"/>
      <c r="CBU51" s="105"/>
      <c r="CCB51" s="56"/>
      <c r="CCC51" s="105"/>
      <c r="CCJ51" s="56"/>
      <c r="CCK51" s="105"/>
      <c r="CCR51" s="56"/>
      <c r="CCS51" s="105"/>
      <c r="CCZ51" s="56"/>
      <c r="CDA51" s="105"/>
      <c r="CDH51" s="56"/>
      <c r="CDI51" s="105"/>
      <c r="CDP51" s="56"/>
      <c r="CDQ51" s="105"/>
      <c r="CDX51" s="56"/>
      <c r="CDY51" s="105"/>
      <c r="CEF51" s="56"/>
      <c r="CEG51" s="105"/>
      <c r="CEN51" s="56"/>
      <c r="CEO51" s="105"/>
      <c r="CEV51" s="56"/>
      <c r="CEW51" s="105"/>
      <c r="CFD51" s="56"/>
      <c r="CFE51" s="105"/>
      <c r="CFL51" s="56"/>
      <c r="CFM51" s="105"/>
      <c r="CFT51" s="56"/>
      <c r="CFU51" s="105"/>
      <c r="CGB51" s="56"/>
      <c r="CGC51" s="105"/>
      <c r="CGJ51" s="56"/>
      <c r="CGK51" s="105"/>
      <c r="CGR51" s="56"/>
      <c r="CGS51" s="105"/>
      <c r="CGZ51" s="56"/>
      <c r="CHA51" s="105"/>
      <c r="CHH51" s="56"/>
      <c r="CHI51" s="105"/>
      <c r="CHP51" s="56"/>
      <c r="CHQ51" s="105"/>
      <c r="CHX51" s="56"/>
      <c r="CHY51" s="105"/>
      <c r="CIF51" s="56"/>
      <c r="CIG51" s="105"/>
      <c r="CIN51" s="56"/>
      <c r="CIO51" s="105"/>
      <c r="CIV51" s="56"/>
      <c r="CIW51" s="105"/>
      <c r="CJD51" s="56"/>
      <c r="CJE51" s="105"/>
      <c r="CJL51" s="56"/>
      <c r="CJM51" s="105"/>
      <c r="CJT51" s="56"/>
      <c r="CJU51" s="105"/>
      <c r="CKB51" s="56"/>
      <c r="CKC51" s="105"/>
      <c r="CKJ51" s="56"/>
      <c r="CKK51" s="105"/>
      <c r="CKR51" s="56"/>
      <c r="CKS51" s="105"/>
      <c r="CKZ51" s="56"/>
      <c r="CLA51" s="105"/>
      <c r="CLH51" s="56"/>
      <c r="CLI51" s="105"/>
      <c r="CLP51" s="56"/>
      <c r="CLQ51" s="105"/>
      <c r="CLX51" s="56"/>
      <c r="CLY51" s="105"/>
      <c r="CMF51" s="56"/>
      <c r="CMG51" s="105"/>
      <c r="CMN51" s="56"/>
      <c r="CMO51" s="105"/>
      <c r="CMV51" s="56"/>
      <c r="CMW51" s="105"/>
      <c r="CND51" s="56"/>
      <c r="CNE51" s="105"/>
      <c r="CNL51" s="56"/>
      <c r="CNM51" s="105"/>
      <c r="CNT51" s="56"/>
      <c r="CNU51" s="105"/>
      <c r="COB51" s="56"/>
      <c r="COC51" s="105"/>
      <c r="COJ51" s="56"/>
      <c r="COK51" s="105"/>
      <c r="COR51" s="56"/>
      <c r="COS51" s="105"/>
      <c r="COZ51" s="56"/>
      <c r="CPA51" s="105"/>
      <c r="CPH51" s="56"/>
      <c r="CPI51" s="105"/>
      <c r="CPP51" s="56"/>
      <c r="CPQ51" s="105"/>
      <c r="CPX51" s="56"/>
      <c r="CPY51" s="105"/>
      <c r="CQF51" s="56"/>
      <c r="CQG51" s="105"/>
      <c r="CQN51" s="56"/>
      <c r="CQO51" s="105"/>
      <c r="CQV51" s="56"/>
      <c r="CQW51" s="105"/>
      <c r="CRD51" s="56"/>
      <c r="CRE51" s="105"/>
      <c r="CRL51" s="56"/>
      <c r="CRM51" s="105"/>
      <c r="CRT51" s="56"/>
      <c r="CRU51" s="105"/>
      <c r="CSB51" s="56"/>
      <c r="CSC51" s="105"/>
      <c r="CSJ51" s="56"/>
      <c r="CSK51" s="105"/>
      <c r="CSR51" s="56"/>
      <c r="CSS51" s="105"/>
      <c r="CSZ51" s="56"/>
      <c r="CTA51" s="105"/>
      <c r="CTH51" s="56"/>
      <c r="CTI51" s="105"/>
      <c r="CTP51" s="56"/>
      <c r="CTQ51" s="105"/>
      <c r="CTX51" s="56"/>
      <c r="CTY51" s="105"/>
      <c r="CUF51" s="56"/>
      <c r="CUG51" s="105"/>
      <c r="CUN51" s="56"/>
      <c r="CUO51" s="105"/>
      <c r="CUV51" s="56"/>
      <c r="CUW51" s="105"/>
      <c r="CVD51" s="56"/>
      <c r="CVE51" s="105"/>
      <c r="CVL51" s="56"/>
      <c r="CVM51" s="105"/>
      <c r="CVT51" s="56"/>
      <c r="CVU51" s="105"/>
      <c r="CWB51" s="56"/>
      <c r="CWC51" s="105"/>
      <c r="CWJ51" s="56"/>
      <c r="CWK51" s="105"/>
      <c r="CWR51" s="56"/>
      <c r="CWS51" s="105"/>
      <c r="CWZ51" s="56"/>
      <c r="CXA51" s="105"/>
      <c r="CXH51" s="56"/>
      <c r="CXI51" s="105"/>
      <c r="CXP51" s="56"/>
      <c r="CXQ51" s="105"/>
      <c r="CXX51" s="56"/>
      <c r="CXY51" s="105"/>
      <c r="CYF51" s="56"/>
      <c r="CYG51" s="105"/>
      <c r="CYN51" s="56"/>
      <c r="CYO51" s="105"/>
      <c r="CYV51" s="56"/>
      <c r="CYW51" s="105"/>
      <c r="CZD51" s="56"/>
      <c r="CZE51" s="105"/>
      <c r="CZL51" s="56"/>
      <c r="CZM51" s="105"/>
      <c r="CZT51" s="56"/>
      <c r="CZU51" s="105"/>
      <c r="DAB51" s="56"/>
      <c r="DAC51" s="105"/>
      <c r="DAJ51" s="56"/>
      <c r="DAK51" s="105"/>
      <c r="DAR51" s="56"/>
      <c r="DAS51" s="105"/>
      <c r="DAZ51" s="56"/>
      <c r="DBA51" s="105"/>
      <c r="DBH51" s="56"/>
      <c r="DBI51" s="105"/>
      <c r="DBP51" s="56"/>
      <c r="DBQ51" s="105"/>
      <c r="DBX51" s="56"/>
      <c r="DBY51" s="105"/>
      <c r="DCF51" s="56"/>
      <c r="DCG51" s="105"/>
      <c r="DCN51" s="56"/>
      <c r="DCO51" s="105"/>
      <c r="DCV51" s="56"/>
      <c r="DCW51" s="105"/>
      <c r="DDD51" s="56"/>
      <c r="DDE51" s="105"/>
      <c r="DDL51" s="56"/>
      <c r="DDM51" s="105"/>
      <c r="DDT51" s="56"/>
      <c r="DDU51" s="105"/>
      <c r="DEB51" s="56"/>
      <c r="DEC51" s="105"/>
      <c r="DEJ51" s="56"/>
      <c r="DEK51" s="105"/>
      <c r="DER51" s="56"/>
      <c r="DES51" s="105"/>
      <c r="DEZ51" s="56"/>
      <c r="DFA51" s="105"/>
      <c r="DFH51" s="56"/>
      <c r="DFI51" s="105"/>
      <c r="DFP51" s="56"/>
      <c r="DFQ51" s="105"/>
      <c r="DFX51" s="56"/>
      <c r="DFY51" s="105"/>
      <c r="DGF51" s="56"/>
      <c r="DGG51" s="105"/>
      <c r="DGN51" s="56"/>
      <c r="DGO51" s="105"/>
      <c r="DGV51" s="56"/>
      <c r="DGW51" s="105"/>
      <c r="DHD51" s="56"/>
      <c r="DHE51" s="105"/>
      <c r="DHL51" s="56"/>
      <c r="DHM51" s="105"/>
      <c r="DHT51" s="56"/>
      <c r="DHU51" s="105"/>
      <c r="DIB51" s="56"/>
      <c r="DIC51" s="105"/>
      <c r="DIJ51" s="56"/>
      <c r="DIK51" s="105"/>
      <c r="DIR51" s="56"/>
      <c r="DIS51" s="105"/>
      <c r="DIZ51" s="56"/>
      <c r="DJA51" s="105"/>
      <c r="DJH51" s="56"/>
      <c r="DJI51" s="105"/>
      <c r="DJP51" s="56"/>
      <c r="DJQ51" s="105"/>
      <c r="DJX51" s="56"/>
      <c r="DJY51" s="105"/>
      <c r="DKF51" s="56"/>
      <c r="DKG51" s="105"/>
      <c r="DKN51" s="56"/>
      <c r="DKO51" s="105"/>
      <c r="DKV51" s="56"/>
      <c r="DKW51" s="105"/>
      <c r="DLD51" s="56"/>
      <c r="DLE51" s="105"/>
      <c r="DLL51" s="56"/>
      <c r="DLM51" s="105"/>
      <c r="DLT51" s="56"/>
      <c r="DLU51" s="105"/>
      <c r="DMB51" s="56"/>
      <c r="DMC51" s="105"/>
      <c r="DMJ51" s="56"/>
      <c r="DMK51" s="105"/>
      <c r="DMR51" s="56"/>
      <c r="DMS51" s="105"/>
      <c r="DMZ51" s="56"/>
      <c r="DNA51" s="105"/>
      <c r="DNH51" s="56"/>
      <c r="DNI51" s="105"/>
      <c r="DNP51" s="56"/>
      <c r="DNQ51" s="105"/>
      <c r="DNX51" s="56"/>
      <c r="DNY51" s="105"/>
      <c r="DOF51" s="56"/>
      <c r="DOG51" s="105"/>
      <c r="DON51" s="56"/>
      <c r="DOO51" s="105"/>
      <c r="DOV51" s="56"/>
      <c r="DOW51" s="105"/>
      <c r="DPD51" s="56"/>
      <c r="DPE51" s="105"/>
      <c r="DPL51" s="56"/>
      <c r="DPM51" s="105"/>
      <c r="DPT51" s="56"/>
      <c r="DPU51" s="105"/>
      <c r="DQB51" s="56"/>
      <c r="DQC51" s="105"/>
      <c r="DQJ51" s="56"/>
      <c r="DQK51" s="105"/>
      <c r="DQR51" s="56"/>
      <c r="DQS51" s="105"/>
      <c r="DQZ51" s="56"/>
      <c r="DRA51" s="105"/>
      <c r="DRH51" s="56"/>
      <c r="DRI51" s="105"/>
      <c r="DRP51" s="56"/>
      <c r="DRQ51" s="105"/>
      <c r="DRX51" s="56"/>
      <c r="DRY51" s="105"/>
      <c r="DSF51" s="56"/>
      <c r="DSG51" s="105"/>
      <c r="DSN51" s="56"/>
      <c r="DSO51" s="105"/>
      <c r="DSV51" s="56"/>
      <c r="DSW51" s="105"/>
      <c r="DTD51" s="56"/>
      <c r="DTE51" s="105"/>
      <c r="DTL51" s="56"/>
      <c r="DTM51" s="105"/>
      <c r="DTT51" s="56"/>
      <c r="DTU51" s="105"/>
      <c r="DUB51" s="56"/>
      <c r="DUC51" s="105"/>
      <c r="DUJ51" s="56"/>
      <c r="DUK51" s="105"/>
      <c r="DUR51" s="56"/>
      <c r="DUS51" s="105"/>
      <c r="DUZ51" s="56"/>
      <c r="DVA51" s="105"/>
      <c r="DVH51" s="56"/>
      <c r="DVI51" s="105"/>
      <c r="DVP51" s="56"/>
      <c r="DVQ51" s="105"/>
      <c r="DVX51" s="56"/>
      <c r="DVY51" s="105"/>
      <c r="DWF51" s="56"/>
      <c r="DWG51" s="105"/>
      <c r="DWN51" s="56"/>
      <c r="DWO51" s="105"/>
      <c r="DWV51" s="56"/>
      <c r="DWW51" s="105"/>
      <c r="DXD51" s="56"/>
      <c r="DXE51" s="105"/>
      <c r="DXL51" s="56"/>
      <c r="DXM51" s="105"/>
      <c r="DXT51" s="56"/>
      <c r="DXU51" s="105"/>
      <c r="DYB51" s="56"/>
      <c r="DYC51" s="105"/>
      <c r="DYJ51" s="56"/>
      <c r="DYK51" s="105"/>
      <c r="DYR51" s="56"/>
      <c r="DYS51" s="105"/>
      <c r="DYZ51" s="56"/>
      <c r="DZA51" s="105"/>
      <c r="DZH51" s="56"/>
      <c r="DZI51" s="105"/>
      <c r="DZP51" s="56"/>
      <c r="DZQ51" s="105"/>
      <c r="DZX51" s="56"/>
      <c r="DZY51" s="105"/>
      <c r="EAF51" s="56"/>
      <c r="EAG51" s="105"/>
      <c r="EAN51" s="56"/>
      <c r="EAO51" s="105"/>
      <c r="EAV51" s="56"/>
      <c r="EAW51" s="105"/>
      <c r="EBD51" s="56"/>
      <c r="EBE51" s="105"/>
      <c r="EBL51" s="56"/>
      <c r="EBM51" s="105"/>
      <c r="EBT51" s="56"/>
      <c r="EBU51" s="105"/>
      <c r="ECB51" s="56"/>
      <c r="ECC51" s="105"/>
      <c r="ECJ51" s="56"/>
      <c r="ECK51" s="105"/>
      <c r="ECR51" s="56"/>
      <c r="ECS51" s="105"/>
      <c r="ECZ51" s="56"/>
      <c r="EDA51" s="105"/>
      <c r="EDH51" s="56"/>
      <c r="EDI51" s="105"/>
      <c r="EDP51" s="56"/>
      <c r="EDQ51" s="105"/>
      <c r="EDX51" s="56"/>
      <c r="EDY51" s="105"/>
      <c r="EEF51" s="56"/>
      <c r="EEG51" s="105"/>
      <c r="EEN51" s="56"/>
      <c r="EEO51" s="105"/>
      <c r="EEV51" s="56"/>
      <c r="EEW51" s="105"/>
      <c r="EFD51" s="56"/>
      <c r="EFE51" s="105"/>
      <c r="EFL51" s="56"/>
      <c r="EFM51" s="105"/>
      <c r="EFT51" s="56"/>
      <c r="EFU51" s="105"/>
      <c r="EGB51" s="56"/>
      <c r="EGC51" s="105"/>
      <c r="EGJ51" s="56"/>
      <c r="EGK51" s="105"/>
      <c r="EGR51" s="56"/>
      <c r="EGS51" s="105"/>
      <c r="EGZ51" s="56"/>
      <c r="EHA51" s="105"/>
      <c r="EHH51" s="56"/>
      <c r="EHI51" s="105"/>
      <c r="EHP51" s="56"/>
      <c r="EHQ51" s="105"/>
      <c r="EHX51" s="56"/>
      <c r="EHY51" s="105"/>
      <c r="EIF51" s="56"/>
      <c r="EIG51" s="105"/>
      <c r="EIN51" s="56"/>
      <c r="EIO51" s="105"/>
      <c r="EIV51" s="56"/>
      <c r="EIW51" s="105"/>
      <c r="EJD51" s="56"/>
      <c r="EJE51" s="105"/>
      <c r="EJL51" s="56"/>
      <c r="EJM51" s="105"/>
      <c r="EJT51" s="56"/>
      <c r="EJU51" s="105"/>
      <c r="EKB51" s="56"/>
      <c r="EKC51" s="105"/>
      <c r="EKJ51" s="56"/>
      <c r="EKK51" s="105"/>
      <c r="EKR51" s="56"/>
      <c r="EKS51" s="105"/>
      <c r="EKZ51" s="56"/>
      <c r="ELA51" s="105"/>
      <c r="ELH51" s="56"/>
      <c r="ELI51" s="105"/>
      <c r="ELP51" s="56"/>
      <c r="ELQ51" s="105"/>
      <c r="ELX51" s="56"/>
      <c r="ELY51" s="105"/>
      <c r="EMF51" s="56"/>
      <c r="EMG51" s="105"/>
      <c r="EMN51" s="56"/>
      <c r="EMO51" s="105"/>
      <c r="EMV51" s="56"/>
      <c r="EMW51" s="105"/>
      <c r="END51" s="56"/>
      <c r="ENE51" s="105"/>
      <c r="ENL51" s="56"/>
      <c r="ENM51" s="105"/>
      <c r="ENT51" s="56"/>
      <c r="ENU51" s="105"/>
      <c r="EOB51" s="56"/>
      <c r="EOC51" s="105"/>
      <c r="EOJ51" s="56"/>
      <c r="EOK51" s="105"/>
      <c r="EOR51" s="56"/>
      <c r="EOS51" s="105"/>
      <c r="EOZ51" s="56"/>
      <c r="EPA51" s="105"/>
      <c r="EPH51" s="56"/>
      <c r="EPI51" s="105"/>
      <c r="EPP51" s="56"/>
      <c r="EPQ51" s="105"/>
      <c r="EPX51" s="56"/>
      <c r="EPY51" s="105"/>
      <c r="EQF51" s="56"/>
      <c r="EQG51" s="105"/>
      <c r="EQN51" s="56"/>
      <c r="EQO51" s="105"/>
      <c r="EQV51" s="56"/>
      <c r="EQW51" s="105"/>
      <c r="ERD51" s="56"/>
      <c r="ERE51" s="105"/>
      <c r="ERL51" s="56"/>
      <c r="ERM51" s="105"/>
      <c r="ERT51" s="56"/>
      <c r="ERU51" s="105"/>
      <c r="ESB51" s="56"/>
      <c r="ESC51" s="105"/>
      <c r="ESJ51" s="56"/>
      <c r="ESK51" s="105"/>
      <c r="ESR51" s="56"/>
      <c r="ESS51" s="105"/>
      <c r="ESZ51" s="56"/>
      <c r="ETA51" s="105"/>
      <c r="ETH51" s="56"/>
      <c r="ETI51" s="105"/>
      <c r="ETP51" s="56"/>
      <c r="ETQ51" s="105"/>
      <c r="ETX51" s="56"/>
      <c r="ETY51" s="105"/>
      <c r="EUF51" s="56"/>
      <c r="EUG51" s="105"/>
      <c r="EUN51" s="56"/>
      <c r="EUO51" s="105"/>
      <c r="EUV51" s="56"/>
      <c r="EUW51" s="105"/>
      <c r="EVD51" s="56"/>
      <c r="EVE51" s="105"/>
      <c r="EVL51" s="56"/>
      <c r="EVM51" s="105"/>
      <c r="EVT51" s="56"/>
      <c r="EVU51" s="105"/>
      <c r="EWB51" s="56"/>
      <c r="EWC51" s="105"/>
      <c r="EWJ51" s="56"/>
      <c r="EWK51" s="105"/>
      <c r="EWR51" s="56"/>
      <c r="EWS51" s="105"/>
      <c r="EWZ51" s="56"/>
      <c r="EXA51" s="105"/>
      <c r="EXH51" s="56"/>
      <c r="EXI51" s="105"/>
      <c r="EXP51" s="56"/>
      <c r="EXQ51" s="105"/>
      <c r="EXX51" s="56"/>
      <c r="EXY51" s="105"/>
      <c r="EYF51" s="56"/>
      <c r="EYG51" s="105"/>
      <c r="EYN51" s="56"/>
      <c r="EYO51" s="105"/>
      <c r="EYV51" s="56"/>
      <c r="EYW51" s="105"/>
      <c r="EZD51" s="56"/>
      <c r="EZE51" s="105"/>
      <c r="EZL51" s="56"/>
      <c r="EZM51" s="105"/>
      <c r="EZT51" s="56"/>
      <c r="EZU51" s="105"/>
      <c r="FAB51" s="56"/>
      <c r="FAC51" s="105"/>
      <c r="FAJ51" s="56"/>
      <c r="FAK51" s="105"/>
      <c r="FAR51" s="56"/>
      <c r="FAS51" s="105"/>
      <c r="FAZ51" s="56"/>
      <c r="FBA51" s="105"/>
      <c r="FBH51" s="56"/>
      <c r="FBI51" s="105"/>
      <c r="FBP51" s="56"/>
      <c r="FBQ51" s="105"/>
      <c r="FBX51" s="56"/>
      <c r="FBY51" s="105"/>
      <c r="FCF51" s="56"/>
      <c r="FCG51" s="105"/>
      <c r="FCN51" s="56"/>
      <c r="FCO51" s="105"/>
      <c r="FCV51" s="56"/>
      <c r="FCW51" s="105"/>
      <c r="FDD51" s="56"/>
      <c r="FDE51" s="105"/>
      <c r="FDL51" s="56"/>
      <c r="FDM51" s="105"/>
      <c r="FDT51" s="56"/>
      <c r="FDU51" s="105"/>
      <c r="FEB51" s="56"/>
      <c r="FEC51" s="105"/>
      <c r="FEJ51" s="56"/>
      <c r="FEK51" s="105"/>
      <c r="FER51" s="56"/>
      <c r="FES51" s="105"/>
      <c r="FEZ51" s="56"/>
      <c r="FFA51" s="105"/>
      <c r="FFH51" s="56"/>
      <c r="FFI51" s="105"/>
      <c r="FFP51" s="56"/>
      <c r="FFQ51" s="105"/>
      <c r="FFX51" s="56"/>
      <c r="FFY51" s="105"/>
      <c r="FGF51" s="56"/>
      <c r="FGG51" s="105"/>
      <c r="FGN51" s="56"/>
      <c r="FGO51" s="105"/>
      <c r="FGV51" s="56"/>
      <c r="FGW51" s="105"/>
      <c r="FHD51" s="56"/>
      <c r="FHE51" s="105"/>
      <c r="FHL51" s="56"/>
      <c r="FHM51" s="105"/>
      <c r="FHT51" s="56"/>
      <c r="FHU51" s="105"/>
      <c r="FIB51" s="56"/>
      <c r="FIC51" s="105"/>
      <c r="FIJ51" s="56"/>
      <c r="FIK51" s="105"/>
      <c r="FIR51" s="56"/>
      <c r="FIS51" s="105"/>
      <c r="FIZ51" s="56"/>
      <c r="FJA51" s="105"/>
      <c r="FJH51" s="56"/>
      <c r="FJI51" s="105"/>
      <c r="FJP51" s="56"/>
      <c r="FJQ51" s="105"/>
      <c r="FJX51" s="56"/>
      <c r="FJY51" s="105"/>
      <c r="FKF51" s="56"/>
      <c r="FKG51" s="105"/>
      <c r="FKN51" s="56"/>
      <c r="FKO51" s="105"/>
      <c r="FKV51" s="56"/>
      <c r="FKW51" s="105"/>
      <c r="FLD51" s="56"/>
      <c r="FLE51" s="105"/>
      <c r="FLL51" s="56"/>
      <c r="FLM51" s="105"/>
      <c r="FLT51" s="56"/>
      <c r="FLU51" s="105"/>
      <c r="FMB51" s="56"/>
      <c r="FMC51" s="105"/>
      <c r="FMJ51" s="56"/>
      <c r="FMK51" s="105"/>
      <c r="FMR51" s="56"/>
      <c r="FMS51" s="105"/>
      <c r="FMZ51" s="56"/>
      <c r="FNA51" s="105"/>
      <c r="FNH51" s="56"/>
      <c r="FNI51" s="105"/>
      <c r="FNP51" s="56"/>
      <c r="FNQ51" s="105"/>
      <c r="FNX51" s="56"/>
      <c r="FNY51" s="105"/>
      <c r="FOF51" s="56"/>
      <c r="FOG51" s="105"/>
      <c r="FON51" s="56"/>
      <c r="FOO51" s="105"/>
      <c r="FOV51" s="56"/>
      <c r="FOW51" s="105"/>
      <c r="FPD51" s="56"/>
      <c r="FPE51" s="105"/>
      <c r="FPL51" s="56"/>
      <c r="FPM51" s="105"/>
      <c r="FPT51" s="56"/>
      <c r="FPU51" s="105"/>
      <c r="FQB51" s="56"/>
      <c r="FQC51" s="105"/>
      <c r="FQJ51" s="56"/>
      <c r="FQK51" s="105"/>
      <c r="FQR51" s="56"/>
      <c r="FQS51" s="105"/>
      <c r="FQZ51" s="56"/>
      <c r="FRA51" s="105"/>
      <c r="FRH51" s="56"/>
      <c r="FRI51" s="105"/>
      <c r="FRP51" s="56"/>
      <c r="FRQ51" s="105"/>
      <c r="FRX51" s="56"/>
      <c r="FRY51" s="105"/>
      <c r="FSF51" s="56"/>
      <c r="FSG51" s="105"/>
      <c r="FSN51" s="56"/>
      <c r="FSO51" s="105"/>
      <c r="FSV51" s="56"/>
      <c r="FSW51" s="105"/>
      <c r="FTD51" s="56"/>
      <c r="FTE51" s="105"/>
      <c r="FTL51" s="56"/>
      <c r="FTM51" s="105"/>
      <c r="FTT51" s="56"/>
      <c r="FTU51" s="105"/>
      <c r="FUB51" s="56"/>
      <c r="FUC51" s="105"/>
      <c r="FUJ51" s="56"/>
      <c r="FUK51" s="105"/>
      <c r="FUR51" s="56"/>
      <c r="FUS51" s="105"/>
      <c r="FUZ51" s="56"/>
      <c r="FVA51" s="105"/>
      <c r="FVH51" s="56"/>
      <c r="FVI51" s="105"/>
      <c r="FVP51" s="56"/>
      <c r="FVQ51" s="105"/>
      <c r="FVX51" s="56"/>
      <c r="FVY51" s="105"/>
      <c r="FWF51" s="56"/>
      <c r="FWG51" s="105"/>
      <c r="FWN51" s="56"/>
      <c r="FWO51" s="105"/>
      <c r="FWV51" s="56"/>
      <c r="FWW51" s="105"/>
      <c r="FXD51" s="56"/>
      <c r="FXE51" s="105"/>
      <c r="FXL51" s="56"/>
      <c r="FXM51" s="105"/>
      <c r="FXT51" s="56"/>
      <c r="FXU51" s="105"/>
      <c r="FYB51" s="56"/>
      <c r="FYC51" s="105"/>
      <c r="FYJ51" s="56"/>
      <c r="FYK51" s="105"/>
      <c r="FYR51" s="56"/>
      <c r="FYS51" s="105"/>
      <c r="FYZ51" s="56"/>
      <c r="FZA51" s="105"/>
      <c r="FZH51" s="56"/>
      <c r="FZI51" s="105"/>
      <c r="FZP51" s="56"/>
      <c r="FZQ51" s="105"/>
      <c r="FZX51" s="56"/>
      <c r="FZY51" s="105"/>
      <c r="GAF51" s="56"/>
      <c r="GAG51" s="105"/>
      <c r="GAN51" s="56"/>
      <c r="GAO51" s="105"/>
      <c r="GAV51" s="56"/>
      <c r="GAW51" s="105"/>
      <c r="GBD51" s="56"/>
      <c r="GBE51" s="105"/>
      <c r="GBL51" s="56"/>
      <c r="GBM51" s="105"/>
      <c r="GBT51" s="56"/>
      <c r="GBU51" s="105"/>
      <c r="GCB51" s="56"/>
      <c r="GCC51" s="105"/>
      <c r="GCJ51" s="56"/>
      <c r="GCK51" s="105"/>
      <c r="GCR51" s="56"/>
      <c r="GCS51" s="105"/>
      <c r="GCZ51" s="56"/>
      <c r="GDA51" s="105"/>
      <c r="GDH51" s="56"/>
      <c r="GDI51" s="105"/>
      <c r="GDP51" s="56"/>
      <c r="GDQ51" s="105"/>
      <c r="GDX51" s="56"/>
      <c r="GDY51" s="105"/>
      <c r="GEF51" s="56"/>
      <c r="GEG51" s="105"/>
      <c r="GEN51" s="56"/>
      <c r="GEO51" s="105"/>
      <c r="GEV51" s="56"/>
      <c r="GEW51" s="105"/>
      <c r="GFD51" s="56"/>
      <c r="GFE51" s="105"/>
      <c r="GFL51" s="56"/>
      <c r="GFM51" s="105"/>
      <c r="GFT51" s="56"/>
      <c r="GFU51" s="105"/>
      <c r="GGB51" s="56"/>
      <c r="GGC51" s="105"/>
      <c r="GGJ51" s="56"/>
      <c r="GGK51" s="105"/>
      <c r="GGR51" s="56"/>
      <c r="GGS51" s="105"/>
      <c r="GGZ51" s="56"/>
      <c r="GHA51" s="105"/>
      <c r="GHH51" s="56"/>
      <c r="GHI51" s="105"/>
      <c r="GHP51" s="56"/>
      <c r="GHQ51" s="105"/>
      <c r="GHX51" s="56"/>
      <c r="GHY51" s="105"/>
      <c r="GIF51" s="56"/>
      <c r="GIG51" s="105"/>
      <c r="GIN51" s="56"/>
      <c r="GIO51" s="105"/>
      <c r="GIV51" s="56"/>
      <c r="GIW51" s="105"/>
      <c r="GJD51" s="56"/>
      <c r="GJE51" s="105"/>
      <c r="GJL51" s="56"/>
      <c r="GJM51" s="105"/>
      <c r="GJT51" s="56"/>
      <c r="GJU51" s="105"/>
      <c r="GKB51" s="56"/>
      <c r="GKC51" s="105"/>
      <c r="GKJ51" s="56"/>
      <c r="GKK51" s="105"/>
      <c r="GKR51" s="56"/>
      <c r="GKS51" s="105"/>
      <c r="GKZ51" s="56"/>
      <c r="GLA51" s="105"/>
      <c r="GLH51" s="56"/>
      <c r="GLI51" s="105"/>
      <c r="GLP51" s="56"/>
      <c r="GLQ51" s="105"/>
      <c r="GLX51" s="56"/>
      <c r="GLY51" s="105"/>
      <c r="GMF51" s="56"/>
      <c r="GMG51" s="105"/>
      <c r="GMN51" s="56"/>
      <c r="GMO51" s="105"/>
      <c r="GMV51" s="56"/>
      <c r="GMW51" s="105"/>
      <c r="GND51" s="56"/>
      <c r="GNE51" s="105"/>
      <c r="GNL51" s="56"/>
      <c r="GNM51" s="105"/>
      <c r="GNT51" s="56"/>
      <c r="GNU51" s="105"/>
      <c r="GOB51" s="56"/>
      <c r="GOC51" s="105"/>
      <c r="GOJ51" s="56"/>
      <c r="GOK51" s="105"/>
      <c r="GOR51" s="56"/>
      <c r="GOS51" s="105"/>
      <c r="GOZ51" s="56"/>
      <c r="GPA51" s="105"/>
      <c r="GPH51" s="56"/>
      <c r="GPI51" s="105"/>
      <c r="GPP51" s="56"/>
      <c r="GPQ51" s="105"/>
      <c r="GPX51" s="56"/>
      <c r="GPY51" s="105"/>
      <c r="GQF51" s="56"/>
      <c r="GQG51" s="105"/>
      <c r="GQN51" s="56"/>
      <c r="GQO51" s="105"/>
      <c r="GQV51" s="56"/>
      <c r="GQW51" s="105"/>
      <c r="GRD51" s="56"/>
      <c r="GRE51" s="105"/>
      <c r="GRL51" s="56"/>
      <c r="GRM51" s="105"/>
      <c r="GRT51" s="56"/>
      <c r="GRU51" s="105"/>
      <c r="GSB51" s="56"/>
      <c r="GSC51" s="105"/>
      <c r="GSJ51" s="56"/>
      <c r="GSK51" s="105"/>
      <c r="GSR51" s="56"/>
      <c r="GSS51" s="105"/>
      <c r="GSZ51" s="56"/>
      <c r="GTA51" s="105"/>
      <c r="GTH51" s="56"/>
      <c r="GTI51" s="105"/>
      <c r="GTP51" s="56"/>
      <c r="GTQ51" s="105"/>
      <c r="GTX51" s="56"/>
      <c r="GTY51" s="105"/>
      <c r="GUF51" s="56"/>
      <c r="GUG51" s="105"/>
      <c r="GUN51" s="56"/>
      <c r="GUO51" s="105"/>
      <c r="GUV51" s="56"/>
      <c r="GUW51" s="105"/>
      <c r="GVD51" s="56"/>
      <c r="GVE51" s="105"/>
      <c r="GVL51" s="56"/>
      <c r="GVM51" s="105"/>
      <c r="GVT51" s="56"/>
      <c r="GVU51" s="105"/>
      <c r="GWB51" s="56"/>
      <c r="GWC51" s="105"/>
      <c r="GWJ51" s="56"/>
      <c r="GWK51" s="105"/>
      <c r="GWR51" s="56"/>
      <c r="GWS51" s="105"/>
      <c r="GWZ51" s="56"/>
      <c r="GXA51" s="105"/>
      <c r="GXH51" s="56"/>
      <c r="GXI51" s="105"/>
      <c r="GXP51" s="56"/>
      <c r="GXQ51" s="105"/>
      <c r="GXX51" s="56"/>
      <c r="GXY51" s="105"/>
      <c r="GYF51" s="56"/>
      <c r="GYG51" s="105"/>
      <c r="GYN51" s="56"/>
      <c r="GYO51" s="105"/>
      <c r="GYV51" s="56"/>
      <c r="GYW51" s="105"/>
      <c r="GZD51" s="56"/>
      <c r="GZE51" s="105"/>
      <c r="GZL51" s="56"/>
      <c r="GZM51" s="105"/>
      <c r="GZT51" s="56"/>
      <c r="GZU51" s="105"/>
      <c r="HAB51" s="56"/>
      <c r="HAC51" s="105"/>
      <c r="HAJ51" s="56"/>
      <c r="HAK51" s="105"/>
      <c r="HAR51" s="56"/>
      <c r="HAS51" s="105"/>
      <c r="HAZ51" s="56"/>
      <c r="HBA51" s="105"/>
      <c r="HBH51" s="56"/>
      <c r="HBI51" s="105"/>
      <c r="HBP51" s="56"/>
      <c r="HBQ51" s="105"/>
      <c r="HBX51" s="56"/>
      <c r="HBY51" s="105"/>
      <c r="HCF51" s="56"/>
      <c r="HCG51" s="105"/>
      <c r="HCN51" s="56"/>
      <c r="HCO51" s="105"/>
      <c r="HCV51" s="56"/>
      <c r="HCW51" s="105"/>
      <c r="HDD51" s="56"/>
      <c r="HDE51" s="105"/>
      <c r="HDL51" s="56"/>
      <c r="HDM51" s="105"/>
      <c r="HDT51" s="56"/>
      <c r="HDU51" s="105"/>
      <c r="HEB51" s="56"/>
      <c r="HEC51" s="105"/>
      <c r="HEJ51" s="56"/>
      <c r="HEK51" s="105"/>
      <c r="HER51" s="56"/>
      <c r="HES51" s="105"/>
      <c r="HEZ51" s="56"/>
      <c r="HFA51" s="105"/>
      <c r="HFH51" s="56"/>
      <c r="HFI51" s="105"/>
      <c r="HFP51" s="56"/>
      <c r="HFQ51" s="105"/>
      <c r="HFX51" s="56"/>
      <c r="HFY51" s="105"/>
      <c r="HGF51" s="56"/>
      <c r="HGG51" s="105"/>
      <c r="HGN51" s="56"/>
      <c r="HGO51" s="105"/>
      <c r="HGV51" s="56"/>
      <c r="HGW51" s="105"/>
      <c r="HHD51" s="56"/>
      <c r="HHE51" s="105"/>
      <c r="HHL51" s="56"/>
      <c r="HHM51" s="105"/>
      <c r="HHT51" s="56"/>
      <c r="HHU51" s="105"/>
      <c r="HIB51" s="56"/>
      <c r="HIC51" s="105"/>
      <c r="HIJ51" s="56"/>
      <c r="HIK51" s="105"/>
      <c r="HIR51" s="56"/>
      <c r="HIS51" s="105"/>
      <c r="HIZ51" s="56"/>
      <c r="HJA51" s="105"/>
      <c r="HJH51" s="56"/>
      <c r="HJI51" s="105"/>
      <c r="HJP51" s="56"/>
      <c r="HJQ51" s="105"/>
      <c r="HJX51" s="56"/>
      <c r="HJY51" s="105"/>
      <c r="HKF51" s="56"/>
      <c r="HKG51" s="105"/>
      <c r="HKN51" s="56"/>
      <c r="HKO51" s="105"/>
      <c r="HKV51" s="56"/>
      <c r="HKW51" s="105"/>
      <c r="HLD51" s="56"/>
      <c r="HLE51" s="105"/>
      <c r="HLL51" s="56"/>
      <c r="HLM51" s="105"/>
      <c r="HLT51" s="56"/>
      <c r="HLU51" s="105"/>
      <c r="HMB51" s="56"/>
      <c r="HMC51" s="105"/>
      <c r="HMJ51" s="56"/>
      <c r="HMK51" s="105"/>
      <c r="HMR51" s="56"/>
      <c r="HMS51" s="105"/>
      <c r="HMZ51" s="56"/>
      <c r="HNA51" s="105"/>
      <c r="HNH51" s="56"/>
      <c r="HNI51" s="105"/>
      <c r="HNP51" s="56"/>
      <c r="HNQ51" s="105"/>
      <c r="HNX51" s="56"/>
      <c r="HNY51" s="105"/>
      <c r="HOF51" s="56"/>
      <c r="HOG51" s="105"/>
      <c r="HON51" s="56"/>
      <c r="HOO51" s="105"/>
      <c r="HOV51" s="56"/>
      <c r="HOW51" s="105"/>
      <c r="HPD51" s="56"/>
      <c r="HPE51" s="105"/>
      <c r="HPL51" s="56"/>
      <c r="HPM51" s="105"/>
      <c r="HPT51" s="56"/>
      <c r="HPU51" s="105"/>
      <c r="HQB51" s="56"/>
      <c r="HQC51" s="105"/>
      <c r="HQJ51" s="56"/>
      <c r="HQK51" s="105"/>
      <c r="HQR51" s="56"/>
      <c r="HQS51" s="105"/>
      <c r="HQZ51" s="56"/>
      <c r="HRA51" s="105"/>
      <c r="HRH51" s="56"/>
      <c r="HRI51" s="105"/>
      <c r="HRP51" s="56"/>
      <c r="HRQ51" s="105"/>
      <c r="HRX51" s="56"/>
      <c r="HRY51" s="105"/>
      <c r="HSF51" s="56"/>
      <c r="HSG51" s="105"/>
      <c r="HSN51" s="56"/>
      <c r="HSO51" s="105"/>
      <c r="HSV51" s="56"/>
      <c r="HSW51" s="105"/>
      <c r="HTD51" s="56"/>
      <c r="HTE51" s="105"/>
      <c r="HTL51" s="56"/>
      <c r="HTM51" s="105"/>
      <c r="HTT51" s="56"/>
      <c r="HTU51" s="105"/>
      <c r="HUB51" s="56"/>
      <c r="HUC51" s="105"/>
      <c r="HUJ51" s="56"/>
      <c r="HUK51" s="105"/>
      <c r="HUR51" s="56"/>
      <c r="HUS51" s="105"/>
      <c r="HUZ51" s="56"/>
      <c r="HVA51" s="105"/>
      <c r="HVH51" s="56"/>
      <c r="HVI51" s="105"/>
      <c r="HVP51" s="56"/>
      <c r="HVQ51" s="105"/>
      <c r="HVX51" s="56"/>
      <c r="HVY51" s="105"/>
      <c r="HWF51" s="56"/>
      <c r="HWG51" s="105"/>
      <c r="HWN51" s="56"/>
      <c r="HWO51" s="105"/>
      <c r="HWV51" s="56"/>
      <c r="HWW51" s="105"/>
      <c r="HXD51" s="56"/>
      <c r="HXE51" s="105"/>
      <c r="HXL51" s="56"/>
      <c r="HXM51" s="105"/>
      <c r="HXT51" s="56"/>
      <c r="HXU51" s="105"/>
      <c r="HYB51" s="56"/>
      <c r="HYC51" s="105"/>
      <c r="HYJ51" s="56"/>
      <c r="HYK51" s="105"/>
      <c r="HYR51" s="56"/>
      <c r="HYS51" s="105"/>
      <c r="HYZ51" s="56"/>
      <c r="HZA51" s="105"/>
      <c r="HZH51" s="56"/>
      <c r="HZI51" s="105"/>
      <c r="HZP51" s="56"/>
      <c r="HZQ51" s="105"/>
      <c r="HZX51" s="56"/>
      <c r="HZY51" s="105"/>
      <c r="IAF51" s="56"/>
      <c r="IAG51" s="105"/>
      <c r="IAN51" s="56"/>
      <c r="IAO51" s="105"/>
      <c r="IAV51" s="56"/>
      <c r="IAW51" s="105"/>
      <c r="IBD51" s="56"/>
      <c r="IBE51" s="105"/>
      <c r="IBL51" s="56"/>
      <c r="IBM51" s="105"/>
      <c r="IBT51" s="56"/>
      <c r="IBU51" s="105"/>
      <c r="ICB51" s="56"/>
      <c r="ICC51" s="105"/>
      <c r="ICJ51" s="56"/>
      <c r="ICK51" s="105"/>
      <c r="ICR51" s="56"/>
      <c r="ICS51" s="105"/>
      <c r="ICZ51" s="56"/>
      <c r="IDA51" s="105"/>
      <c r="IDH51" s="56"/>
      <c r="IDI51" s="105"/>
      <c r="IDP51" s="56"/>
      <c r="IDQ51" s="105"/>
      <c r="IDX51" s="56"/>
      <c r="IDY51" s="105"/>
      <c r="IEF51" s="56"/>
      <c r="IEG51" s="105"/>
      <c r="IEN51" s="56"/>
      <c r="IEO51" s="105"/>
      <c r="IEV51" s="56"/>
      <c r="IEW51" s="105"/>
      <c r="IFD51" s="56"/>
      <c r="IFE51" s="105"/>
      <c r="IFL51" s="56"/>
      <c r="IFM51" s="105"/>
      <c r="IFT51" s="56"/>
      <c r="IFU51" s="105"/>
      <c r="IGB51" s="56"/>
      <c r="IGC51" s="105"/>
      <c r="IGJ51" s="56"/>
      <c r="IGK51" s="105"/>
      <c r="IGR51" s="56"/>
      <c r="IGS51" s="105"/>
      <c r="IGZ51" s="56"/>
      <c r="IHA51" s="105"/>
      <c r="IHH51" s="56"/>
      <c r="IHI51" s="105"/>
      <c r="IHP51" s="56"/>
      <c r="IHQ51" s="105"/>
      <c r="IHX51" s="56"/>
      <c r="IHY51" s="105"/>
      <c r="IIF51" s="56"/>
      <c r="IIG51" s="105"/>
      <c r="IIN51" s="56"/>
      <c r="IIO51" s="105"/>
      <c r="IIV51" s="56"/>
      <c r="IIW51" s="105"/>
      <c r="IJD51" s="56"/>
      <c r="IJE51" s="105"/>
      <c r="IJL51" s="56"/>
      <c r="IJM51" s="105"/>
      <c r="IJT51" s="56"/>
      <c r="IJU51" s="105"/>
      <c r="IKB51" s="56"/>
      <c r="IKC51" s="105"/>
      <c r="IKJ51" s="56"/>
      <c r="IKK51" s="105"/>
      <c r="IKR51" s="56"/>
      <c r="IKS51" s="105"/>
      <c r="IKZ51" s="56"/>
      <c r="ILA51" s="105"/>
      <c r="ILH51" s="56"/>
      <c r="ILI51" s="105"/>
      <c r="ILP51" s="56"/>
      <c r="ILQ51" s="105"/>
      <c r="ILX51" s="56"/>
      <c r="ILY51" s="105"/>
      <c r="IMF51" s="56"/>
      <c r="IMG51" s="105"/>
      <c r="IMN51" s="56"/>
      <c r="IMO51" s="105"/>
      <c r="IMV51" s="56"/>
      <c r="IMW51" s="105"/>
      <c r="IND51" s="56"/>
      <c r="INE51" s="105"/>
      <c r="INL51" s="56"/>
      <c r="INM51" s="105"/>
      <c r="INT51" s="56"/>
      <c r="INU51" s="105"/>
      <c r="IOB51" s="56"/>
      <c r="IOC51" s="105"/>
      <c r="IOJ51" s="56"/>
      <c r="IOK51" s="105"/>
      <c r="IOR51" s="56"/>
      <c r="IOS51" s="105"/>
      <c r="IOZ51" s="56"/>
      <c r="IPA51" s="105"/>
      <c r="IPH51" s="56"/>
      <c r="IPI51" s="105"/>
      <c r="IPP51" s="56"/>
      <c r="IPQ51" s="105"/>
      <c r="IPX51" s="56"/>
      <c r="IPY51" s="105"/>
      <c r="IQF51" s="56"/>
      <c r="IQG51" s="105"/>
      <c r="IQN51" s="56"/>
      <c r="IQO51" s="105"/>
      <c r="IQV51" s="56"/>
      <c r="IQW51" s="105"/>
      <c r="IRD51" s="56"/>
      <c r="IRE51" s="105"/>
      <c r="IRL51" s="56"/>
      <c r="IRM51" s="105"/>
      <c r="IRT51" s="56"/>
      <c r="IRU51" s="105"/>
      <c r="ISB51" s="56"/>
      <c r="ISC51" s="105"/>
      <c r="ISJ51" s="56"/>
      <c r="ISK51" s="105"/>
      <c r="ISR51" s="56"/>
      <c r="ISS51" s="105"/>
      <c r="ISZ51" s="56"/>
      <c r="ITA51" s="105"/>
      <c r="ITH51" s="56"/>
      <c r="ITI51" s="105"/>
      <c r="ITP51" s="56"/>
      <c r="ITQ51" s="105"/>
      <c r="ITX51" s="56"/>
      <c r="ITY51" s="105"/>
      <c r="IUF51" s="56"/>
      <c r="IUG51" s="105"/>
      <c r="IUN51" s="56"/>
      <c r="IUO51" s="105"/>
      <c r="IUV51" s="56"/>
      <c r="IUW51" s="105"/>
      <c r="IVD51" s="56"/>
      <c r="IVE51" s="105"/>
      <c r="IVL51" s="56"/>
      <c r="IVM51" s="105"/>
      <c r="IVT51" s="56"/>
      <c r="IVU51" s="105"/>
      <c r="IWB51" s="56"/>
      <c r="IWC51" s="105"/>
      <c r="IWJ51" s="56"/>
      <c r="IWK51" s="105"/>
      <c r="IWR51" s="56"/>
      <c r="IWS51" s="105"/>
      <c r="IWZ51" s="56"/>
      <c r="IXA51" s="105"/>
      <c r="IXH51" s="56"/>
      <c r="IXI51" s="105"/>
      <c r="IXP51" s="56"/>
      <c r="IXQ51" s="105"/>
      <c r="IXX51" s="56"/>
      <c r="IXY51" s="105"/>
      <c r="IYF51" s="56"/>
      <c r="IYG51" s="105"/>
      <c r="IYN51" s="56"/>
      <c r="IYO51" s="105"/>
      <c r="IYV51" s="56"/>
      <c r="IYW51" s="105"/>
      <c r="IZD51" s="56"/>
      <c r="IZE51" s="105"/>
      <c r="IZL51" s="56"/>
      <c r="IZM51" s="105"/>
      <c r="IZT51" s="56"/>
      <c r="IZU51" s="105"/>
      <c r="JAB51" s="56"/>
      <c r="JAC51" s="105"/>
      <c r="JAJ51" s="56"/>
      <c r="JAK51" s="105"/>
      <c r="JAR51" s="56"/>
      <c r="JAS51" s="105"/>
      <c r="JAZ51" s="56"/>
      <c r="JBA51" s="105"/>
      <c r="JBH51" s="56"/>
      <c r="JBI51" s="105"/>
      <c r="JBP51" s="56"/>
      <c r="JBQ51" s="105"/>
      <c r="JBX51" s="56"/>
      <c r="JBY51" s="105"/>
      <c r="JCF51" s="56"/>
      <c r="JCG51" s="105"/>
      <c r="JCN51" s="56"/>
      <c r="JCO51" s="105"/>
      <c r="JCV51" s="56"/>
      <c r="JCW51" s="105"/>
      <c r="JDD51" s="56"/>
      <c r="JDE51" s="105"/>
      <c r="JDL51" s="56"/>
      <c r="JDM51" s="105"/>
      <c r="JDT51" s="56"/>
      <c r="JDU51" s="105"/>
      <c r="JEB51" s="56"/>
      <c r="JEC51" s="105"/>
      <c r="JEJ51" s="56"/>
      <c r="JEK51" s="105"/>
      <c r="JER51" s="56"/>
      <c r="JES51" s="105"/>
      <c r="JEZ51" s="56"/>
      <c r="JFA51" s="105"/>
      <c r="JFH51" s="56"/>
      <c r="JFI51" s="105"/>
      <c r="JFP51" s="56"/>
      <c r="JFQ51" s="105"/>
      <c r="JFX51" s="56"/>
      <c r="JFY51" s="105"/>
      <c r="JGF51" s="56"/>
      <c r="JGG51" s="105"/>
      <c r="JGN51" s="56"/>
      <c r="JGO51" s="105"/>
      <c r="JGV51" s="56"/>
      <c r="JGW51" s="105"/>
      <c r="JHD51" s="56"/>
      <c r="JHE51" s="105"/>
      <c r="JHL51" s="56"/>
      <c r="JHM51" s="105"/>
      <c r="JHT51" s="56"/>
      <c r="JHU51" s="105"/>
      <c r="JIB51" s="56"/>
      <c r="JIC51" s="105"/>
      <c r="JIJ51" s="56"/>
      <c r="JIK51" s="105"/>
      <c r="JIR51" s="56"/>
      <c r="JIS51" s="105"/>
      <c r="JIZ51" s="56"/>
      <c r="JJA51" s="105"/>
      <c r="JJH51" s="56"/>
      <c r="JJI51" s="105"/>
      <c r="JJP51" s="56"/>
      <c r="JJQ51" s="105"/>
      <c r="JJX51" s="56"/>
      <c r="JJY51" s="105"/>
      <c r="JKF51" s="56"/>
      <c r="JKG51" s="105"/>
      <c r="JKN51" s="56"/>
      <c r="JKO51" s="105"/>
      <c r="JKV51" s="56"/>
      <c r="JKW51" s="105"/>
      <c r="JLD51" s="56"/>
      <c r="JLE51" s="105"/>
      <c r="JLL51" s="56"/>
      <c r="JLM51" s="105"/>
      <c r="JLT51" s="56"/>
      <c r="JLU51" s="105"/>
      <c r="JMB51" s="56"/>
      <c r="JMC51" s="105"/>
      <c r="JMJ51" s="56"/>
      <c r="JMK51" s="105"/>
      <c r="JMR51" s="56"/>
      <c r="JMS51" s="105"/>
      <c r="JMZ51" s="56"/>
      <c r="JNA51" s="105"/>
      <c r="JNH51" s="56"/>
      <c r="JNI51" s="105"/>
      <c r="JNP51" s="56"/>
      <c r="JNQ51" s="105"/>
      <c r="JNX51" s="56"/>
      <c r="JNY51" s="105"/>
      <c r="JOF51" s="56"/>
      <c r="JOG51" s="105"/>
      <c r="JON51" s="56"/>
      <c r="JOO51" s="105"/>
      <c r="JOV51" s="56"/>
      <c r="JOW51" s="105"/>
      <c r="JPD51" s="56"/>
      <c r="JPE51" s="105"/>
      <c r="JPL51" s="56"/>
      <c r="JPM51" s="105"/>
      <c r="JPT51" s="56"/>
      <c r="JPU51" s="105"/>
      <c r="JQB51" s="56"/>
      <c r="JQC51" s="105"/>
      <c r="JQJ51" s="56"/>
      <c r="JQK51" s="105"/>
      <c r="JQR51" s="56"/>
      <c r="JQS51" s="105"/>
      <c r="JQZ51" s="56"/>
      <c r="JRA51" s="105"/>
      <c r="JRH51" s="56"/>
      <c r="JRI51" s="105"/>
      <c r="JRP51" s="56"/>
      <c r="JRQ51" s="105"/>
      <c r="JRX51" s="56"/>
      <c r="JRY51" s="105"/>
      <c r="JSF51" s="56"/>
      <c r="JSG51" s="105"/>
      <c r="JSN51" s="56"/>
      <c r="JSO51" s="105"/>
      <c r="JSV51" s="56"/>
      <c r="JSW51" s="105"/>
      <c r="JTD51" s="56"/>
      <c r="JTE51" s="105"/>
      <c r="JTL51" s="56"/>
      <c r="JTM51" s="105"/>
      <c r="JTT51" s="56"/>
      <c r="JTU51" s="105"/>
      <c r="JUB51" s="56"/>
      <c r="JUC51" s="105"/>
      <c r="JUJ51" s="56"/>
      <c r="JUK51" s="105"/>
      <c r="JUR51" s="56"/>
      <c r="JUS51" s="105"/>
      <c r="JUZ51" s="56"/>
      <c r="JVA51" s="105"/>
      <c r="JVH51" s="56"/>
      <c r="JVI51" s="105"/>
      <c r="JVP51" s="56"/>
      <c r="JVQ51" s="105"/>
      <c r="JVX51" s="56"/>
      <c r="JVY51" s="105"/>
      <c r="JWF51" s="56"/>
      <c r="JWG51" s="105"/>
      <c r="JWN51" s="56"/>
      <c r="JWO51" s="105"/>
      <c r="JWV51" s="56"/>
      <c r="JWW51" s="105"/>
      <c r="JXD51" s="56"/>
      <c r="JXE51" s="105"/>
      <c r="JXL51" s="56"/>
      <c r="JXM51" s="105"/>
      <c r="JXT51" s="56"/>
      <c r="JXU51" s="105"/>
      <c r="JYB51" s="56"/>
      <c r="JYC51" s="105"/>
      <c r="JYJ51" s="56"/>
      <c r="JYK51" s="105"/>
      <c r="JYR51" s="56"/>
      <c r="JYS51" s="105"/>
      <c r="JYZ51" s="56"/>
      <c r="JZA51" s="105"/>
      <c r="JZH51" s="56"/>
      <c r="JZI51" s="105"/>
      <c r="JZP51" s="56"/>
      <c r="JZQ51" s="105"/>
      <c r="JZX51" s="56"/>
      <c r="JZY51" s="105"/>
      <c r="KAF51" s="56"/>
      <c r="KAG51" s="105"/>
      <c r="KAN51" s="56"/>
      <c r="KAO51" s="105"/>
      <c r="KAV51" s="56"/>
      <c r="KAW51" s="105"/>
      <c r="KBD51" s="56"/>
      <c r="KBE51" s="105"/>
      <c r="KBL51" s="56"/>
      <c r="KBM51" s="105"/>
      <c r="KBT51" s="56"/>
      <c r="KBU51" s="105"/>
      <c r="KCB51" s="56"/>
      <c r="KCC51" s="105"/>
      <c r="KCJ51" s="56"/>
      <c r="KCK51" s="105"/>
      <c r="KCR51" s="56"/>
      <c r="KCS51" s="105"/>
      <c r="KCZ51" s="56"/>
      <c r="KDA51" s="105"/>
      <c r="KDH51" s="56"/>
      <c r="KDI51" s="105"/>
      <c r="KDP51" s="56"/>
      <c r="KDQ51" s="105"/>
      <c r="KDX51" s="56"/>
      <c r="KDY51" s="105"/>
      <c r="KEF51" s="56"/>
      <c r="KEG51" s="105"/>
      <c r="KEN51" s="56"/>
      <c r="KEO51" s="105"/>
      <c r="KEV51" s="56"/>
      <c r="KEW51" s="105"/>
      <c r="KFD51" s="56"/>
      <c r="KFE51" s="105"/>
      <c r="KFL51" s="56"/>
      <c r="KFM51" s="105"/>
      <c r="KFT51" s="56"/>
      <c r="KFU51" s="105"/>
      <c r="KGB51" s="56"/>
      <c r="KGC51" s="105"/>
      <c r="KGJ51" s="56"/>
      <c r="KGK51" s="105"/>
      <c r="KGR51" s="56"/>
      <c r="KGS51" s="105"/>
      <c r="KGZ51" s="56"/>
      <c r="KHA51" s="105"/>
      <c r="KHH51" s="56"/>
      <c r="KHI51" s="105"/>
      <c r="KHP51" s="56"/>
      <c r="KHQ51" s="105"/>
      <c r="KHX51" s="56"/>
      <c r="KHY51" s="105"/>
      <c r="KIF51" s="56"/>
      <c r="KIG51" s="105"/>
      <c r="KIN51" s="56"/>
      <c r="KIO51" s="105"/>
      <c r="KIV51" s="56"/>
      <c r="KIW51" s="105"/>
      <c r="KJD51" s="56"/>
      <c r="KJE51" s="105"/>
      <c r="KJL51" s="56"/>
      <c r="KJM51" s="105"/>
      <c r="KJT51" s="56"/>
      <c r="KJU51" s="105"/>
      <c r="KKB51" s="56"/>
      <c r="KKC51" s="105"/>
      <c r="KKJ51" s="56"/>
      <c r="KKK51" s="105"/>
      <c r="KKR51" s="56"/>
      <c r="KKS51" s="105"/>
      <c r="KKZ51" s="56"/>
      <c r="KLA51" s="105"/>
      <c r="KLH51" s="56"/>
      <c r="KLI51" s="105"/>
      <c r="KLP51" s="56"/>
      <c r="KLQ51" s="105"/>
      <c r="KLX51" s="56"/>
      <c r="KLY51" s="105"/>
      <c r="KMF51" s="56"/>
      <c r="KMG51" s="105"/>
      <c r="KMN51" s="56"/>
      <c r="KMO51" s="105"/>
      <c r="KMV51" s="56"/>
      <c r="KMW51" s="105"/>
      <c r="KND51" s="56"/>
      <c r="KNE51" s="105"/>
      <c r="KNL51" s="56"/>
      <c r="KNM51" s="105"/>
      <c r="KNT51" s="56"/>
      <c r="KNU51" s="105"/>
      <c r="KOB51" s="56"/>
      <c r="KOC51" s="105"/>
      <c r="KOJ51" s="56"/>
      <c r="KOK51" s="105"/>
      <c r="KOR51" s="56"/>
      <c r="KOS51" s="105"/>
      <c r="KOZ51" s="56"/>
      <c r="KPA51" s="105"/>
      <c r="KPH51" s="56"/>
      <c r="KPI51" s="105"/>
      <c r="KPP51" s="56"/>
      <c r="KPQ51" s="105"/>
      <c r="KPX51" s="56"/>
      <c r="KPY51" s="105"/>
      <c r="KQF51" s="56"/>
      <c r="KQG51" s="105"/>
      <c r="KQN51" s="56"/>
      <c r="KQO51" s="105"/>
      <c r="KQV51" s="56"/>
      <c r="KQW51" s="105"/>
      <c r="KRD51" s="56"/>
      <c r="KRE51" s="105"/>
      <c r="KRL51" s="56"/>
      <c r="KRM51" s="105"/>
      <c r="KRT51" s="56"/>
      <c r="KRU51" s="105"/>
      <c r="KSB51" s="56"/>
      <c r="KSC51" s="105"/>
      <c r="KSJ51" s="56"/>
      <c r="KSK51" s="105"/>
      <c r="KSR51" s="56"/>
      <c r="KSS51" s="105"/>
      <c r="KSZ51" s="56"/>
      <c r="KTA51" s="105"/>
      <c r="KTH51" s="56"/>
      <c r="KTI51" s="105"/>
      <c r="KTP51" s="56"/>
      <c r="KTQ51" s="105"/>
      <c r="KTX51" s="56"/>
      <c r="KTY51" s="105"/>
      <c r="KUF51" s="56"/>
      <c r="KUG51" s="105"/>
      <c r="KUN51" s="56"/>
      <c r="KUO51" s="105"/>
      <c r="KUV51" s="56"/>
      <c r="KUW51" s="105"/>
      <c r="KVD51" s="56"/>
      <c r="KVE51" s="105"/>
      <c r="KVL51" s="56"/>
      <c r="KVM51" s="105"/>
      <c r="KVT51" s="56"/>
      <c r="KVU51" s="105"/>
      <c r="KWB51" s="56"/>
      <c r="KWC51" s="105"/>
      <c r="KWJ51" s="56"/>
      <c r="KWK51" s="105"/>
      <c r="KWR51" s="56"/>
      <c r="KWS51" s="105"/>
      <c r="KWZ51" s="56"/>
      <c r="KXA51" s="105"/>
      <c r="KXH51" s="56"/>
      <c r="KXI51" s="105"/>
      <c r="KXP51" s="56"/>
      <c r="KXQ51" s="105"/>
      <c r="KXX51" s="56"/>
      <c r="KXY51" s="105"/>
      <c r="KYF51" s="56"/>
      <c r="KYG51" s="105"/>
      <c r="KYN51" s="56"/>
      <c r="KYO51" s="105"/>
      <c r="KYV51" s="56"/>
      <c r="KYW51" s="105"/>
      <c r="KZD51" s="56"/>
      <c r="KZE51" s="105"/>
      <c r="KZL51" s="56"/>
      <c r="KZM51" s="105"/>
      <c r="KZT51" s="56"/>
      <c r="KZU51" s="105"/>
      <c r="LAB51" s="56"/>
      <c r="LAC51" s="105"/>
      <c r="LAJ51" s="56"/>
      <c r="LAK51" s="105"/>
      <c r="LAR51" s="56"/>
      <c r="LAS51" s="105"/>
      <c r="LAZ51" s="56"/>
      <c r="LBA51" s="105"/>
      <c r="LBH51" s="56"/>
      <c r="LBI51" s="105"/>
      <c r="LBP51" s="56"/>
      <c r="LBQ51" s="105"/>
      <c r="LBX51" s="56"/>
      <c r="LBY51" s="105"/>
      <c r="LCF51" s="56"/>
      <c r="LCG51" s="105"/>
      <c r="LCN51" s="56"/>
      <c r="LCO51" s="105"/>
      <c r="LCV51" s="56"/>
      <c r="LCW51" s="105"/>
      <c r="LDD51" s="56"/>
      <c r="LDE51" s="105"/>
      <c r="LDL51" s="56"/>
      <c r="LDM51" s="105"/>
      <c r="LDT51" s="56"/>
      <c r="LDU51" s="105"/>
      <c r="LEB51" s="56"/>
      <c r="LEC51" s="105"/>
      <c r="LEJ51" s="56"/>
      <c r="LEK51" s="105"/>
      <c r="LER51" s="56"/>
      <c r="LES51" s="105"/>
      <c r="LEZ51" s="56"/>
      <c r="LFA51" s="105"/>
      <c r="LFH51" s="56"/>
      <c r="LFI51" s="105"/>
      <c r="LFP51" s="56"/>
      <c r="LFQ51" s="105"/>
      <c r="LFX51" s="56"/>
      <c r="LFY51" s="105"/>
      <c r="LGF51" s="56"/>
      <c r="LGG51" s="105"/>
      <c r="LGN51" s="56"/>
      <c r="LGO51" s="105"/>
      <c r="LGV51" s="56"/>
      <c r="LGW51" s="105"/>
      <c r="LHD51" s="56"/>
      <c r="LHE51" s="105"/>
      <c r="LHL51" s="56"/>
      <c r="LHM51" s="105"/>
      <c r="LHT51" s="56"/>
      <c r="LHU51" s="105"/>
      <c r="LIB51" s="56"/>
      <c r="LIC51" s="105"/>
      <c r="LIJ51" s="56"/>
      <c r="LIK51" s="105"/>
      <c r="LIR51" s="56"/>
      <c r="LIS51" s="105"/>
      <c r="LIZ51" s="56"/>
      <c r="LJA51" s="105"/>
      <c r="LJH51" s="56"/>
      <c r="LJI51" s="105"/>
      <c r="LJP51" s="56"/>
      <c r="LJQ51" s="105"/>
      <c r="LJX51" s="56"/>
      <c r="LJY51" s="105"/>
      <c r="LKF51" s="56"/>
      <c r="LKG51" s="105"/>
      <c r="LKN51" s="56"/>
      <c r="LKO51" s="105"/>
      <c r="LKV51" s="56"/>
      <c r="LKW51" s="105"/>
      <c r="LLD51" s="56"/>
      <c r="LLE51" s="105"/>
      <c r="LLL51" s="56"/>
      <c r="LLM51" s="105"/>
      <c r="LLT51" s="56"/>
      <c r="LLU51" s="105"/>
      <c r="LMB51" s="56"/>
      <c r="LMC51" s="105"/>
      <c r="LMJ51" s="56"/>
      <c r="LMK51" s="105"/>
      <c r="LMR51" s="56"/>
      <c r="LMS51" s="105"/>
      <c r="LMZ51" s="56"/>
      <c r="LNA51" s="105"/>
      <c r="LNH51" s="56"/>
      <c r="LNI51" s="105"/>
      <c r="LNP51" s="56"/>
      <c r="LNQ51" s="105"/>
      <c r="LNX51" s="56"/>
      <c r="LNY51" s="105"/>
      <c r="LOF51" s="56"/>
      <c r="LOG51" s="105"/>
      <c r="LON51" s="56"/>
      <c r="LOO51" s="105"/>
      <c r="LOV51" s="56"/>
      <c r="LOW51" s="105"/>
      <c r="LPD51" s="56"/>
      <c r="LPE51" s="105"/>
      <c r="LPL51" s="56"/>
      <c r="LPM51" s="105"/>
      <c r="LPT51" s="56"/>
      <c r="LPU51" s="105"/>
      <c r="LQB51" s="56"/>
      <c r="LQC51" s="105"/>
      <c r="LQJ51" s="56"/>
      <c r="LQK51" s="105"/>
      <c r="LQR51" s="56"/>
      <c r="LQS51" s="105"/>
      <c r="LQZ51" s="56"/>
      <c r="LRA51" s="105"/>
      <c r="LRH51" s="56"/>
      <c r="LRI51" s="105"/>
      <c r="LRP51" s="56"/>
      <c r="LRQ51" s="105"/>
      <c r="LRX51" s="56"/>
      <c r="LRY51" s="105"/>
      <c r="LSF51" s="56"/>
      <c r="LSG51" s="105"/>
      <c r="LSN51" s="56"/>
      <c r="LSO51" s="105"/>
      <c r="LSV51" s="56"/>
      <c r="LSW51" s="105"/>
      <c r="LTD51" s="56"/>
      <c r="LTE51" s="105"/>
      <c r="LTL51" s="56"/>
      <c r="LTM51" s="105"/>
      <c r="LTT51" s="56"/>
      <c r="LTU51" s="105"/>
      <c r="LUB51" s="56"/>
      <c r="LUC51" s="105"/>
      <c r="LUJ51" s="56"/>
      <c r="LUK51" s="105"/>
      <c r="LUR51" s="56"/>
      <c r="LUS51" s="105"/>
      <c r="LUZ51" s="56"/>
      <c r="LVA51" s="105"/>
      <c r="LVH51" s="56"/>
      <c r="LVI51" s="105"/>
      <c r="LVP51" s="56"/>
      <c r="LVQ51" s="105"/>
      <c r="LVX51" s="56"/>
      <c r="LVY51" s="105"/>
      <c r="LWF51" s="56"/>
      <c r="LWG51" s="105"/>
      <c r="LWN51" s="56"/>
      <c r="LWO51" s="105"/>
      <c r="LWV51" s="56"/>
      <c r="LWW51" s="105"/>
      <c r="LXD51" s="56"/>
      <c r="LXE51" s="105"/>
      <c r="LXL51" s="56"/>
      <c r="LXM51" s="105"/>
      <c r="LXT51" s="56"/>
      <c r="LXU51" s="105"/>
      <c r="LYB51" s="56"/>
      <c r="LYC51" s="105"/>
      <c r="LYJ51" s="56"/>
      <c r="LYK51" s="105"/>
      <c r="LYR51" s="56"/>
      <c r="LYS51" s="105"/>
      <c r="LYZ51" s="56"/>
      <c r="LZA51" s="105"/>
      <c r="LZH51" s="56"/>
      <c r="LZI51" s="105"/>
      <c r="LZP51" s="56"/>
      <c r="LZQ51" s="105"/>
      <c r="LZX51" s="56"/>
      <c r="LZY51" s="105"/>
      <c r="MAF51" s="56"/>
      <c r="MAG51" s="105"/>
      <c r="MAN51" s="56"/>
      <c r="MAO51" s="105"/>
      <c r="MAV51" s="56"/>
      <c r="MAW51" s="105"/>
      <c r="MBD51" s="56"/>
      <c r="MBE51" s="105"/>
      <c r="MBL51" s="56"/>
      <c r="MBM51" s="105"/>
      <c r="MBT51" s="56"/>
      <c r="MBU51" s="105"/>
      <c r="MCB51" s="56"/>
      <c r="MCC51" s="105"/>
      <c r="MCJ51" s="56"/>
      <c r="MCK51" s="105"/>
      <c r="MCR51" s="56"/>
      <c r="MCS51" s="105"/>
      <c r="MCZ51" s="56"/>
      <c r="MDA51" s="105"/>
      <c r="MDH51" s="56"/>
      <c r="MDI51" s="105"/>
      <c r="MDP51" s="56"/>
      <c r="MDQ51" s="105"/>
      <c r="MDX51" s="56"/>
      <c r="MDY51" s="105"/>
      <c r="MEF51" s="56"/>
      <c r="MEG51" s="105"/>
      <c r="MEN51" s="56"/>
      <c r="MEO51" s="105"/>
      <c r="MEV51" s="56"/>
      <c r="MEW51" s="105"/>
      <c r="MFD51" s="56"/>
      <c r="MFE51" s="105"/>
      <c r="MFL51" s="56"/>
      <c r="MFM51" s="105"/>
      <c r="MFT51" s="56"/>
      <c r="MFU51" s="105"/>
      <c r="MGB51" s="56"/>
      <c r="MGC51" s="105"/>
      <c r="MGJ51" s="56"/>
      <c r="MGK51" s="105"/>
      <c r="MGR51" s="56"/>
      <c r="MGS51" s="105"/>
      <c r="MGZ51" s="56"/>
      <c r="MHA51" s="105"/>
      <c r="MHH51" s="56"/>
      <c r="MHI51" s="105"/>
      <c r="MHP51" s="56"/>
      <c r="MHQ51" s="105"/>
      <c r="MHX51" s="56"/>
      <c r="MHY51" s="105"/>
      <c r="MIF51" s="56"/>
      <c r="MIG51" s="105"/>
      <c r="MIN51" s="56"/>
      <c r="MIO51" s="105"/>
      <c r="MIV51" s="56"/>
      <c r="MIW51" s="105"/>
      <c r="MJD51" s="56"/>
      <c r="MJE51" s="105"/>
      <c r="MJL51" s="56"/>
      <c r="MJM51" s="105"/>
      <c r="MJT51" s="56"/>
      <c r="MJU51" s="105"/>
      <c r="MKB51" s="56"/>
      <c r="MKC51" s="105"/>
      <c r="MKJ51" s="56"/>
      <c r="MKK51" s="105"/>
      <c r="MKR51" s="56"/>
      <c r="MKS51" s="105"/>
      <c r="MKZ51" s="56"/>
      <c r="MLA51" s="105"/>
      <c r="MLH51" s="56"/>
      <c r="MLI51" s="105"/>
      <c r="MLP51" s="56"/>
      <c r="MLQ51" s="105"/>
      <c r="MLX51" s="56"/>
      <c r="MLY51" s="105"/>
      <c r="MMF51" s="56"/>
      <c r="MMG51" s="105"/>
      <c r="MMN51" s="56"/>
      <c r="MMO51" s="105"/>
      <c r="MMV51" s="56"/>
      <c r="MMW51" s="105"/>
      <c r="MND51" s="56"/>
      <c r="MNE51" s="105"/>
      <c r="MNL51" s="56"/>
      <c r="MNM51" s="105"/>
      <c r="MNT51" s="56"/>
      <c r="MNU51" s="105"/>
      <c r="MOB51" s="56"/>
      <c r="MOC51" s="105"/>
      <c r="MOJ51" s="56"/>
      <c r="MOK51" s="105"/>
      <c r="MOR51" s="56"/>
      <c r="MOS51" s="105"/>
      <c r="MOZ51" s="56"/>
      <c r="MPA51" s="105"/>
      <c r="MPH51" s="56"/>
      <c r="MPI51" s="105"/>
      <c r="MPP51" s="56"/>
      <c r="MPQ51" s="105"/>
      <c r="MPX51" s="56"/>
      <c r="MPY51" s="105"/>
      <c r="MQF51" s="56"/>
      <c r="MQG51" s="105"/>
      <c r="MQN51" s="56"/>
      <c r="MQO51" s="105"/>
      <c r="MQV51" s="56"/>
      <c r="MQW51" s="105"/>
      <c r="MRD51" s="56"/>
      <c r="MRE51" s="105"/>
      <c r="MRL51" s="56"/>
      <c r="MRM51" s="105"/>
      <c r="MRT51" s="56"/>
      <c r="MRU51" s="105"/>
      <c r="MSB51" s="56"/>
      <c r="MSC51" s="105"/>
      <c r="MSJ51" s="56"/>
      <c r="MSK51" s="105"/>
      <c r="MSR51" s="56"/>
      <c r="MSS51" s="105"/>
      <c r="MSZ51" s="56"/>
      <c r="MTA51" s="105"/>
      <c r="MTH51" s="56"/>
      <c r="MTI51" s="105"/>
      <c r="MTP51" s="56"/>
      <c r="MTQ51" s="105"/>
      <c r="MTX51" s="56"/>
      <c r="MTY51" s="105"/>
      <c r="MUF51" s="56"/>
      <c r="MUG51" s="105"/>
      <c r="MUN51" s="56"/>
      <c r="MUO51" s="105"/>
      <c r="MUV51" s="56"/>
      <c r="MUW51" s="105"/>
      <c r="MVD51" s="56"/>
      <c r="MVE51" s="105"/>
      <c r="MVL51" s="56"/>
      <c r="MVM51" s="105"/>
      <c r="MVT51" s="56"/>
      <c r="MVU51" s="105"/>
      <c r="MWB51" s="56"/>
      <c r="MWC51" s="105"/>
      <c r="MWJ51" s="56"/>
      <c r="MWK51" s="105"/>
      <c r="MWR51" s="56"/>
      <c r="MWS51" s="105"/>
      <c r="MWZ51" s="56"/>
      <c r="MXA51" s="105"/>
      <c r="MXH51" s="56"/>
      <c r="MXI51" s="105"/>
      <c r="MXP51" s="56"/>
      <c r="MXQ51" s="105"/>
      <c r="MXX51" s="56"/>
      <c r="MXY51" s="105"/>
      <c r="MYF51" s="56"/>
      <c r="MYG51" s="105"/>
      <c r="MYN51" s="56"/>
      <c r="MYO51" s="105"/>
      <c r="MYV51" s="56"/>
      <c r="MYW51" s="105"/>
      <c r="MZD51" s="56"/>
      <c r="MZE51" s="105"/>
      <c r="MZL51" s="56"/>
      <c r="MZM51" s="105"/>
      <c r="MZT51" s="56"/>
      <c r="MZU51" s="105"/>
      <c r="NAB51" s="56"/>
      <c r="NAC51" s="105"/>
      <c r="NAJ51" s="56"/>
      <c r="NAK51" s="105"/>
      <c r="NAR51" s="56"/>
      <c r="NAS51" s="105"/>
      <c r="NAZ51" s="56"/>
      <c r="NBA51" s="105"/>
      <c r="NBH51" s="56"/>
      <c r="NBI51" s="105"/>
      <c r="NBP51" s="56"/>
      <c r="NBQ51" s="105"/>
      <c r="NBX51" s="56"/>
      <c r="NBY51" s="105"/>
      <c r="NCF51" s="56"/>
      <c r="NCG51" s="105"/>
      <c r="NCN51" s="56"/>
      <c r="NCO51" s="105"/>
      <c r="NCV51" s="56"/>
      <c r="NCW51" s="105"/>
      <c r="NDD51" s="56"/>
      <c r="NDE51" s="105"/>
      <c r="NDL51" s="56"/>
      <c r="NDM51" s="105"/>
      <c r="NDT51" s="56"/>
      <c r="NDU51" s="105"/>
      <c r="NEB51" s="56"/>
      <c r="NEC51" s="105"/>
      <c r="NEJ51" s="56"/>
      <c r="NEK51" s="105"/>
      <c r="NER51" s="56"/>
      <c r="NES51" s="105"/>
      <c r="NEZ51" s="56"/>
      <c r="NFA51" s="105"/>
      <c r="NFH51" s="56"/>
      <c r="NFI51" s="105"/>
      <c r="NFP51" s="56"/>
      <c r="NFQ51" s="105"/>
      <c r="NFX51" s="56"/>
      <c r="NFY51" s="105"/>
      <c r="NGF51" s="56"/>
      <c r="NGG51" s="105"/>
      <c r="NGN51" s="56"/>
      <c r="NGO51" s="105"/>
      <c r="NGV51" s="56"/>
      <c r="NGW51" s="105"/>
      <c r="NHD51" s="56"/>
      <c r="NHE51" s="105"/>
      <c r="NHL51" s="56"/>
      <c r="NHM51" s="105"/>
      <c r="NHT51" s="56"/>
      <c r="NHU51" s="105"/>
      <c r="NIB51" s="56"/>
      <c r="NIC51" s="105"/>
      <c r="NIJ51" s="56"/>
      <c r="NIK51" s="105"/>
      <c r="NIR51" s="56"/>
      <c r="NIS51" s="105"/>
      <c r="NIZ51" s="56"/>
      <c r="NJA51" s="105"/>
      <c r="NJH51" s="56"/>
      <c r="NJI51" s="105"/>
      <c r="NJP51" s="56"/>
      <c r="NJQ51" s="105"/>
      <c r="NJX51" s="56"/>
      <c r="NJY51" s="105"/>
      <c r="NKF51" s="56"/>
      <c r="NKG51" s="105"/>
      <c r="NKN51" s="56"/>
      <c r="NKO51" s="105"/>
      <c r="NKV51" s="56"/>
      <c r="NKW51" s="105"/>
      <c r="NLD51" s="56"/>
      <c r="NLE51" s="105"/>
      <c r="NLL51" s="56"/>
      <c r="NLM51" s="105"/>
      <c r="NLT51" s="56"/>
      <c r="NLU51" s="105"/>
      <c r="NMB51" s="56"/>
      <c r="NMC51" s="105"/>
      <c r="NMJ51" s="56"/>
      <c r="NMK51" s="105"/>
      <c r="NMR51" s="56"/>
      <c r="NMS51" s="105"/>
      <c r="NMZ51" s="56"/>
      <c r="NNA51" s="105"/>
      <c r="NNH51" s="56"/>
      <c r="NNI51" s="105"/>
      <c r="NNP51" s="56"/>
      <c r="NNQ51" s="105"/>
      <c r="NNX51" s="56"/>
      <c r="NNY51" s="105"/>
      <c r="NOF51" s="56"/>
      <c r="NOG51" s="105"/>
      <c r="NON51" s="56"/>
      <c r="NOO51" s="105"/>
      <c r="NOV51" s="56"/>
      <c r="NOW51" s="105"/>
      <c r="NPD51" s="56"/>
      <c r="NPE51" s="105"/>
      <c r="NPL51" s="56"/>
      <c r="NPM51" s="105"/>
      <c r="NPT51" s="56"/>
      <c r="NPU51" s="105"/>
      <c r="NQB51" s="56"/>
      <c r="NQC51" s="105"/>
      <c r="NQJ51" s="56"/>
      <c r="NQK51" s="105"/>
      <c r="NQR51" s="56"/>
      <c r="NQS51" s="105"/>
      <c r="NQZ51" s="56"/>
      <c r="NRA51" s="105"/>
      <c r="NRH51" s="56"/>
      <c r="NRI51" s="105"/>
      <c r="NRP51" s="56"/>
      <c r="NRQ51" s="105"/>
      <c r="NRX51" s="56"/>
      <c r="NRY51" s="105"/>
      <c r="NSF51" s="56"/>
      <c r="NSG51" s="105"/>
      <c r="NSN51" s="56"/>
      <c r="NSO51" s="105"/>
      <c r="NSV51" s="56"/>
      <c r="NSW51" s="105"/>
      <c r="NTD51" s="56"/>
      <c r="NTE51" s="105"/>
      <c r="NTL51" s="56"/>
      <c r="NTM51" s="105"/>
      <c r="NTT51" s="56"/>
      <c r="NTU51" s="105"/>
      <c r="NUB51" s="56"/>
      <c r="NUC51" s="105"/>
      <c r="NUJ51" s="56"/>
      <c r="NUK51" s="105"/>
      <c r="NUR51" s="56"/>
      <c r="NUS51" s="105"/>
      <c r="NUZ51" s="56"/>
      <c r="NVA51" s="105"/>
      <c r="NVH51" s="56"/>
      <c r="NVI51" s="105"/>
      <c r="NVP51" s="56"/>
      <c r="NVQ51" s="105"/>
      <c r="NVX51" s="56"/>
      <c r="NVY51" s="105"/>
      <c r="NWF51" s="56"/>
      <c r="NWG51" s="105"/>
      <c r="NWN51" s="56"/>
      <c r="NWO51" s="105"/>
      <c r="NWV51" s="56"/>
      <c r="NWW51" s="105"/>
      <c r="NXD51" s="56"/>
      <c r="NXE51" s="105"/>
      <c r="NXL51" s="56"/>
      <c r="NXM51" s="105"/>
      <c r="NXT51" s="56"/>
      <c r="NXU51" s="105"/>
      <c r="NYB51" s="56"/>
      <c r="NYC51" s="105"/>
      <c r="NYJ51" s="56"/>
      <c r="NYK51" s="105"/>
      <c r="NYR51" s="56"/>
      <c r="NYS51" s="105"/>
      <c r="NYZ51" s="56"/>
      <c r="NZA51" s="105"/>
      <c r="NZH51" s="56"/>
      <c r="NZI51" s="105"/>
      <c r="NZP51" s="56"/>
      <c r="NZQ51" s="105"/>
      <c r="NZX51" s="56"/>
      <c r="NZY51" s="105"/>
      <c r="OAF51" s="56"/>
      <c r="OAG51" s="105"/>
      <c r="OAN51" s="56"/>
      <c r="OAO51" s="105"/>
      <c r="OAV51" s="56"/>
      <c r="OAW51" s="105"/>
      <c r="OBD51" s="56"/>
      <c r="OBE51" s="105"/>
      <c r="OBL51" s="56"/>
      <c r="OBM51" s="105"/>
      <c r="OBT51" s="56"/>
      <c r="OBU51" s="105"/>
      <c r="OCB51" s="56"/>
      <c r="OCC51" s="105"/>
      <c r="OCJ51" s="56"/>
      <c r="OCK51" s="105"/>
      <c r="OCR51" s="56"/>
      <c r="OCS51" s="105"/>
      <c r="OCZ51" s="56"/>
      <c r="ODA51" s="105"/>
      <c r="ODH51" s="56"/>
      <c r="ODI51" s="105"/>
      <c r="ODP51" s="56"/>
      <c r="ODQ51" s="105"/>
      <c r="ODX51" s="56"/>
      <c r="ODY51" s="105"/>
      <c r="OEF51" s="56"/>
      <c r="OEG51" s="105"/>
      <c r="OEN51" s="56"/>
      <c r="OEO51" s="105"/>
      <c r="OEV51" s="56"/>
      <c r="OEW51" s="105"/>
      <c r="OFD51" s="56"/>
      <c r="OFE51" s="105"/>
      <c r="OFL51" s="56"/>
      <c r="OFM51" s="105"/>
      <c r="OFT51" s="56"/>
      <c r="OFU51" s="105"/>
      <c r="OGB51" s="56"/>
      <c r="OGC51" s="105"/>
      <c r="OGJ51" s="56"/>
      <c r="OGK51" s="105"/>
      <c r="OGR51" s="56"/>
      <c r="OGS51" s="105"/>
      <c r="OGZ51" s="56"/>
      <c r="OHA51" s="105"/>
      <c r="OHH51" s="56"/>
      <c r="OHI51" s="105"/>
      <c r="OHP51" s="56"/>
      <c r="OHQ51" s="105"/>
      <c r="OHX51" s="56"/>
      <c r="OHY51" s="105"/>
      <c r="OIF51" s="56"/>
      <c r="OIG51" s="105"/>
      <c r="OIN51" s="56"/>
      <c r="OIO51" s="105"/>
      <c r="OIV51" s="56"/>
      <c r="OIW51" s="105"/>
      <c r="OJD51" s="56"/>
      <c r="OJE51" s="105"/>
      <c r="OJL51" s="56"/>
      <c r="OJM51" s="105"/>
      <c r="OJT51" s="56"/>
      <c r="OJU51" s="105"/>
      <c r="OKB51" s="56"/>
      <c r="OKC51" s="105"/>
      <c r="OKJ51" s="56"/>
      <c r="OKK51" s="105"/>
      <c r="OKR51" s="56"/>
      <c r="OKS51" s="105"/>
      <c r="OKZ51" s="56"/>
      <c r="OLA51" s="105"/>
      <c r="OLH51" s="56"/>
      <c r="OLI51" s="105"/>
      <c r="OLP51" s="56"/>
      <c r="OLQ51" s="105"/>
      <c r="OLX51" s="56"/>
      <c r="OLY51" s="105"/>
      <c r="OMF51" s="56"/>
      <c r="OMG51" s="105"/>
      <c r="OMN51" s="56"/>
      <c r="OMO51" s="105"/>
      <c r="OMV51" s="56"/>
      <c r="OMW51" s="105"/>
      <c r="OND51" s="56"/>
      <c r="ONE51" s="105"/>
      <c r="ONL51" s="56"/>
      <c r="ONM51" s="105"/>
      <c r="ONT51" s="56"/>
      <c r="ONU51" s="105"/>
      <c r="OOB51" s="56"/>
      <c r="OOC51" s="105"/>
      <c r="OOJ51" s="56"/>
      <c r="OOK51" s="105"/>
      <c r="OOR51" s="56"/>
      <c r="OOS51" s="105"/>
      <c r="OOZ51" s="56"/>
      <c r="OPA51" s="105"/>
      <c r="OPH51" s="56"/>
      <c r="OPI51" s="105"/>
      <c r="OPP51" s="56"/>
      <c r="OPQ51" s="105"/>
      <c r="OPX51" s="56"/>
      <c r="OPY51" s="105"/>
      <c r="OQF51" s="56"/>
      <c r="OQG51" s="105"/>
      <c r="OQN51" s="56"/>
      <c r="OQO51" s="105"/>
      <c r="OQV51" s="56"/>
      <c r="OQW51" s="105"/>
      <c r="ORD51" s="56"/>
      <c r="ORE51" s="105"/>
      <c r="ORL51" s="56"/>
      <c r="ORM51" s="105"/>
      <c r="ORT51" s="56"/>
      <c r="ORU51" s="105"/>
      <c r="OSB51" s="56"/>
      <c r="OSC51" s="105"/>
      <c r="OSJ51" s="56"/>
      <c r="OSK51" s="105"/>
      <c r="OSR51" s="56"/>
      <c r="OSS51" s="105"/>
      <c r="OSZ51" s="56"/>
      <c r="OTA51" s="105"/>
      <c r="OTH51" s="56"/>
      <c r="OTI51" s="105"/>
      <c r="OTP51" s="56"/>
      <c r="OTQ51" s="105"/>
      <c r="OTX51" s="56"/>
      <c r="OTY51" s="105"/>
      <c r="OUF51" s="56"/>
      <c r="OUG51" s="105"/>
      <c r="OUN51" s="56"/>
      <c r="OUO51" s="105"/>
      <c r="OUV51" s="56"/>
      <c r="OUW51" s="105"/>
      <c r="OVD51" s="56"/>
      <c r="OVE51" s="105"/>
      <c r="OVL51" s="56"/>
      <c r="OVM51" s="105"/>
      <c r="OVT51" s="56"/>
      <c r="OVU51" s="105"/>
      <c r="OWB51" s="56"/>
      <c r="OWC51" s="105"/>
      <c r="OWJ51" s="56"/>
      <c r="OWK51" s="105"/>
      <c r="OWR51" s="56"/>
      <c r="OWS51" s="105"/>
      <c r="OWZ51" s="56"/>
      <c r="OXA51" s="105"/>
      <c r="OXH51" s="56"/>
      <c r="OXI51" s="105"/>
      <c r="OXP51" s="56"/>
      <c r="OXQ51" s="105"/>
      <c r="OXX51" s="56"/>
      <c r="OXY51" s="105"/>
      <c r="OYF51" s="56"/>
      <c r="OYG51" s="105"/>
      <c r="OYN51" s="56"/>
      <c r="OYO51" s="105"/>
      <c r="OYV51" s="56"/>
      <c r="OYW51" s="105"/>
      <c r="OZD51" s="56"/>
      <c r="OZE51" s="105"/>
      <c r="OZL51" s="56"/>
      <c r="OZM51" s="105"/>
      <c r="OZT51" s="56"/>
      <c r="OZU51" s="105"/>
      <c r="PAB51" s="56"/>
      <c r="PAC51" s="105"/>
      <c r="PAJ51" s="56"/>
      <c r="PAK51" s="105"/>
      <c r="PAR51" s="56"/>
      <c r="PAS51" s="105"/>
      <c r="PAZ51" s="56"/>
      <c r="PBA51" s="105"/>
      <c r="PBH51" s="56"/>
      <c r="PBI51" s="105"/>
      <c r="PBP51" s="56"/>
      <c r="PBQ51" s="105"/>
      <c r="PBX51" s="56"/>
      <c r="PBY51" s="105"/>
      <c r="PCF51" s="56"/>
      <c r="PCG51" s="105"/>
      <c r="PCN51" s="56"/>
      <c r="PCO51" s="105"/>
      <c r="PCV51" s="56"/>
      <c r="PCW51" s="105"/>
      <c r="PDD51" s="56"/>
      <c r="PDE51" s="105"/>
      <c r="PDL51" s="56"/>
      <c r="PDM51" s="105"/>
      <c r="PDT51" s="56"/>
      <c r="PDU51" s="105"/>
      <c r="PEB51" s="56"/>
      <c r="PEC51" s="105"/>
      <c r="PEJ51" s="56"/>
      <c r="PEK51" s="105"/>
      <c r="PER51" s="56"/>
      <c r="PES51" s="105"/>
      <c r="PEZ51" s="56"/>
      <c r="PFA51" s="105"/>
      <c r="PFH51" s="56"/>
      <c r="PFI51" s="105"/>
      <c r="PFP51" s="56"/>
      <c r="PFQ51" s="105"/>
      <c r="PFX51" s="56"/>
      <c r="PFY51" s="105"/>
      <c r="PGF51" s="56"/>
      <c r="PGG51" s="105"/>
      <c r="PGN51" s="56"/>
      <c r="PGO51" s="105"/>
      <c r="PGV51" s="56"/>
      <c r="PGW51" s="105"/>
      <c r="PHD51" s="56"/>
      <c r="PHE51" s="105"/>
      <c r="PHL51" s="56"/>
      <c r="PHM51" s="105"/>
      <c r="PHT51" s="56"/>
      <c r="PHU51" s="105"/>
      <c r="PIB51" s="56"/>
      <c r="PIC51" s="105"/>
      <c r="PIJ51" s="56"/>
      <c r="PIK51" s="105"/>
      <c r="PIR51" s="56"/>
      <c r="PIS51" s="105"/>
      <c r="PIZ51" s="56"/>
      <c r="PJA51" s="105"/>
      <c r="PJH51" s="56"/>
      <c r="PJI51" s="105"/>
      <c r="PJP51" s="56"/>
      <c r="PJQ51" s="105"/>
      <c r="PJX51" s="56"/>
      <c r="PJY51" s="105"/>
      <c r="PKF51" s="56"/>
      <c r="PKG51" s="105"/>
      <c r="PKN51" s="56"/>
      <c r="PKO51" s="105"/>
      <c r="PKV51" s="56"/>
      <c r="PKW51" s="105"/>
      <c r="PLD51" s="56"/>
      <c r="PLE51" s="105"/>
      <c r="PLL51" s="56"/>
      <c r="PLM51" s="105"/>
      <c r="PLT51" s="56"/>
      <c r="PLU51" s="105"/>
      <c r="PMB51" s="56"/>
      <c r="PMC51" s="105"/>
      <c r="PMJ51" s="56"/>
      <c r="PMK51" s="105"/>
      <c r="PMR51" s="56"/>
      <c r="PMS51" s="105"/>
      <c r="PMZ51" s="56"/>
      <c r="PNA51" s="105"/>
      <c r="PNH51" s="56"/>
      <c r="PNI51" s="105"/>
      <c r="PNP51" s="56"/>
      <c r="PNQ51" s="105"/>
      <c r="PNX51" s="56"/>
      <c r="PNY51" s="105"/>
      <c r="POF51" s="56"/>
      <c r="POG51" s="105"/>
      <c r="PON51" s="56"/>
      <c r="POO51" s="105"/>
      <c r="POV51" s="56"/>
      <c r="POW51" s="105"/>
      <c r="PPD51" s="56"/>
      <c r="PPE51" s="105"/>
      <c r="PPL51" s="56"/>
      <c r="PPM51" s="105"/>
      <c r="PPT51" s="56"/>
      <c r="PPU51" s="105"/>
      <c r="PQB51" s="56"/>
      <c r="PQC51" s="105"/>
      <c r="PQJ51" s="56"/>
      <c r="PQK51" s="105"/>
      <c r="PQR51" s="56"/>
      <c r="PQS51" s="105"/>
      <c r="PQZ51" s="56"/>
      <c r="PRA51" s="105"/>
      <c r="PRH51" s="56"/>
      <c r="PRI51" s="105"/>
      <c r="PRP51" s="56"/>
      <c r="PRQ51" s="105"/>
      <c r="PRX51" s="56"/>
      <c r="PRY51" s="105"/>
      <c r="PSF51" s="56"/>
      <c r="PSG51" s="105"/>
      <c r="PSN51" s="56"/>
      <c r="PSO51" s="105"/>
      <c r="PSV51" s="56"/>
      <c r="PSW51" s="105"/>
      <c r="PTD51" s="56"/>
      <c r="PTE51" s="105"/>
      <c r="PTL51" s="56"/>
      <c r="PTM51" s="105"/>
      <c r="PTT51" s="56"/>
      <c r="PTU51" s="105"/>
      <c r="PUB51" s="56"/>
      <c r="PUC51" s="105"/>
      <c r="PUJ51" s="56"/>
      <c r="PUK51" s="105"/>
      <c r="PUR51" s="56"/>
      <c r="PUS51" s="105"/>
      <c r="PUZ51" s="56"/>
      <c r="PVA51" s="105"/>
      <c r="PVH51" s="56"/>
      <c r="PVI51" s="105"/>
      <c r="PVP51" s="56"/>
      <c r="PVQ51" s="105"/>
      <c r="PVX51" s="56"/>
      <c r="PVY51" s="105"/>
      <c r="PWF51" s="56"/>
      <c r="PWG51" s="105"/>
      <c r="PWN51" s="56"/>
      <c r="PWO51" s="105"/>
      <c r="PWV51" s="56"/>
      <c r="PWW51" s="105"/>
      <c r="PXD51" s="56"/>
      <c r="PXE51" s="105"/>
      <c r="PXL51" s="56"/>
      <c r="PXM51" s="105"/>
      <c r="PXT51" s="56"/>
      <c r="PXU51" s="105"/>
      <c r="PYB51" s="56"/>
      <c r="PYC51" s="105"/>
      <c r="PYJ51" s="56"/>
      <c r="PYK51" s="105"/>
      <c r="PYR51" s="56"/>
      <c r="PYS51" s="105"/>
      <c r="PYZ51" s="56"/>
      <c r="PZA51" s="105"/>
      <c r="PZH51" s="56"/>
      <c r="PZI51" s="105"/>
      <c r="PZP51" s="56"/>
      <c r="PZQ51" s="105"/>
      <c r="PZX51" s="56"/>
      <c r="PZY51" s="105"/>
      <c r="QAF51" s="56"/>
      <c r="QAG51" s="105"/>
      <c r="QAN51" s="56"/>
      <c r="QAO51" s="105"/>
      <c r="QAV51" s="56"/>
      <c r="QAW51" s="105"/>
      <c r="QBD51" s="56"/>
      <c r="QBE51" s="105"/>
      <c r="QBL51" s="56"/>
      <c r="QBM51" s="105"/>
      <c r="QBT51" s="56"/>
      <c r="QBU51" s="105"/>
      <c r="QCB51" s="56"/>
      <c r="QCC51" s="105"/>
      <c r="QCJ51" s="56"/>
      <c r="QCK51" s="105"/>
      <c r="QCR51" s="56"/>
      <c r="QCS51" s="105"/>
      <c r="QCZ51" s="56"/>
      <c r="QDA51" s="105"/>
      <c r="QDH51" s="56"/>
      <c r="QDI51" s="105"/>
      <c r="QDP51" s="56"/>
      <c r="QDQ51" s="105"/>
      <c r="QDX51" s="56"/>
      <c r="QDY51" s="105"/>
      <c r="QEF51" s="56"/>
      <c r="QEG51" s="105"/>
      <c r="QEN51" s="56"/>
      <c r="QEO51" s="105"/>
      <c r="QEV51" s="56"/>
      <c r="QEW51" s="105"/>
      <c r="QFD51" s="56"/>
      <c r="QFE51" s="105"/>
      <c r="QFL51" s="56"/>
      <c r="QFM51" s="105"/>
      <c r="QFT51" s="56"/>
      <c r="QFU51" s="105"/>
      <c r="QGB51" s="56"/>
      <c r="QGC51" s="105"/>
      <c r="QGJ51" s="56"/>
      <c r="QGK51" s="105"/>
      <c r="QGR51" s="56"/>
      <c r="QGS51" s="105"/>
      <c r="QGZ51" s="56"/>
      <c r="QHA51" s="105"/>
      <c r="QHH51" s="56"/>
      <c r="QHI51" s="105"/>
      <c r="QHP51" s="56"/>
      <c r="QHQ51" s="105"/>
      <c r="QHX51" s="56"/>
      <c r="QHY51" s="105"/>
      <c r="QIF51" s="56"/>
      <c r="QIG51" s="105"/>
      <c r="QIN51" s="56"/>
      <c r="QIO51" s="105"/>
      <c r="QIV51" s="56"/>
      <c r="QIW51" s="105"/>
      <c r="QJD51" s="56"/>
      <c r="QJE51" s="105"/>
      <c r="QJL51" s="56"/>
      <c r="QJM51" s="105"/>
      <c r="QJT51" s="56"/>
      <c r="QJU51" s="105"/>
      <c r="QKB51" s="56"/>
      <c r="QKC51" s="105"/>
      <c r="QKJ51" s="56"/>
      <c r="QKK51" s="105"/>
      <c r="QKR51" s="56"/>
      <c r="QKS51" s="105"/>
      <c r="QKZ51" s="56"/>
      <c r="QLA51" s="105"/>
      <c r="QLH51" s="56"/>
      <c r="QLI51" s="105"/>
      <c r="QLP51" s="56"/>
      <c r="QLQ51" s="105"/>
      <c r="QLX51" s="56"/>
      <c r="QLY51" s="105"/>
      <c r="QMF51" s="56"/>
      <c r="QMG51" s="105"/>
      <c r="QMN51" s="56"/>
      <c r="QMO51" s="105"/>
      <c r="QMV51" s="56"/>
      <c r="QMW51" s="105"/>
      <c r="QND51" s="56"/>
      <c r="QNE51" s="105"/>
      <c r="QNL51" s="56"/>
      <c r="QNM51" s="105"/>
      <c r="QNT51" s="56"/>
      <c r="QNU51" s="105"/>
      <c r="QOB51" s="56"/>
      <c r="QOC51" s="105"/>
      <c r="QOJ51" s="56"/>
      <c r="QOK51" s="105"/>
      <c r="QOR51" s="56"/>
      <c r="QOS51" s="105"/>
      <c r="QOZ51" s="56"/>
      <c r="QPA51" s="105"/>
      <c r="QPH51" s="56"/>
      <c r="QPI51" s="105"/>
      <c r="QPP51" s="56"/>
      <c r="QPQ51" s="105"/>
      <c r="QPX51" s="56"/>
      <c r="QPY51" s="105"/>
      <c r="QQF51" s="56"/>
      <c r="QQG51" s="105"/>
      <c r="QQN51" s="56"/>
      <c r="QQO51" s="105"/>
      <c r="QQV51" s="56"/>
      <c r="QQW51" s="105"/>
      <c r="QRD51" s="56"/>
      <c r="QRE51" s="105"/>
      <c r="QRL51" s="56"/>
      <c r="QRM51" s="105"/>
      <c r="QRT51" s="56"/>
      <c r="QRU51" s="105"/>
      <c r="QSB51" s="56"/>
      <c r="QSC51" s="105"/>
      <c r="QSJ51" s="56"/>
      <c r="QSK51" s="105"/>
      <c r="QSR51" s="56"/>
      <c r="QSS51" s="105"/>
      <c r="QSZ51" s="56"/>
      <c r="QTA51" s="105"/>
      <c r="QTH51" s="56"/>
      <c r="QTI51" s="105"/>
      <c r="QTP51" s="56"/>
      <c r="QTQ51" s="105"/>
      <c r="QTX51" s="56"/>
      <c r="QTY51" s="105"/>
      <c r="QUF51" s="56"/>
      <c r="QUG51" s="105"/>
      <c r="QUN51" s="56"/>
      <c r="QUO51" s="105"/>
      <c r="QUV51" s="56"/>
      <c r="QUW51" s="105"/>
      <c r="QVD51" s="56"/>
      <c r="QVE51" s="105"/>
      <c r="QVL51" s="56"/>
      <c r="QVM51" s="105"/>
      <c r="QVT51" s="56"/>
      <c r="QVU51" s="105"/>
      <c r="QWB51" s="56"/>
      <c r="QWC51" s="105"/>
      <c r="QWJ51" s="56"/>
      <c r="QWK51" s="105"/>
      <c r="QWR51" s="56"/>
      <c r="QWS51" s="105"/>
      <c r="QWZ51" s="56"/>
      <c r="QXA51" s="105"/>
      <c r="QXH51" s="56"/>
      <c r="QXI51" s="105"/>
      <c r="QXP51" s="56"/>
      <c r="QXQ51" s="105"/>
      <c r="QXX51" s="56"/>
      <c r="QXY51" s="105"/>
      <c r="QYF51" s="56"/>
      <c r="QYG51" s="105"/>
      <c r="QYN51" s="56"/>
      <c r="QYO51" s="105"/>
      <c r="QYV51" s="56"/>
      <c r="QYW51" s="105"/>
      <c r="QZD51" s="56"/>
      <c r="QZE51" s="105"/>
      <c r="QZL51" s="56"/>
      <c r="QZM51" s="105"/>
      <c r="QZT51" s="56"/>
      <c r="QZU51" s="105"/>
      <c r="RAB51" s="56"/>
      <c r="RAC51" s="105"/>
      <c r="RAJ51" s="56"/>
      <c r="RAK51" s="105"/>
      <c r="RAR51" s="56"/>
      <c r="RAS51" s="105"/>
      <c r="RAZ51" s="56"/>
      <c r="RBA51" s="105"/>
      <c r="RBH51" s="56"/>
      <c r="RBI51" s="105"/>
      <c r="RBP51" s="56"/>
      <c r="RBQ51" s="105"/>
      <c r="RBX51" s="56"/>
      <c r="RBY51" s="105"/>
      <c r="RCF51" s="56"/>
      <c r="RCG51" s="105"/>
      <c r="RCN51" s="56"/>
      <c r="RCO51" s="105"/>
      <c r="RCV51" s="56"/>
      <c r="RCW51" s="105"/>
      <c r="RDD51" s="56"/>
      <c r="RDE51" s="105"/>
      <c r="RDL51" s="56"/>
      <c r="RDM51" s="105"/>
      <c r="RDT51" s="56"/>
      <c r="RDU51" s="105"/>
      <c r="REB51" s="56"/>
      <c r="REC51" s="105"/>
      <c r="REJ51" s="56"/>
      <c r="REK51" s="105"/>
      <c r="RER51" s="56"/>
      <c r="RES51" s="105"/>
      <c r="REZ51" s="56"/>
      <c r="RFA51" s="105"/>
      <c r="RFH51" s="56"/>
      <c r="RFI51" s="105"/>
      <c r="RFP51" s="56"/>
      <c r="RFQ51" s="105"/>
      <c r="RFX51" s="56"/>
      <c r="RFY51" s="105"/>
      <c r="RGF51" s="56"/>
      <c r="RGG51" s="105"/>
      <c r="RGN51" s="56"/>
      <c r="RGO51" s="105"/>
      <c r="RGV51" s="56"/>
      <c r="RGW51" s="105"/>
      <c r="RHD51" s="56"/>
      <c r="RHE51" s="105"/>
      <c r="RHL51" s="56"/>
      <c r="RHM51" s="105"/>
      <c r="RHT51" s="56"/>
      <c r="RHU51" s="105"/>
      <c r="RIB51" s="56"/>
      <c r="RIC51" s="105"/>
      <c r="RIJ51" s="56"/>
      <c r="RIK51" s="105"/>
      <c r="RIR51" s="56"/>
      <c r="RIS51" s="105"/>
      <c r="RIZ51" s="56"/>
      <c r="RJA51" s="105"/>
      <c r="RJH51" s="56"/>
      <c r="RJI51" s="105"/>
      <c r="RJP51" s="56"/>
      <c r="RJQ51" s="105"/>
      <c r="RJX51" s="56"/>
      <c r="RJY51" s="105"/>
      <c r="RKF51" s="56"/>
      <c r="RKG51" s="105"/>
      <c r="RKN51" s="56"/>
      <c r="RKO51" s="105"/>
      <c r="RKV51" s="56"/>
      <c r="RKW51" s="105"/>
      <c r="RLD51" s="56"/>
      <c r="RLE51" s="105"/>
      <c r="RLL51" s="56"/>
      <c r="RLM51" s="105"/>
      <c r="RLT51" s="56"/>
      <c r="RLU51" s="105"/>
      <c r="RMB51" s="56"/>
      <c r="RMC51" s="105"/>
      <c r="RMJ51" s="56"/>
      <c r="RMK51" s="105"/>
      <c r="RMR51" s="56"/>
      <c r="RMS51" s="105"/>
      <c r="RMZ51" s="56"/>
      <c r="RNA51" s="105"/>
      <c r="RNH51" s="56"/>
      <c r="RNI51" s="105"/>
      <c r="RNP51" s="56"/>
      <c r="RNQ51" s="105"/>
      <c r="RNX51" s="56"/>
      <c r="RNY51" s="105"/>
      <c r="ROF51" s="56"/>
      <c r="ROG51" s="105"/>
      <c r="RON51" s="56"/>
      <c r="ROO51" s="105"/>
      <c r="ROV51" s="56"/>
      <c r="ROW51" s="105"/>
      <c r="RPD51" s="56"/>
      <c r="RPE51" s="105"/>
      <c r="RPL51" s="56"/>
      <c r="RPM51" s="105"/>
      <c r="RPT51" s="56"/>
      <c r="RPU51" s="105"/>
      <c r="RQB51" s="56"/>
      <c r="RQC51" s="105"/>
      <c r="RQJ51" s="56"/>
      <c r="RQK51" s="105"/>
      <c r="RQR51" s="56"/>
      <c r="RQS51" s="105"/>
      <c r="RQZ51" s="56"/>
      <c r="RRA51" s="105"/>
      <c r="RRH51" s="56"/>
      <c r="RRI51" s="105"/>
      <c r="RRP51" s="56"/>
      <c r="RRQ51" s="105"/>
      <c r="RRX51" s="56"/>
      <c r="RRY51" s="105"/>
      <c r="RSF51" s="56"/>
      <c r="RSG51" s="105"/>
      <c r="RSN51" s="56"/>
      <c r="RSO51" s="105"/>
      <c r="RSV51" s="56"/>
      <c r="RSW51" s="105"/>
      <c r="RTD51" s="56"/>
      <c r="RTE51" s="105"/>
      <c r="RTL51" s="56"/>
      <c r="RTM51" s="105"/>
      <c r="RTT51" s="56"/>
      <c r="RTU51" s="105"/>
      <c r="RUB51" s="56"/>
      <c r="RUC51" s="105"/>
      <c r="RUJ51" s="56"/>
      <c r="RUK51" s="105"/>
      <c r="RUR51" s="56"/>
      <c r="RUS51" s="105"/>
      <c r="RUZ51" s="56"/>
      <c r="RVA51" s="105"/>
      <c r="RVH51" s="56"/>
      <c r="RVI51" s="105"/>
      <c r="RVP51" s="56"/>
      <c r="RVQ51" s="105"/>
      <c r="RVX51" s="56"/>
      <c r="RVY51" s="105"/>
      <c r="RWF51" s="56"/>
      <c r="RWG51" s="105"/>
      <c r="RWN51" s="56"/>
      <c r="RWO51" s="105"/>
      <c r="RWV51" s="56"/>
      <c r="RWW51" s="105"/>
      <c r="RXD51" s="56"/>
      <c r="RXE51" s="105"/>
      <c r="RXL51" s="56"/>
      <c r="RXM51" s="105"/>
      <c r="RXT51" s="56"/>
      <c r="RXU51" s="105"/>
      <c r="RYB51" s="56"/>
      <c r="RYC51" s="105"/>
      <c r="RYJ51" s="56"/>
      <c r="RYK51" s="105"/>
      <c r="RYR51" s="56"/>
      <c r="RYS51" s="105"/>
      <c r="RYZ51" s="56"/>
      <c r="RZA51" s="105"/>
      <c r="RZH51" s="56"/>
      <c r="RZI51" s="105"/>
      <c r="RZP51" s="56"/>
      <c r="RZQ51" s="105"/>
      <c r="RZX51" s="56"/>
      <c r="RZY51" s="105"/>
      <c r="SAF51" s="56"/>
      <c r="SAG51" s="105"/>
      <c r="SAN51" s="56"/>
      <c r="SAO51" s="105"/>
      <c r="SAV51" s="56"/>
      <c r="SAW51" s="105"/>
      <c r="SBD51" s="56"/>
      <c r="SBE51" s="105"/>
      <c r="SBL51" s="56"/>
      <c r="SBM51" s="105"/>
      <c r="SBT51" s="56"/>
      <c r="SBU51" s="105"/>
      <c r="SCB51" s="56"/>
      <c r="SCC51" s="105"/>
      <c r="SCJ51" s="56"/>
      <c r="SCK51" s="105"/>
      <c r="SCR51" s="56"/>
      <c r="SCS51" s="105"/>
      <c r="SCZ51" s="56"/>
      <c r="SDA51" s="105"/>
      <c r="SDH51" s="56"/>
      <c r="SDI51" s="105"/>
      <c r="SDP51" s="56"/>
      <c r="SDQ51" s="105"/>
      <c r="SDX51" s="56"/>
      <c r="SDY51" s="105"/>
      <c r="SEF51" s="56"/>
      <c r="SEG51" s="105"/>
      <c r="SEN51" s="56"/>
      <c r="SEO51" s="105"/>
      <c r="SEV51" s="56"/>
      <c r="SEW51" s="105"/>
      <c r="SFD51" s="56"/>
      <c r="SFE51" s="105"/>
      <c r="SFL51" s="56"/>
      <c r="SFM51" s="105"/>
      <c r="SFT51" s="56"/>
      <c r="SFU51" s="105"/>
      <c r="SGB51" s="56"/>
      <c r="SGC51" s="105"/>
      <c r="SGJ51" s="56"/>
      <c r="SGK51" s="105"/>
      <c r="SGR51" s="56"/>
      <c r="SGS51" s="105"/>
      <c r="SGZ51" s="56"/>
      <c r="SHA51" s="105"/>
      <c r="SHH51" s="56"/>
      <c r="SHI51" s="105"/>
      <c r="SHP51" s="56"/>
      <c r="SHQ51" s="105"/>
      <c r="SHX51" s="56"/>
      <c r="SHY51" s="105"/>
      <c r="SIF51" s="56"/>
      <c r="SIG51" s="105"/>
      <c r="SIN51" s="56"/>
      <c r="SIO51" s="105"/>
      <c r="SIV51" s="56"/>
      <c r="SIW51" s="105"/>
      <c r="SJD51" s="56"/>
      <c r="SJE51" s="105"/>
      <c r="SJL51" s="56"/>
      <c r="SJM51" s="105"/>
      <c r="SJT51" s="56"/>
      <c r="SJU51" s="105"/>
      <c r="SKB51" s="56"/>
      <c r="SKC51" s="105"/>
      <c r="SKJ51" s="56"/>
      <c r="SKK51" s="105"/>
      <c r="SKR51" s="56"/>
      <c r="SKS51" s="105"/>
      <c r="SKZ51" s="56"/>
      <c r="SLA51" s="105"/>
      <c r="SLH51" s="56"/>
      <c r="SLI51" s="105"/>
      <c r="SLP51" s="56"/>
      <c r="SLQ51" s="105"/>
      <c r="SLX51" s="56"/>
      <c r="SLY51" s="105"/>
      <c r="SMF51" s="56"/>
      <c r="SMG51" s="105"/>
      <c r="SMN51" s="56"/>
      <c r="SMO51" s="105"/>
      <c r="SMV51" s="56"/>
      <c r="SMW51" s="105"/>
      <c r="SND51" s="56"/>
      <c r="SNE51" s="105"/>
      <c r="SNL51" s="56"/>
      <c r="SNM51" s="105"/>
      <c r="SNT51" s="56"/>
      <c r="SNU51" s="105"/>
      <c r="SOB51" s="56"/>
      <c r="SOC51" s="105"/>
      <c r="SOJ51" s="56"/>
      <c r="SOK51" s="105"/>
      <c r="SOR51" s="56"/>
      <c r="SOS51" s="105"/>
      <c r="SOZ51" s="56"/>
      <c r="SPA51" s="105"/>
      <c r="SPH51" s="56"/>
      <c r="SPI51" s="105"/>
      <c r="SPP51" s="56"/>
      <c r="SPQ51" s="105"/>
      <c r="SPX51" s="56"/>
      <c r="SPY51" s="105"/>
      <c r="SQF51" s="56"/>
      <c r="SQG51" s="105"/>
      <c r="SQN51" s="56"/>
      <c r="SQO51" s="105"/>
      <c r="SQV51" s="56"/>
      <c r="SQW51" s="105"/>
      <c r="SRD51" s="56"/>
      <c r="SRE51" s="105"/>
      <c r="SRL51" s="56"/>
      <c r="SRM51" s="105"/>
      <c r="SRT51" s="56"/>
      <c r="SRU51" s="105"/>
      <c r="SSB51" s="56"/>
      <c r="SSC51" s="105"/>
      <c r="SSJ51" s="56"/>
      <c r="SSK51" s="105"/>
      <c r="SSR51" s="56"/>
      <c r="SSS51" s="105"/>
      <c r="SSZ51" s="56"/>
      <c r="STA51" s="105"/>
      <c r="STH51" s="56"/>
      <c r="STI51" s="105"/>
      <c r="STP51" s="56"/>
      <c r="STQ51" s="105"/>
      <c r="STX51" s="56"/>
      <c r="STY51" s="105"/>
      <c r="SUF51" s="56"/>
      <c r="SUG51" s="105"/>
      <c r="SUN51" s="56"/>
      <c r="SUO51" s="105"/>
      <c r="SUV51" s="56"/>
      <c r="SUW51" s="105"/>
      <c r="SVD51" s="56"/>
      <c r="SVE51" s="105"/>
      <c r="SVL51" s="56"/>
      <c r="SVM51" s="105"/>
      <c r="SVT51" s="56"/>
      <c r="SVU51" s="105"/>
      <c r="SWB51" s="56"/>
      <c r="SWC51" s="105"/>
      <c r="SWJ51" s="56"/>
      <c r="SWK51" s="105"/>
      <c r="SWR51" s="56"/>
      <c r="SWS51" s="105"/>
      <c r="SWZ51" s="56"/>
      <c r="SXA51" s="105"/>
      <c r="SXH51" s="56"/>
      <c r="SXI51" s="105"/>
      <c r="SXP51" s="56"/>
      <c r="SXQ51" s="105"/>
      <c r="SXX51" s="56"/>
      <c r="SXY51" s="105"/>
      <c r="SYF51" s="56"/>
      <c r="SYG51" s="105"/>
      <c r="SYN51" s="56"/>
      <c r="SYO51" s="105"/>
      <c r="SYV51" s="56"/>
      <c r="SYW51" s="105"/>
      <c r="SZD51" s="56"/>
      <c r="SZE51" s="105"/>
      <c r="SZL51" s="56"/>
      <c r="SZM51" s="105"/>
      <c r="SZT51" s="56"/>
      <c r="SZU51" s="105"/>
      <c r="TAB51" s="56"/>
      <c r="TAC51" s="105"/>
      <c r="TAJ51" s="56"/>
      <c r="TAK51" s="105"/>
      <c r="TAR51" s="56"/>
      <c r="TAS51" s="105"/>
      <c r="TAZ51" s="56"/>
      <c r="TBA51" s="105"/>
      <c r="TBH51" s="56"/>
      <c r="TBI51" s="105"/>
      <c r="TBP51" s="56"/>
      <c r="TBQ51" s="105"/>
      <c r="TBX51" s="56"/>
      <c r="TBY51" s="105"/>
      <c r="TCF51" s="56"/>
      <c r="TCG51" s="105"/>
      <c r="TCN51" s="56"/>
      <c r="TCO51" s="105"/>
      <c r="TCV51" s="56"/>
      <c r="TCW51" s="105"/>
      <c r="TDD51" s="56"/>
      <c r="TDE51" s="105"/>
      <c r="TDL51" s="56"/>
      <c r="TDM51" s="105"/>
      <c r="TDT51" s="56"/>
      <c r="TDU51" s="105"/>
      <c r="TEB51" s="56"/>
      <c r="TEC51" s="105"/>
      <c r="TEJ51" s="56"/>
      <c r="TEK51" s="105"/>
      <c r="TER51" s="56"/>
      <c r="TES51" s="105"/>
      <c r="TEZ51" s="56"/>
      <c r="TFA51" s="105"/>
      <c r="TFH51" s="56"/>
      <c r="TFI51" s="105"/>
      <c r="TFP51" s="56"/>
      <c r="TFQ51" s="105"/>
      <c r="TFX51" s="56"/>
      <c r="TFY51" s="105"/>
      <c r="TGF51" s="56"/>
      <c r="TGG51" s="105"/>
      <c r="TGN51" s="56"/>
      <c r="TGO51" s="105"/>
      <c r="TGV51" s="56"/>
      <c r="TGW51" s="105"/>
      <c r="THD51" s="56"/>
      <c r="THE51" s="105"/>
      <c r="THL51" s="56"/>
      <c r="THM51" s="105"/>
      <c r="THT51" s="56"/>
      <c r="THU51" s="105"/>
      <c r="TIB51" s="56"/>
      <c r="TIC51" s="105"/>
      <c r="TIJ51" s="56"/>
      <c r="TIK51" s="105"/>
      <c r="TIR51" s="56"/>
      <c r="TIS51" s="105"/>
      <c r="TIZ51" s="56"/>
      <c r="TJA51" s="105"/>
      <c r="TJH51" s="56"/>
      <c r="TJI51" s="105"/>
      <c r="TJP51" s="56"/>
      <c r="TJQ51" s="105"/>
      <c r="TJX51" s="56"/>
      <c r="TJY51" s="105"/>
      <c r="TKF51" s="56"/>
      <c r="TKG51" s="105"/>
      <c r="TKN51" s="56"/>
      <c r="TKO51" s="105"/>
      <c r="TKV51" s="56"/>
      <c r="TKW51" s="105"/>
      <c r="TLD51" s="56"/>
      <c r="TLE51" s="105"/>
      <c r="TLL51" s="56"/>
      <c r="TLM51" s="105"/>
      <c r="TLT51" s="56"/>
      <c r="TLU51" s="105"/>
      <c r="TMB51" s="56"/>
      <c r="TMC51" s="105"/>
      <c r="TMJ51" s="56"/>
      <c r="TMK51" s="105"/>
      <c r="TMR51" s="56"/>
      <c r="TMS51" s="105"/>
      <c r="TMZ51" s="56"/>
      <c r="TNA51" s="105"/>
      <c r="TNH51" s="56"/>
      <c r="TNI51" s="105"/>
      <c r="TNP51" s="56"/>
      <c r="TNQ51" s="105"/>
      <c r="TNX51" s="56"/>
      <c r="TNY51" s="105"/>
      <c r="TOF51" s="56"/>
      <c r="TOG51" s="105"/>
      <c r="TON51" s="56"/>
      <c r="TOO51" s="105"/>
      <c r="TOV51" s="56"/>
      <c r="TOW51" s="105"/>
      <c r="TPD51" s="56"/>
      <c r="TPE51" s="105"/>
      <c r="TPL51" s="56"/>
      <c r="TPM51" s="105"/>
      <c r="TPT51" s="56"/>
      <c r="TPU51" s="105"/>
      <c r="TQB51" s="56"/>
      <c r="TQC51" s="105"/>
      <c r="TQJ51" s="56"/>
      <c r="TQK51" s="105"/>
      <c r="TQR51" s="56"/>
      <c r="TQS51" s="105"/>
      <c r="TQZ51" s="56"/>
      <c r="TRA51" s="105"/>
      <c r="TRH51" s="56"/>
      <c r="TRI51" s="105"/>
      <c r="TRP51" s="56"/>
      <c r="TRQ51" s="105"/>
      <c r="TRX51" s="56"/>
      <c r="TRY51" s="105"/>
      <c r="TSF51" s="56"/>
      <c r="TSG51" s="105"/>
      <c r="TSN51" s="56"/>
      <c r="TSO51" s="105"/>
      <c r="TSV51" s="56"/>
      <c r="TSW51" s="105"/>
      <c r="TTD51" s="56"/>
      <c r="TTE51" s="105"/>
      <c r="TTL51" s="56"/>
      <c r="TTM51" s="105"/>
      <c r="TTT51" s="56"/>
      <c r="TTU51" s="105"/>
      <c r="TUB51" s="56"/>
      <c r="TUC51" s="105"/>
      <c r="TUJ51" s="56"/>
      <c r="TUK51" s="105"/>
      <c r="TUR51" s="56"/>
      <c r="TUS51" s="105"/>
      <c r="TUZ51" s="56"/>
      <c r="TVA51" s="105"/>
      <c r="TVH51" s="56"/>
      <c r="TVI51" s="105"/>
      <c r="TVP51" s="56"/>
      <c r="TVQ51" s="105"/>
      <c r="TVX51" s="56"/>
      <c r="TVY51" s="105"/>
      <c r="TWF51" s="56"/>
      <c r="TWG51" s="105"/>
      <c r="TWN51" s="56"/>
      <c r="TWO51" s="105"/>
      <c r="TWV51" s="56"/>
      <c r="TWW51" s="105"/>
      <c r="TXD51" s="56"/>
      <c r="TXE51" s="105"/>
      <c r="TXL51" s="56"/>
      <c r="TXM51" s="105"/>
      <c r="TXT51" s="56"/>
      <c r="TXU51" s="105"/>
      <c r="TYB51" s="56"/>
      <c r="TYC51" s="105"/>
      <c r="TYJ51" s="56"/>
      <c r="TYK51" s="105"/>
      <c r="TYR51" s="56"/>
      <c r="TYS51" s="105"/>
      <c r="TYZ51" s="56"/>
      <c r="TZA51" s="105"/>
      <c r="TZH51" s="56"/>
      <c r="TZI51" s="105"/>
      <c r="TZP51" s="56"/>
      <c r="TZQ51" s="105"/>
      <c r="TZX51" s="56"/>
      <c r="TZY51" s="105"/>
      <c r="UAF51" s="56"/>
      <c r="UAG51" s="105"/>
      <c r="UAN51" s="56"/>
      <c r="UAO51" s="105"/>
      <c r="UAV51" s="56"/>
      <c r="UAW51" s="105"/>
      <c r="UBD51" s="56"/>
      <c r="UBE51" s="105"/>
      <c r="UBL51" s="56"/>
      <c r="UBM51" s="105"/>
      <c r="UBT51" s="56"/>
      <c r="UBU51" s="105"/>
      <c r="UCB51" s="56"/>
      <c r="UCC51" s="105"/>
      <c r="UCJ51" s="56"/>
      <c r="UCK51" s="105"/>
      <c r="UCR51" s="56"/>
      <c r="UCS51" s="105"/>
      <c r="UCZ51" s="56"/>
      <c r="UDA51" s="105"/>
      <c r="UDH51" s="56"/>
      <c r="UDI51" s="105"/>
      <c r="UDP51" s="56"/>
      <c r="UDQ51" s="105"/>
      <c r="UDX51" s="56"/>
      <c r="UDY51" s="105"/>
      <c r="UEF51" s="56"/>
      <c r="UEG51" s="105"/>
      <c r="UEN51" s="56"/>
      <c r="UEO51" s="105"/>
      <c r="UEV51" s="56"/>
      <c r="UEW51" s="105"/>
      <c r="UFD51" s="56"/>
      <c r="UFE51" s="105"/>
      <c r="UFL51" s="56"/>
      <c r="UFM51" s="105"/>
      <c r="UFT51" s="56"/>
      <c r="UFU51" s="105"/>
      <c r="UGB51" s="56"/>
      <c r="UGC51" s="105"/>
      <c r="UGJ51" s="56"/>
      <c r="UGK51" s="105"/>
      <c r="UGR51" s="56"/>
      <c r="UGS51" s="105"/>
      <c r="UGZ51" s="56"/>
      <c r="UHA51" s="105"/>
      <c r="UHH51" s="56"/>
      <c r="UHI51" s="105"/>
      <c r="UHP51" s="56"/>
      <c r="UHQ51" s="105"/>
      <c r="UHX51" s="56"/>
      <c r="UHY51" s="105"/>
      <c r="UIF51" s="56"/>
      <c r="UIG51" s="105"/>
      <c r="UIN51" s="56"/>
      <c r="UIO51" s="105"/>
      <c r="UIV51" s="56"/>
      <c r="UIW51" s="105"/>
      <c r="UJD51" s="56"/>
      <c r="UJE51" s="105"/>
      <c r="UJL51" s="56"/>
      <c r="UJM51" s="105"/>
      <c r="UJT51" s="56"/>
      <c r="UJU51" s="105"/>
      <c r="UKB51" s="56"/>
      <c r="UKC51" s="105"/>
      <c r="UKJ51" s="56"/>
      <c r="UKK51" s="105"/>
      <c r="UKR51" s="56"/>
      <c r="UKS51" s="105"/>
      <c r="UKZ51" s="56"/>
      <c r="ULA51" s="105"/>
      <c r="ULH51" s="56"/>
      <c r="ULI51" s="105"/>
      <c r="ULP51" s="56"/>
      <c r="ULQ51" s="105"/>
      <c r="ULX51" s="56"/>
      <c r="ULY51" s="105"/>
      <c r="UMF51" s="56"/>
      <c r="UMG51" s="105"/>
      <c r="UMN51" s="56"/>
      <c r="UMO51" s="105"/>
      <c r="UMV51" s="56"/>
      <c r="UMW51" s="105"/>
      <c r="UND51" s="56"/>
      <c r="UNE51" s="105"/>
      <c r="UNL51" s="56"/>
      <c r="UNM51" s="105"/>
      <c r="UNT51" s="56"/>
      <c r="UNU51" s="105"/>
      <c r="UOB51" s="56"/>
      <c r="UOC51" s="105"/>
      <c r="UOJ51" s="56"/>
      <c r="UOK51" s="105"/>
      <c r="UOR51" s="56"/>
      <c r="UOS51" s="105"/>
      <c r="UOZ51" s="56"/>
      <c r="UPA51" s="105"/>
      <c r="UPH51" s="56"/>
      <c r="UPI51" s="105"/>
      <c r="UPP51" s="56"/>
      <c r="UPQ51" s="105"/>
      <c r="UPX51" s="56"/>
      <c r="UPY51" s="105"/>
      <c r="UQF51" s="56"/>
      <c r="UQG51" s="105"/>
      <c r="UQN51" s="56"/>
      <c r="UQO51" s="105"/>
      <c r="UQV51" s="56"/>
      <c r="UQW51" s="105"/>
      <c r="URD51" s="56"/>
      <c r="URE51" s="105"/>
      <c r="URL51" s="56"/>
      <c r="URM51" s="105"/>
      <c r="URT51" s="56"/>
      <c r="URU51" s="105"/>
      <c r="USB51" s="56"/>
      <c r="USC51" s="105"/>
      <c r="USJ51" s="56"/>
      <c r="USK51" s="105"/>
      <c r="USR51" s="56"/>
      <c r="USS51" s="105"/>
      <c r="USZ51" s="56"/>
      <c r="UTA51" s="105"/>
      <c r="UTH51" s="56"/>
      <c r="UTI51" s="105"/>
      <c r="UTP51" s="56"/>
      <c r="UTQ51" s="105"/>
      <c r="UTX51" s="56"/>
      <c r="UTY51" s="105"/>
      <c r="UUF51" s="56"/>
      <c r="UUG51" s="105"/>
      <c r="UUN51" s="56"/>
      <c r="UUO51" s="105"/>
      <c r="UUV51" s="56"/>
      <c r="UUW51" s="105"/>
      <c r="UVD51" s="56"/>
      <c r="UVE51" s="105"/>
      <c r="UVL51" s="56"/>
      <c r="UVM51" s="105"/>
      <c r="UVT51" s="56"/>
      <c r="UVU51" s="105"/>
      <c r="UWB51" s="56"/>
      <c r="UWC51" s="105"/>
      <c r="UWJ51" s="56"/>
      <c r="UWK51" s="105"/>
      <c r="UWR51" s="56"/>
      <c r="UWS51" s="105"/>
      <c r="UWZ51" s="56"/>
      <c r="UXA51" s="105"/>
      <c r="UXH51" s="56"/>
      <c r="UXI51" s="105"/>
      <c r="UXP51" s="56"/>
      <c r="UXQ51" s="105"/>
      <c r="UXX51" s="56"/>
      <c r="UXY51" s="105"/>
      <c r="UYF51" s="56"/>
      <c r="UYG51" s="105"/>
      <c r="UYN51" s="56"/>
      <c r="UYO51" s="105"/>
      <c r="UYV51" s="56"/>
      <c r="UYW51" s="105"/>
      <c r="UZD51" s="56"/>
      <c r="UZE51" s="105"/>
      <c r="UZL51" s="56"/>
      <c r="UZM51" s="105"/>
      <c r="UZT51" s="56"/>
      <c r="UZU51" s="105"/>
      <c r="VAB51" s="56"/>
      <c r="VAC51" s="105"/>
      <c r="VAJ51" s="56"/>
      <c r="VAK51" s="105"/>
      <c r="VAR51" s="56"/>
      <c r="VAS51" s="105"/>
      <c r="VAZ51" s="56"/>
      <c r="VBA51" s="105"/>
      <c r="VBH51" s="56"/>
      <c r="VBI51" s="105"/>
      <c r="VBP51" s="56"/>
      <c r="VBQ51" s="105"/>
      <c r="VBX51" s="56"/>
      <c r="VBY51" s="105"/>
      <c r="VCF51" s="56"/>
      <c r="VCG51" s="105"/>
      <c r="VCN51" s="56"/>
      <c r="VCO51" s="105"/>
      <c r="VCV51" s="56"/>
      <c r="VCW51" s="105"/>
      <c r="VDD51" s="56"/>
      <c r="VDE51" s="105"/>
      <c r="VDL51" s="56"/>
      <c r="VDM51" s="105"/>
      <c r="VDT51" s="56"/>
      <c r="VDU51" s="105"/>
      <c r="VEB51" s="56"/>
      <c r="VEC51" s="105"/>
      <c r="VEJ51" s="56"/>
      <c r="VEK51" s="105"/>
      <c r="VER51" s="56"/>
      <c r="VES51" s="105"/>
      <c r="VEZ51" s="56"/>
      <c r="VFA51" s="105"/>
      <c r="VFH51" s="56"/>
      <c r="VFI51" s="105"/>
      <c r="VFP51" s="56"/>
      <c r="VFQ51" s="105"/>
      <c r="VFX51" s="56"/>
      <c r="VFY51" s="105"/>
      <c r="VGF51" s="56"/>
      <c r="VGG51" s="105"/>
      <c r="VGN51" s="56"/>
      <c r="VGO51" s="105"/>
      <c r="VGV51" s="56"/>
      <c r="VGW51" s="105"/>
      <c r="VHD51" s="56"/>
      <c r="VHE51" s="105"/>
      <c r="VHL51" s="56"/>
      <c r="VHM51" s="105"/>
      <c r="VHT51" s="56"/>
      <c r="VHU51" s="105"/>
      <c r="VIB51" s="56"/>
      <c r="VIC51" s="105"/>
      <c r="VIJ51" s="56"/>
      <c r="VIK51" s="105"/>
      <c r="VIR51" s="56"/>
      <c r="VIS51" s="105"/>
      <c r="VIZ51" s="56"/>
      <c r="VJA51" s="105"/>
      <c r="VJH51" s="56"/>
      <c r="VJI51" s="105"/>
      <c r="VJP51" s="56"/>
      <c r="VJQ51" s="105"/>
      <c r="VJX51" s="56"/>
      <c r="VJY51" s="105"/>
      <c r="VKF51" s="56"/>
      <c r="VKG51" s="105"/>
      <c r="VKN51" s="56"/>
      <c r="VKO51" s="105"/>
      <c r="VKV51" s="56"/>
      <c r="VKW51" s="105"/>
      <c r="VLD51" s="56"/>
      <c r="VLE51" s="105"/>
      <c r="VLL51" s="56"/>
      <c r="VLM51" s="105"/>
      <c r="VLT51" s="56"/>
      <c r="VLU51" s="105"/>
      <c r="VMB51" s="56"/>
      <c r="VMC51" s="105"/>
      <c r="VMJ51" s="56"/>
      <c r="VMK51" s="105"/>
      <c r="VMR51" s="56"/>
      <c r="VMS51" s="105"/>
      <c r="VMZ51" s="56"/>
      <c r="VNA51" s="105"/>
      <c r="VNH51" s="56"/>
      <c r="VNI51" s="105"/>
      <c r="VNP51" s="56"/>
      <c r="VNQ51" s="105"/>
      <c r="VNX51" s="56"/>
      <c r="VNY51" s="105"/>
      <c r="VOF51" s="56"/>
      <c r="VOG51" s="105"/>
      <c r="VON51" s="56"/>
      <c r="VOO51" s="105"/>
      <c r="VOV51" s="56"/>
      <c r="VOW51" s="105"/>
      <c r="VPD51" s="56"/>
      <c r="VPE51" s="105"/>
      <c r="VPL51" s="56"/>
      <c r="VPM51" s="105"/>
      <c r="VPT51" s="56"/>
      <c r="VPU51" s="105"/>
      <c r="VQB51" s="56"/>
      <c r="VQC51" s="105"/>
      <c r="VQJ51" s="56"/>
      <c r="VQK51" s="105"/>
      <c r="VQR51" s="56"/>
      <c r="VQS51" s="105"/>
      <c r="VQZ51" s="56"/>
      <c r="VRA51" s="105"/>
      <c r="VRH51" s="56"/>
      <c r="VRI51" s="105"/>
      <c r="VRP51" s="56"/>
      <c r="VRQ51" s="105"/>
      <c r="VRX51" s="56"/>
      <c r="VRY51" s="105"/>
      <c r="VSF51" s="56"/>
      <c r="VSG51" s="105"/>
      <c r="VSN51" s="56"/>
      <c r="VSO51" s="105"/>
      <c r="VSV51" s="56"/>
      <c r="VSW51" s="105"/>
      <c r="VTD51" s="56"/>
      <c r="VTE51" s="105"/>
      <c r="VTL51" s="56"/>
      <c r="VTM51" s="105"/>
      <c r="VTT51" s="56"/>
      <c r="VTU51" s="105"/>
      <c r="VUB51" s="56"/>
      <c r="VUC51" s="105"/>
      <c r="VUJ51" s="56"/>
      <c r="VUK51" s="105"/>
      <c r="VUR51" s="56"/>
      <c r="VUS51" s="105"/>
      <c r="VUZ51" s="56"/>
      <c r="VVA51" s="105"/>
      <c r="VVH51" s="56"/>
      <c r="VVI51" s="105"/>
      <c r="VVP51" s="56"/>
      <c r="VVQ51" s="105"/>
      <c r="VVX51" s="56"/>
      <c r="VVY51" s="105"/>
      <c r="VWF51" s="56"/>
      <c r="VWG51" s="105"/>
      <c r="VWN51" s="56"/>
      <c r="VWO51" s="105"/>
      <c r="VWV51" s="56"/>
      <c r="VWW51" s="105"/>
      <c r="VXD51" s="56"/>
      <c r="VXE51" s="105"/>
      <c r="VXL51" s="56"/>
      <c r="VXM51" s="105"/>
      <c r="VXT51" s="56"/>
      <c r="VXU51" s="105"/>
      <c r="VYB51" s="56"/>
      <c r="VYC51" s="105"/>
      <c r="VYJ51" s="56"/>
      <c r="VYK51" s="105"/>
      <c r="VYR51" s="56"/>
      <c r="VYS51" s="105"/>
      <c r="VYZ51" s="56"/>
      <c r="VZA51" s="105"/>
      <c r="VZH51" s="56"/>
      <c r="VZI51" s="105"/>
      <c r="VZP51" s="56"/>
      <c r="VZQ51" s="105"/>
      <c r="VZX51" s="56"/>
      <c r="VZY51" s="105"/>
      <c r="WAF51" s="56"/>
      <c r="WAG51" s="105"/>
      <c r="WAN51" s="56"/>
      <c r="WAO51" s="105"/>
      <c r="WAV51" s="56"/>
      <c r="WAW51" s="105"/>
      <c r="WBD51" s="56"/>
      <c r="WBE51" s="105"/>
      <c r="WBL51" s="56"/>
      <c r="WBM51" s="105"/>
      <c r="WBT51" s="56"/>
      <c r="WBU51" s="105"/>
      <c r="WCB51" s="56"/>
      <c r="WCC51" s="105"/>
      <c r="WCJ51" s="56"/>
      <c r="WCK51" s="105"/>
      <c r="WCR51" s="56"/>
      <c r="WCS51" s="105"/>
      <c r="WCZ51" s="56"/>
      <c r="WDA51" s="105"/>
      <c r="WDH51" s="56"/>
      <c r="WDI51" s="105"/>
      <c r="WDP51" s="56"/>
      <c r="WDQ51" s="105"/>
      <c r="WDX51" s="56"/>
      <c r="WDY51" s="105"/>
      <c r="WEF51" s="56"/>
      <c r="WEG51" s="105"/>
      <c r="WEN51" s="56"/>
      <c r="WEO51" s="105"/>
      <c r="WEV51" s="56"/>
      <c r="WEW51" s="105"/>
      <c r="WFD51" s="56"/>
      <c r="WFE51" s="105"/>
      <c r="WFL51" s="56"/>
      <c r="WFM51" s="105"/>
      <c r="WFT51" s="56"/>
      <c r="WFU51" s="105"/>
      <c r="WGB51" s="56"/>
      <c r="WGC51" s="105"/>
      <c r="WGJ51" s="56"/>
      <c r="WGK51" s="105"/>
      <c r="WGR51" s="56"/>
      <c r="WGS51" s="105"/>
      <c r="WGZ51" s="56"/>
      <c r="WHA51" s="105"/>
      <c r="WHH51" s="56"/>
      <c r="WHI51" s="105"/>
      <c r="WHP51" s="56"/>
      <c r="WHQ51" s="105"/>
      <c r="WHX51" s="56"/>
      <c r="WHY51" s="105"/>
      <c r="WIF51" s="56"/>
      <c r="WIG51" s="105"/>
      <c r="WIN51" s="56"/>
      <c r="WIO51" s="105"/>
      <c r="WIV51" s="56"/>
      <c r="WIW51" s="105"/>
      <c r="WJD51" s="56"/>
      <c r="WJE51" s="105"/>
      <c r="WJL51" s="56"/>
      <c r="WJM51" s="105"/>
      <c r="WJT51" s="56"/>
      <c r="WJU51" s="105"/>
      <c r="WKB51" s="56"/>
      <c r="WKC51" s="105"/>
      <c r="WKJ51" s="56"/>
      <c r="WKK51" s="105"/>
      <c r="WKR51" s="56"/>
      <c r="WKS51" s="105"/>
      <c r="WKZ51" s="56"/>
      <c r="WLA51" s="105"/>
      <c r="WLH51" s="56"/>
      <c r="WLI51" s="105"/>
      <c r="WLP51" s="56"/>
      <c r="WLQ51" s="105"/>
      <c r="WLX51" s="56"/>
      <c r="WLY51" s="105"/>
      <c r="WMF51" s="56"/>
      <c r="WMG51" s="105"/>
      <c r="WMN51" s="56"/>
      <c r="WMO51" s="105"/>
      <c r="WMV51" s="56"/>
      <c r="WMW51" s="105"/>
      <c r="WND51" s="56"/>
      <c r="WNE51" s="105"/>
      <c r="WNL51" s="56"/>
      <c r="WNM51" s="105"/>
      <c r="WNT51" s="56"/>
      <c r="WNU51" s="105"/>
      <c r="WOB51" s="56"/>
      <c r="WOC51" s="105"/>
      <c r="WOJ51" s="56"/>
      <c r="WOK51" s="105"/>
      <c r="WOR51" s="56"/>
      <c r="WOS51" s="105"/>
      <c r="WOZ51" s="56"/>
      <c r="WPA51" s="105"/>
      <c r="WPH51" s="56"/>
      <c r="WPI51" s="105"/>
      <c r="WPP51" s="56"/>
      <c r="WPQ51" s="105"/>
      <c r="WPX51" s="56"/>
      <c r="WPY51" s="105"/>
      <c r="WQF51" s="56"/>
      <c r="WQG51" s="105"/>
      <c r="WQN51" s="56"/>
      <c r="WQO51" s="105"/>
      <c r="WQV51" s="56"/>
      <c r="WQW51" s="105"/>
      <c r="WRD51" s="56"/>
      <c r="WRE51" s="105"/>
      <c r="WRL51" s="56"/>
      <c r="WRM51" s="105"/>
      <c r="WRT51" s="56"/>
      <c r="WRU51" s="105"/>
      <c r="WSB51" s="56"/>
      <c r="WSC51" s="105"/>
      <c r="WSJ51" s="56"/>
      <c r="WSK51" s="105"/>
      <c r="WSR51" s="56"/>
      <c r="WSS51" s="105"/>
      <c r="WSZ51" s="56"/>
      <c r="WTA51" s="105"/>
      <c r="WTH51" s="56"/>
      <c r="WTI51" s="105"/>
      <c r="WTP51" s="56"/>
      <c r="WTQ51" s="105"/>
      <c r="WTX51" s="56"/>
      <c r="WTY51" s="105"/>
      <c r="WUF51" s="56"/>
      <c r="WUG51" s="105"/>
      <c r="WUN51" s="56"/>
      <c r="WUO51" s="105"/>
      <c r="WUV51" s="56"/>
      <c r="WUW51" s="105"/>
      <c r="WVD51" s="56"/>
      <c r="WVE51" s="105"/>
      <c r="WVL51" s="56"/>
      <c r="WVM51" s="105"/>
      <c r="WVT51" s="56"/>
      <c r="WVU51" s="105"/>
      <c r="WWB51" s="56"/>
      <c r="WWC51" s="105"/>
      <c r="WWJ51" s="56"/>
      <c r="WWK51" s="105"/>
      <c r="WWR51" s="56"/>
      <c r="WWS51" s="105"/>
      <c r="WWZ51" s="56"/>
      <c r="WXA51" s="105"/>
      <c r="WXH51" s="56"/>
      <c r="WXI51" s="105"/>
      <c r="WXP51" s="56"/>
      <c r="WXQ51" s="105"/>
      <c r="WXX51" s="56"/>
      <c r="WXY51" s="105"/>
      <c r="WYF51" s="56"/>
      <c r="WYG51" s="105"/>
      <c r="WYN51" s="56"/>
      <c r="WYO51" s="105"/>
      <c r="WYV51" s="56"/>
      <c r="WYW51" s="105"/>
      <c r="WZD51" s="56"/>
      <c r="WZE51" s="105"/>
      <c r="WZL51" s="56"/>
      <c r="WZM51" s="105"/>
      <c r="WZT51" s="56"/>
      <c r="WZU51" s="105"/>
      <c r="XAB51" s="56"/>
      <c r="XAC51" s="105"/>
      <c r="XAJ51" s="56"/>
      <c r="XAK51" s="105"/>
      <c r="XAR51" s="56"/>
      <c r="XAS51" s="105"/>
      <c r="XAZ51" s="56"/>
      <c r="XBA51" s="105"/>
      <c r="XBH51" s="56"/>
      <c r="XBI51" s="105"/>
      <c r="XBP51" s="56"/>
      <c r="XBQ51" s="105"/>
      <c r="XBX51" s="56"/>
      <c r="XBY51" s="105"/>
      <c r="XCF51" s="56"/>
      <c r="XCG51" s="105"/>
      <c r="XCN51" s="56"/>
      <c r="XCO51" s="105"/>
      <c r="XCV51" s="56"/>
      <c r="XCW51" s="105"/>
      <c r="XDD51" s="56"/>
      <c r="XDE51" s="105"/>
      <c r="XDL51" s="56"/>
      <c r="XDM51" s="105"/>
      <c r="XDT51" s="56"/>
      <c r="XDU51" s="105"/>
      <c r="XEB51" s="56"/>
      <c r="XEC51" s="105"/>
      <c r="XEJ51" s="56"/>
      <c r="XEK51" s="105"/>
      <c r="XER51" s="56"/>
      <c r="XES51" s="105"/>
      <c r="XEZ51" s="56"/>
      <c r="XFA51" s="105"/>
    </row>
    <row r="52" spans="1:1021 1028:2045 2052:3069 3076:4093 4100:5117 5124:6141 6148:7165 7172:8189 8196:9213 9220:10237 10244:11261 11268:12285 12292:13309 13316:14333 14340:15357 15364:16381" ht="15" customHeight="1" thickBot="1">
      <c r="A52" s="58"/>
      <c r="B52" s="59" t="s">
        <v>267</v>
      </c>
      <c r="C52" s="60">
        <v>0</v>
      </c>
      <c r="D52" s="60">
        <v>0</v>
      </c>
      <c r="E52" s="60">
        <v>0</v>
      </c>
      <c r="F52" s="60">
        <v>0</v>
      </c>
      <c r="G52" s="60">
        <v>0</v>
      </c>
      <c r="H52" s="60">
        <v>2111158</v>
      </c>
      <c r="I52" s="60">
        <f xml:space="preserve"> 2045733</f>
        <v>2045733</v>
      </c>
      <c r="J52" s="60">
        <f>1981329</f>
        <v>1981329</v>
      </c>
      <c r="K52" s="60">
        <v>1917844</v>
      </c>
      <c r="L52" s="60">
        <v>1863676.3734800001</v>
      </c>
      <c r="M52" s="60">
        <v>1819560.6032400001</v>
      </c>
      <c r="N52" s="60">
        <v>1786656</v>
      </c>
      <c r="O52" s="60">
        <v>1765071</v>
      </c>
      <c r="P52" s="60">
        <v>1751373</v>
      </c>
      <c r="Q52" s="60">
        <v>1742955</v>
      </c>
      <c r="R52" s="60">
        <f>1655923+78012</f>
        <v>1733935</v>
      </c>
      <c r="S52" s="60">
        <f>1647470+74644</f>
        <v>1722114</v>
      </c>
      <c r="T52" s="60">
        <f>1635358+70864</f>
        <v>1706222</v>
      </c>
      <c r="U52" s="60">
        <f>1599046+56924</f>
        <v>1655970</v>
      </c>
      <c r="V52" s="60">
        <f>1411209+51992</f>
        <v>1463201</v>
      </c>
    </row>
    <row r="53" spans="1:1021 1028:2045 2052:3069 3076:4093 4100:5117 5124:6141 6148:7165 7172:8189 8196:9213 9220:10237 10244:11261 11268:12285 12292:13309 13316:14333 14340:15357 15364:16381" ht="15" customHeight="1" thickBot="1">
      <c r="A53" s="58"/>
      <c r="B53" s="59" t="s">
        <v>268</v>
      </c>
      <c r="C53" s="60">
        <v>0</v>
      </c>
      <c r="D53" s="60">
        <v>0</v>
      </c>
      <c r="E53" s="60">
        <v>0</v>
      </c>
      <c r="F53" s="60">
        <v>0</v>
      </c>
      <c r="G53" s="60">
        <v>0</v>
      </c>
      <c r="H53" s="60">
        <v>192652.5</v>
      </c>
      <c r="I53" s="60">
        <f>186588</f>
        <v>186588</v>
      </c>
      <c r="J53" s="60">
        <f>180806</f>
        <v>180806</v>
      </c>
      <c r="K53" s="60">
        <v>175009</v>
      </c>
      <c r="L53" s="60">
        <v>170057.46475000001</v>
      </c>
      <c r="M53" s="60">
        <v>166017.05303000001</v>
      </c>
      <c r="N53" s="60">
        <v>162997</v>
      </c>
      <c r="O53" s="60">
        <v>161015</v>
      </c>
      <c r="P53" s="60">
        <v>159757</v>
      </c>
      <c r="Q53" s="60">
        <v>158972</v>
      </c>
      <c r="R53" s="60">
        <v>158238</v>
      </c>
      <c r="S53" s="60">
        <v>157432</v>
      </c>
      <c r="T53" s="60">
        <v>156283</v>
      </c>
      <c r="U53" s="60">
        <v>152823</v>
      </c>
      <c r="V53" s="60">
        <f>146029</f>
        <v>146029</v>
      </c>
    </row>
    <row r="54" spans="1:1021 1028:2045 2052:3069 3076:4093 4100:5117 5124:6141 6148:7165 7172:8189 8196:9213 9220:10237 10244:11261 11268:12285 12292:13309 13316:14333 14340:15357 15364:16381" ht="15" customHeight="1" thickBot="1">
      <c r="A54" s="58"/>
      <c r="B54" s="59" t="s">
        <v>269</v>
      </c>
      <c r="C54" s="60">
        <v>0</v>
      </c>
      <c r="D54" s="60">
        <v>0</v>
      </c>
      <c r="E54" s="60">
        <v>0</v>
      </c>
      <c r="F54" s="60">
        <v>0</v>
      </c>
      <c r="G54" s="60">
        <v>527316.28320000006</v>
      </c>
      <c r="H54" s="60">
        <v>511234.5</v>
      </c>
      <c r="I54" s="60">
        <f>495391</f>
        <v>495391</v>
      </c>
      <c r="J54" s="60">
        <f>479795</f>
        <v>479795</v>
      </c>
      <c r="K54" s="60">
        <v>464421</v>
      </c>
      <c r="L54" s="60">
        <v>451304.45306000003</v>
      </c>
      <c r="M54" s="60">
        <v>440621.45913000003</v>
      </c>
      <c r="N54" s="60">
        <v>432653</v>
      </c>
      <c r="O54" s="60">
        <v>427426</v>
      </c>
      <c r="P54" s="60">
        <v>424109</v>
      </c>
      <c r="Q54" s="60">
        <v>422071</v>
      </c>
      <c r="R54" s="60">
        <v>420090</v>
      </c>
      <c r="S54" s="60">
        <v>417945</v>
      </c>
      <c r="T54" s="60">
        <v>414872</v>
      </c>
      <c r="U54" s="60">
        <v>405745</v>
      </c>
      <c r="V54" s="60">
        <f>598790</f>
        <v>598790</v>
      </c>
    </row>
    <row r="55" spans="1:1021 1028:2045 2052:3069 3076:4093 4100:5117 5124:6141 6148:7165 7172:8189 8196:9213 9220:10237 10244:11261 11268:12285 12292:13309 13316:14333 14340:15357 15364:16381" ht="15" customHeight="1" thickBot="1">
      <c r="A55" s="58"/>
      <c r="B55" s="59" t="s">
        <v>270</v>
      </c>
      <c r="C55" s="60">
        <v>0</v>
      </c>
      <c r="D55" s="60">
        <v>0</v>
      </c>
      <c r="E55" s="60">
        <v>0</v>
      </c>
      <c r="F55" s="60">
        <v>0</v>
      </c>
      <c r="G55" s="60">
        <v>369318.51991999993</v>
      </c>
      <c r="H55" s="60">
        <v>353243</v>
      </c>
      <c r="I55" s="60">
        <f>337744</f>
        <v>337744</v>
      </c>
      <c r="J55" s="60">
        <f>322665</f>
        <v>322665</v>
      </c>
      <c r="K55" s="60">
        <v>308082</v>
      </c>
      <c r="L55" s="60">
        <v>295356.41411000001</v>
      </c>
      <c r="M55" s="60">
        <v>284530.82111999998</v>
      </c>
      <c r="N55" s="60">
        <v>275589</v>
      </c>
      <c r="O55" s="60">
        <v>268559</v>
      </c>
      <c r="P55" s="60">
        <v>262893</v>
      </c>
      <c r="Q55" s="60">
        <v>258151</v>
      </c>
      <c r="R55" s="60">
        <v>253446.5</v>
      </c>
      <c r="S55" s="60">
        <v>248727</v>
      </c>
      <c r="T55" s="60">
        <v>243579</v>
      </c>
      <c r="U55" s="60">
        <v>233030</v>
      </c>
      <c r="V55" s="60">
        <v>0</v>
      </c>
    </row>
    <row r="56" spans="1:1021 1028:2045 2052:3069 3076:4093 4100:5117 5124:6141 6148:7165 7172:8189 8196:9213 9220:10237 10244:11261 11268:12285 12292:13309 13316:14333 14340:15357 15364:16381" ht="15" customHeight="1" thickBot="1">
      <c r="A56" s="58"/>
      <c r="B56" s="59" t="s">
        <v>271</v>
      </c>
      <c r="C56" s="60">
        <v>0</v>
      </c>
      <c r="D56" s="60">
        <v>0</v>
      </c>
      <c r="E56" s="60">
        <v>0</v>
      </c>
      <c r="F56" s="60">
        <v>0</v>
      </c>
      <c r="G56" s="60">
        <v>0</v>
      </c>
      <c r="H56" s="60">
        <v>0</v>
      </c>
      <c r="I56" s="60">
        <f>389589</f>
        <v>389589</v>
      </c>
      <c r="J56" s="60">
        <f>377515.5</f>
        <v>377515.5</v>
      </c>
      <c r="K56" s="60">
        <v>365413</v>
      </c>
      <c r="L56" s="60">
        <v>355073.41993999999</v>
      </c>
      <c r="M56" s="60">
        <v>346637.19473000005</v>
      </c>
      <c r="N56" s="60">
        <v>340331</v>
      </c>
      <c r="O56" s="60">
        <v>336194</v>
      </c>
      <c r="P56" s="60">
        <v>333566</v>
      </c>
      <c r="Q56" s="60">
        <v>331928</v>
      </c>
      <c r="R56" s="60">
        <v>330394.5</v>
      </c>
      <c r="S56" s="60">
        <v>328711</v>
      </c>
      <c r="T56" s="60">
        <v>326313</v>
      </c>
      <c r="U56" s="60">
        <v>319089</v>
      </c>
      <c r="V56" s="60">
        <f>363407-96412</f>
        <v>266995</v>
      </c>
    </row>
    <row r="57" spans="1:1021 1028:2045 2052:3069 3076:4093 4100:5117 5124:6141 6148:7165 7172:8189 8196:9213 9220:10237 10244:11261 11268:12285 12292:13309 13316:14333 14340:15357 15364:16381" ht="15" customHeight="1" thickBot="1">
      <c r="A57" s="58"/>
      <c r="B57" s="59" t="s">
        <v>331</v>
      </c>
      <c r="C57" s="60">
        <v>0</v>
      </c>
      <c r="D57" s="60">
        <v>0</v>
      </c>
      <c r="E57" s="60">
        <v>0</v>
      </c>
      <c r="F57" s="60">
        <v>0</v>
      </c>
      <c r="G57" s="60">
        <v>0</v>
      </c>
      <c r="H57" s="60">
        <v>0</v>
      </c>
      <c r="I57" s="60">
        <v>0</v>
      </c>
      <c r="J57" s="60">
        <v>0</v>
      </c>
      <c r="K57" s="60">
        <v>13060</v>
      </c>
      <c r="L57" s="60">
        <v>12690.8969</v>
      </c>
      <c r="M57" s="60">
        <v>12389.372599999999</v>
      </c>
      <c r="N57" s="60">
        <v>12164</v>
      </c>
      <c r="O57" s="60">
        <v>12016</v>
      </c>
      <c r="P57" s="60">
        <v>11922</v>
      </c>
      <c r="Q57" s="60">
        <v>11864</v>
      </c>
      <c r="R57" s="60">
        <v>11808.5</v>
      </c>
      <c r="S57" s="60">
        <v>11749</v>
      </c>
      <c r="T57" s="60">
        <v>11663</v>
      </c>
      <c r="U57" s="60">
        <v>11405</v>
      </c>
      <c r="V57" s="60">
        <v>0</v>
      </c>
    </row>
    <row r="58" spans="1:1021 1028:2045 2052:3069 3076:4093 4100:5117 5124:6141 6148:7165 7172:8189 8196:9213 9220:10237 10244:11261 11268:12285 12292:13309 13316:14333 14340:15357 15364:16381" ht="15" customHeight="1" thickBot="1">
      <c r="A58" s="58"/>
      <c r="B58" s="205" t="s">
        <v>354</v>
      </c>
      <c r="C58" s="60">
        <v>0</v>
      </c>
      <c r="D58" s="60">
        <v>0</v>
      </c>
      <c r="E58" s="60">
        <v>0</v>
      </c>
      <c r="F58" s="60">
        <v>0</v>
      </c>
      <c r="G58" s="60">
        <v>0</v>
      </c>
      <c r="H58" s="60">
        <v>3762</v>
      </c>
      <c r="I58" s="60">
        <f>25020</f>
        <v>25020</v>
      </c>
      <c r="J58" s="60">
        <f>24588.5</f>
        <v>24588.5</v>
      </c>
      <c r="K58" s="60">
        <v>24156</v>
      </c>
      <c r="L58" s="60">
        <v>11095.775</v>
      </c>
      <c r="M58" s="60">
        <v>11095.775</v>
      </c>
      <c r="N58" s="60">
        <v>11096</v>
      </c>
      <c r="O58" s="60">
        <v>11096</v>
      </c>
      <c r="P58" s="60">
        <v>11096</v>
      </c>
      <c r="Q58" s="60">
        <v>11096</v>
      </c>
      <c r="R58" s="60">
        <v>11095.6</v>
      </c>
      <c r="S58" s="60">
        <v>11096</v>
      </c>
      <c r="T58" s="60">
        <v>11001</v>
      </c>
      <c r="U58" s="60">
        <v>0</v>
      </c>
      <c r="V58" s="60">
        <v>0</v>
      </c>
    </row>
    <row r="59" spans="1:1021 1028:2045 2052:3069 3076:4093 4100:5117 5124:6141 6148:7165 7172:8189 8196:9213 9220:10237 10244:11261 11268:12285 12292:13309 13316:14333 14340:15357 15364:16381" s="104" customFormat="1" ht="15" customHeight="1" thickBot="1">
      <c r="A59" s="4"/>
      <c r="B59" s="52" t="s">
        <v>272</v>
      </c>
      <c r="C59" s="54">
        <f t="shared" ref="C59:K59" si="29">SUM(C52:C58)</f>
        <v>0</v>
      </c>
      <c r="D59" s="54">
        <f t="shared" si="29"/>
        <v>0</v>
      </c>
      <c r="E59" s="54">
        <f t="shared" si="29"/>
        <v>0</v>
      </c>
      <c r="F59" s="54">
        <f t="shared" si="29"/>
        <v>0</v>
      </c>
      <c r="G59" s="54">
        <f t="shared" si="29"/>
        <v>896634.80312000006</v>
      </c>
      <c r="H59" s="54">
        <f t="shared" si="29"/>
        <v>3172050</v>
      </c>
      <c r="I59" s="54">
        <f t="shared" si="29"/>
        <v>3480065</v>
      </c>
      <c r="J59" s="54">
        <f t="shared" si="29"/>
        <v>3366699</v>
      </c>
      <c r="K59" s="54">
        <f t="shared" si="29"/>
        <v>3267985</v>
      </c>
      <c r="L59" s="54">
        <f t="shared" ref="L59:V59" si="30">SUM(L52:L58)</f>
        <v>3159254.7972400002</v>
      </c>
      <c r="M59" s="54">
        <f t="shared" si="30"/>
        <v>3080852.2788499999</v>
      </c>
      <c r="N59" s="54">
        <f t="shared" si="30"/>
        <v>3021486</v>
      </c>
      <c r="O59" s="54">
        <f t="shared" si="30"/>
        <v>2981377</v>
      </c>
      <c r="P59" s="54">
        <f t="shared" si="30"/>
        <v>2954716</v>
      </c>
      <c r="Q59" s="54">
        <f t="shared" si="30"/>
        <v>2937037</v>
      </c>
      <c r="R59" s="54">
        <f t="shared" si="30"/>
        <v>2919008.1</v>
      </c>
      <c r="S59" s="54">
        <f t="shared" si="30"/>
        <v>2897774</v>
      </c>
      <c r="T59" s="54">
        <f>SUM(T52:T58)</f>
        <v>2869933</v>
      </c>
      <c r="U59" s="54">
        <f>SUM(U52:U58)</f>
        <v>2778062</v>
      </c>
      <c r="V59" s="54">
        <f t="shared" si="30"/>
        <v>2475015</v>
      </c>
      <c r="AB59" s="56"/>
      <c r="AC59" s="105"/>
      <c r="AJ59" s="56"/>
      <c r="AK59" s="105"/>
      <c r="AR59" s="56"/>
      <c r="AS59" s="105"/>
      <c r="AZ59" s="56"/>
      <c r="BA59" s="105"/>
      <c r="BH59" s="56"/>
      <c r="BI59" s="105"/>
      <c r="BP59" s="56"/>
      <c r="BQ59" s="105"/>
      <c r="BX59" s="56"/>
      <c r="BY59" s="105"/>
      <c r="CF59" s="56"/>
      <c r="CG59" s="105"/>
      <c r="CN59" s="56"/>
      <c r="CO59" s="105"/>
      <c r="CV59" s="56"/>
      <c r="CW59" s="105"/>
      <c r="DD59" s="56"/>
      <c r="DE59" s="105"/>
      <c r="DL59" s="56"/>
      <c r="DM59" s="105"/>
      <c r="DT59" s="56"/>
      <c r="DU59" s="105"/>
      <c r="EB59" s="56"/>
      <c r="EC59" s="105"/>
      <c r="EJ59" s="56"/>
      <c r="EK59" s="105"/>
      <c r="ER59" s="56"/>
      <c r="ES59" s="105"/>
      <c r="EZ59" s="56"/>
      <c r="FA59" s="105"/>
      <c r="FH59" s="56"/>
      <c r="FI59" s="105"/>
      <c r="FP59" s="56"/>
      <c r="FQ59" s="105"/>
      <c r="FX59" s="56"/>
      <c r="FY59" s="105"/>
      <c r="GF59" s="56"/>
      <c r="GG59" s="105"/>
      <c r="GN59" s="56"/>
      <c r="GO59" s="105"/>
      <c r="GV59" s="56"/>
      <c r="GW59" s="105"/>
      <c r="HD59" s="56"/>
      <c r="HE59" s="105"/>
      <c r="HL59" s="56"/>
      <c r="HM59" s="105"/>
      <c r="HT59" s="56"/>
      <c r="HU59" s="105"/>
      <c r="IB59" s="56"/>
      <c r="IC59" s="105"/>
      <c r="IJ59" s="56"/>
      <c r="IK59" s="105"/>
      <c r="IR59" s="56"/>
      <c r="IS59" s="105"/>
      <c r="IZ59" s="56"/>
      <c r="JA59" s="105"/>
      <c r="JH59" s="56"/>
      <c r="JI59" s="105"/>
      <c r="JP59" s="56"/>
      <c r="JQ59" s="105"/>
      <c r="JX59" s="56"/>
      <c r="JY59" s="105"/>
      <c r="KF59" s="56"/>
      <c r="KG59" s="105"/>
      <c r="KN59" s="56"/>
      <c r="KO59" s="105"/>
      <c r="KV59" s="56"/>
      <c r="KW59" s="105"/>
      <c r="LD59" s="56"/>
      <c r="LE59" s="105"/>
      <c r="LL59" s="56"/>
      <c r="LM59" s="105"/>
      <c r="LT59" s="56"/>
      <c r="LU59" s="105"/>
      <c r="MB59" s="56"/>
      <c r="MC59" s="105"/>
      <c r="MJ59" s="56"/>
      <c r="MK59" s="105"/>
      <c r="MR59" s="56"/>
      <c r="MS59" s="105"/>
      <c r="MZ59" s="56"/>
      <c r="NA59" s="105"/>
      <c r="NH59" s="56"/>
      <c r="NI59" s="105"/>
      <c r="NP59" s="56"/>
      <c r="NQ59" s="105"/>
      <c r="NX59" s="56"/>
      <c r="NY59" s="105"/>
      <c r="OF59" s="56"/>
      <c r="OG59" s="105"/>
      <c r="ON59" s="56"/>
      <c r="OO59" s="105"/>
      <c r="OV59" s="56"/>
      <c r="OW59" s="105"/>
      <c r="PD59" s="56"/>
      <c r="PE59" s="105"/>
      <c r="PL59" s="56"/>
      <c r="PM59" s="105"/>
      <c r="PT59" s="56"/>
      <c r="PU59" s="105"/>
      <c r="QB59" s="56"/>
      <c r="QC59" s="105"/>
      <c r="QJ59" s="56"/>
      <c r="QK59" s="105"/>
      <c r="QR59" s="56"/>
      <c r="QS59" s="105"/>
      <c r="QZ59" s="56"/>
      <c r="RA59" s="105"/>
      <c r="RH59" s="56"/>
      <c r="RI59" s="105"/>
      <c r="RP59" s="56"/>
      <c r="RQ59" s="105"/>
      <c r="RX59" s="56"/>
      <c r="RY59" s="105"/>
      <c r="SF59" s="56"/>
      <c r="SG59" s="105"/>
      <c r="SN59" s="56"/>
      <c r="SO59" s="105"/>
      <c r="SV59" s="56"/>
      <c r="SW59" s="105"/>
      <c r="TD59" s="56"/>
      <c r="TE59" s="105"/>
      <c r="TL59" s="56"/>
      <c r="TM59" s="105"/>
      <c r="TT59" s="56"/>
      <c r="TU59" s="105"/>
      <c r="UB59" s="56"/>
      <c r="UC59" s="105"/>
      <c r="UJ59" s="56"/>
      <c r="UK59" s="105"/>
      <c r="UR59" s="56"/>
      <c r="US59" s="105"/>
      <c r="UZ59" s="56"/>
      <c r="VA59" s="105"/>
      <c r="VH59" s="56"/>
      <c r="VI59" s="105"/>
      <c r="VP59" s="56"/>
      <c r="VQ59" s="105"/>
      <c r="VX59" s="56"/>
      <c r="VY59" s="105"/>
      <c r="WF59" s="56"/>
      <c r="WG59" s="105"/>
      <c r="WN59" s="56"/>
      <c r="WO59" s="105"/>
      <c r="WV59" s="56"/>
      <c r="WW59" s="105"/>
      <c r="XD59" s="56"/>
      <c r="XE59" s="105"/>
      <c r="XL59" s="56"/>
      <c r="XM59" s="105"/>
      <c r="XT59" s="56"/>
      <c r="XU59" s="105"/>
      <c r="YB59" s="56"/>
      <c r="YC59" s="105"/>
      <c r="YJ59" s="56"/>
      <c r="YK59" s="105"/>
      <c r="YR59" s="56"/>
      <c r="YS59" s="105"/>
      <c r="YZ59" s="56"/>
      <c r="ZA59" s="105"/>
      <c r="ZH59" s="56"/>
      <c r="ZI59" s="105"/>
      <c r="ZP59" s="56"/>
      <c r="ZQ59" s="105"/>
      <c r="ZX59" s="56"/>
      <c r="ZY59" s="105"/>
      <c r="AAF59" s="56"/>
      <c r="AAG59" s="105"/>
      <c r="AAN59" s="56"/>
      <c r="AAO59" s="105"/>
      <c r="AAV59" s="56"/>
      <c r="AAW59" s="105"/>
      <c r="ABD59" s="56"/>
      <c r="ABE59" s="105"/>
      <c r="ABL59" s="56"/>
      <c r="ABM59" s="105"/>
      <c r="ABT59" s="56"/>
      <c r="ABU59" s="105"/>
      <c r="ACB59" s="56"/>
      <c r="ACC59" s="105"/>
      <c r="ACJ59" s="56"/>
      <c r="ACK59" s="105"/>
      <c r="ACR59" s="56"/>
      <c r="ACS59" s="105"/>
      <c r="ACZ59" s="56"/>
      <c r="ADA59" s="105"/>
      <c r="ADH59" s="56"/>
      <c r="ADI59" s="105"/>
      <c r="ADP59" s="56"/>
      <c r="ADQ59" s="105"/>
      <c r="ADX59" s="56"/>
      <c r="ADY59" s="105"/>
      <c r="AEF59" s="56"/>
      <c r="AEG59" s="105"/>
      <c r="AEN59" s="56"/>
      <c r="AEO59" s="105"/>
      <c r="AEV59" s="56"/>
      <c r="AEW59" s="105"/>
      <c r="AFD59" s="56"/>
      <c r="AFE59" s="105"/>
      <c r="AFL59" s="56"/>
      <c r="AFM59" s="105"/>
      <c r="AFT59" s="56"/>
      <c r="AFU59" s="105"/>
      <c r="AGB59" s="56"/>
      <c r="AGC59" s="105"/>
      <c r="AGJ59" s="56"/>
      <c r="AGK59" s="105"/>
      <c r="AGR59" s="56"/>
      <c r="AGS59" s="105"/>
      <c r="AGZ59" s="56"/>
      <c r="AHA59" s="105"/>
      <c r="AHH59" s="56"/>
      <c r="AHI59" s="105"/>
      <c r="AHP59" s="56"/>
      <c r="AHQ59" s="105"/>
      <c r="AHX59" s="56"/>
      <c r="AHY59" s="105"/>
      <c r="AIF59" s="56"/>
      <c r="AIG59" s="105"/>
      <c r="AIN59" s="56"/>
      <c r="AIO59" s="105"/>
      <c r="AIV59" s="56"/>
      <c r="AIW59" s="105"/>
      <c r="AJD59" s="56"/>
      <c r="AJE59" s="105"/>
      <c r="AJL59" s="56"/>
      <c r="AJM59" s="105"/>
      <c r="AJT59" s="56"/>
      <c r="AJU59" s="105"/>
      <c r="AKB59" s="56"/>
      <c r="AKC59" s="105"/>
      <c r="AKJ59" s="56"/>
      <c r="AKK59" s="105"/>
      <c r="AKR59" s="56"/>
      <c r="AKS59" s="105"/>
      <c r="AKZ59" s="56"/>
      <c r="ALA59" s="105"/>
      <c r="ALH59" s="56"/>
      <c r="ALI59" s="105"/>
      <c r="ALP59" s="56"/>
      <c r="ALQ59" s="105"/>
      <c r="ALX59" s="56"/>
      <c r="ALY59" s="105"/>
      <c r="AMF59" s="56"/>
      <c r="AMG59" s="105"/>
      <c r="AMN59" s="56"/>
      <c r="AMO59" s="105"/>
      <c r="AMV59" s="56"/>
      <c r="AMW59" s="105"/>
      <c r="AND59" s="56"/>
      <c r="ANE59" s="105"/>
      <c r="ANL59" s="56"/>
      <c r="ANM59" s="105"/>
      <c r="ANT59" s="56"/>
      <c r="ANU59" s="105"/>
      <c r="AOB59" s="56"/>
      <c r="AOC59" s="105"/>
      <c r="AOJ59" s="56"/>
      <c r="AOK59" s="105"/>
      <c r="AOR59" s="56"/>
      <c r="AOS59" s="105"/>
      <c r="AOZ59" s="56"/>
      <c r="APA59" s="105"/>
      <c r="APH59" s="56"/>
      <c r="API59" s="105"/>
      <c r="APP59" s="56"/>
      <c r="APQ59" s="105"/>
      <c r="APX59" s="56"/>
      <c r="APY59" s="105"/>
      <c r="AQF59" s="56"/>
      <c r="AQG59" s="105"/>
      <c r="AQN59" s="56"/>
      <c r="AQO59" s="105"/>
      <c r="AQV59" s="56"/>
      <c r="AQW59" s="105"/>
      <c r="ARD59" s="56"/>
      <c r="ARE59" s="105"/>
      <c r="ARL59" s="56"/>
      <c r="ARM59" s="105"/>
      <c r="ART59" s="56"/>
      <c r="ARU59" s="105"/>
      <c r="ASB59" s="56"/>
      <c r="ASC59" s="105"/>
      <c r="ASJ59" s="56"/>
      <c r="ASK59" s="105"/>
      <c r="ASR59" s="56"/>
      <c r="ASS59" s="105"/>
      <c r="ASZ59" s="56"/>
      <c r="ATA59" s="105"/>
      <c r="ATH59" s="56"/>
      <c r="ATI59" s="105"/>
      <c r="ATP59" s="56"/>
      <c r="ATQ59" s="105"/>
      <c r="ATX59" s="56"/>
      <c r="ATY59" s="105"/>
      <c r="AUF59" s="56"/>
      <c r="AUG59" s="105"/>
      <c r="AUN59" s="56"/>
      <c r="AUO59" s="105"/>
      <c r="AUV59" s="56"/>
      <c r="AUW59" s="105"/>
      <c r="AVD59" s="56"/>
      <c r="AVE59" s="105"/>
      <c r="AVL59" s="56"/>
      <c r="AVM59" s="105"/>
      <c r="AVT59" s="56"/>
      <c r="AVU59" s="105"/>
      <c r="AWB59" s="56"/>
      <c r="AWC59" s="105"/>
      <c r="AWJ59" s="56"/>
      <c r="AWK59" s="105"/>
      <c r="AWR59" s="56"/>
      <c r="AWS59" s="105"/>
      <c r="AWZ59" s="56"/>
      <c r="AXA59" s="105"/>
      <c r="AXH59" s="56"/>
      <c r="AXI59" s="105"/>
      <c r="AXP59" s="56"/>
      <c r="AXQ59" s="105"/>
      <c r="AXX59" s="56"/>
      <c r="AXY59" s="105"/>
      <c r="AYF59" s="56"/>
      <c r="AYG59" s="105"/>
      <c r="AYN59" s="56"/>
      <c r="AYO59" s="105"/>
      <c r="AYV59" s="56"/>
      <c r="AYW59" s="105"/>
      <c r="AZD59" s="56"/>
      <c r="AZE59" s="105"/>
      <c r="AZL59" s="56"/>
      <c r="AZM59" s="105"/>
      <c r="AZT59" s="56"/>
      <c r="AZU59" s="105"/>
      <c r="BAB59" s="56"/>
      <c r="BAC59" s="105"/>
      <c r="BAJ59" s="56"/>
      <c r="BAK59" s="105"/>
      <c r="BAR59" s="56"/>
      <c r="BAS59" s="105"/>
      <c r="BAZ59" s="56"/>
      <c r="BBA59" s="105"/>
      <c r="BBH59" s="56"/>
      <c r="BBI59" s="105"/>
      <c r="BBP59" s="56"/>
      <c r="BBQ59" s="105"/>
      <c r="BBX59" s="56"/>
      <c r="BBY59" s="105"/>
      <c r="BCF59" s="56"/>
      <c r="BCG59" s="105"/>
      <c r="BCN59" s="56"/>
      <c r="BCO59" s="105"/>
      <c r="BCV59" s="56"/>
      <c r="BCW59" s="105"/>
      <c r="BDD59" s="56"/>
      <c r="BDE59" s="105"/>
      <c r="BDL59" s="56"/>
      <c r="BDM59" s="105"/>
      <c r="BDT59" s="56"/>
      <c r="BDU59" s="105"/>
      <c r="BEB59" s="56"/>
      <c r="BEC59" s="105"/>
      <c r="BEJ59" s="56"/>
      <c r="BEK59" s="105"/>
      <c r="BER59" s="56"/>
      <c r="BES59" s="105"/>
      <c r="BEZ59" s="56"/>
      <c r="BFA59" s="105"/>
      <c r="BFH59" s="56"/>
      <c r="BFI59" s="105"/>
      <c r="BFP59" s="56"/>
      <c r="BFQ59" s="105"/>
      <c r="BFX59" s="56"/>
      <c r="BFY59" s="105"/>
      <c r="BGF59" s="56"/>
      <c r="BGG59" s="105"/>
      <c r="BGN59" s="56"/>
      <c r="BGO59" s="105"/>
      <c r="BGV59" s="56"/>
      <c r="BGW59" s="105"/>
      <c r="BHD59" s="56"/>
      <c r="BHE59" s="105"/>
      <c r="BHL59" s="56"/>
      <c r="BHM59" s="105"/>
      <c r="BHT59" s="56"/>
      <c r="BHU59" s="105"/>
      <c r="BIB59" s="56"/>
      <c r="BIC59" s="105"/>
      <c r="BIJ59" s="56"/>
      <c r="BIK59" s="105"/>
      <c r="BIR59" s="56"/>
      <c r="BIS59" s="105"/>
      <c r="BIZ59" s="56"/>
      <c r="BJA59" s="105"/>
      <c r="BJH59" s="56"/>
      <c r="BJI59" s="105"/>
      <c r="BJP59" s="56"/>
      <c r="BJQ59" s="105"/>
      <c r="BJX59" s="56"/>
      <c r="BJY59" s="105"/>
      <c r="BKF59" s="56"/>
      <c r="BKG59" s="105"/>
      <c r="BKN59" s="56"/>
      <c r="BKO59" s="105"/>
      <c r="BKV59" s="56"/>
      <c r="BKW59" s="105"/>
      <c r="BLD59" s="56"/>
      <c r="BLE59" s="105"/>
      <c r="BLL59" s="56"/>
      <c r="BLM59" s="105"/>
      <c r="BLT59" s="56"/>
      <c r="BLU59" s="105"/>
      <c r="BMB59" s="56"/>
      <c r="BMC59" s="105"/>
      <c r="BMJ59" s="56"/>
      <c r="BMK59" s="105"/>
      <c r="BMR59" s="56"/>
      <c r="BMS59" s="105"/>
      <c r="BMZ59" s="56"/>
      <c r="BNA59" s="105"/>
      <c r="BNH59" s="56"/>
      <c r="BNI59" s="105"/>
      <c r="BNP59" s="56"/>
      <c r="BNQ59" s="105"/>
      <c r="BNX59" s="56"/>
      <c r="BNY59" s="105"/>
      <c r="BOF59" s="56"/>
      <c r="BOG59" s="105"/>
      <c r="BON59" s="56"/>
      <c r="BOO59" s="105"/>
      <c r="BOV59" s="56"/>
      <c r="BOW59" s="105"/>
      <c r="BPD59" s="56"/>
      <c r="BPE59" s="105"/>
      <c r="BPL59" s="56"/>
      <c r="BPM59" s="105"/>
      <c r="BPT59" s="56"/>
      <c r="BPU59" s="105"/>
      <c r="BQB59" s="56"/>
      <c r="BQC59" s="105"/>
      <c r="BQJ59" s="56"/>
      <c r="BQK59" s="105"/>
      <c r="BQR59" s="56"/>
      <c r="BQS59" s="105"/>
      <c r="BQZ59" s="56"/>
      <c r="BRA59" s="105"/>
      <c r="BRH59" s="56"/>
      <c r="BRI59" s="105"/>
      <c r="BRP59" s="56"/>
      <c r="BRQ59" s="105"/>
      <c r="BRX59" s="56"/>
      <c r="BRY59" s="105"/>
      <c r="BSF59" s="56"/>
      <c r="BSG59" s="105"/>
      <c r="BSN59" s="56"/>
      <c r="BSO59" s="105"/>
      <c r="BSV59" s="56"/>
      <c r="BSW59" s="105"/>
      <c r="BTD59" s="56"/>
      <c r="BTE59" s="105"/>
      <c r="BTL59" s="56"/>
      <c r="BTM59" s="105"/>
      <c r="BTT59" s="56"/>
      <c r="BTU59" s="105"/>
      <c r="BUB59" s="56"/>
      <c r="BUC59" s="105"/>
      <c r="BUJ59" s="56"/>
      <c r="BUK59" s="105"/>
      <c r="BUR59" s="56"/>
      <c r="BUS59" s="105"/>
      <c r="BUZ59" s="56"/>
      <c r="BVA59" s="105"/>
      <c r="BVH59" s="56"/>
      <c r="BVI59" s="105"/>
      <c r="BVP59" s="56"/>
      <c r="BVQ59" s="105"/>
      <c r="BVX59" s="56"/>
      <c r="BVY59" s="105"/>
      <c r="BWF59" s="56"/>
      <c r="BWG59" s="105"/>
      <c r="BWN59" s="56"/>
      <c r="BWO59" s="105"/>
      <c r="BWV59" s="56"/>
      <c r="BWW59" s="105"/>
      <c r="BXD59" s="56"/>
      <c r="BXE59" s="105"/>
      <c r="BXL59" s="56"/>
      <c r="BXM59" s="105"/>
      <c r="BXT59" s="56"/>
      <c r="BXU59" s="105"/>
      <c r="BYB59" s="56"/>
      <c r="BYC59" s="105"/>
      <c r="BYJ59" s="56"/>
      <c r="BYK59" s="105"/>
      <c r="BYR59" s="56"/>
      <c r="BYS59" s="105"/>
      <c r="BYZ59" s="56"/>
      <c r="BZA59" s="105"/>
      <c r="BZH59" s="56"/>
      <c r="BZI59" s="105"/>
      <c r="BZP59" s="56"/>
      <c r="BZQ59" s="105"/>
      <c r="BZX59" s="56"/>
      <c r="BZY59" s="105"/>
      <c r="CAF59" s="56"/>
      <c r="CAG59" s="105"/>
      <c r="CAN59" s="56"/>
      <c r="CAO59" s="105"/>
      <c r="CAV59" s="56"/>
      <c r="CAW59" s="105"/>
      <c r="CBD59" s="56"/>
      <c r="CBE59" s="105"/>
      <c r="CBL59" s="56"/>
      <c r="CBM59" s="105"/>
      <c r="CBT59" s="56"/>
      <c r="CBU59" s="105"/>
      <c r="CCB59" s="56"/>
      <c r="CCC59" s="105"/>
      <c r="CCJ59" s="56"/>
      <c r="CCK59" s="105"/>
      <c r="CCR59" s="56"/>
      <c r="CCS59" s="105"/>
      <c r="CCZ59" s="56"/>
      <c r="CDA59" s="105"/>
      <c r="CDH59" s="56"/>
      <c r="CDI59" s="105"/>
      <c r="CDP59" s="56"/>
      <c r="CDQ59" s="105"/>
      <c r="CDX59" s="56"/>
      <c r="CDY59" s="105"/>
      <c r="CEF59" s="56"/>
      <c r="CEG59" s="105"/>
      <c r="CEN59" s="56"/>
      <c r="CEO59" s="105"/>
      <c r="CEV59" s="56"/>
      <c r="CEW59" s="105"/>
      <c r="CFD59" s="56"/>
      <c r="CFE59" s="105"/>
      <c r="CFL59" s="56"/>
      <c r="CFM59" s="105"/>
      <c r="CFT59" s="56"/>
      <c r="CFU59" s="105"/>
      <c r="CGB59" s="56"/>
      <c r="CGC59" s="105"/>
      <c r="CGJ59" s="56"/>
      <c r="CGK59" s="105"/>
      <c r="CGR59" s="56"/>
      <c r="CGS59" s="105"/>
      <c r="CGZ59" s="56"/>
      <c r="CHA59" s="105"/>
      <c r="CHH59" s="56"/>
      <c r="CHI59" s="105"/>
      <c r="CHP59" s="56"/>
      <c r="CHQ59" s="105"/>
      <c r="CHX59" s="56"/>
      <c r="CHY59" s="105"/>
      <c r="CIF59" s="56"/>
      <c r="CIG59" s="105"/>
      <c r="CIN59" s="56"/>
      <c r="CIO59" s="105"/>
      <c r="CIV59" s="56"/>
      <c r="CIW59" s="105"/>
      <c r="CJD59" s="56"/>
      <c r="CJE59" s="105"/>
      <c r="CJL59" s="56"/>
      <c r="CJM59" s="105"/>
      <c r="CJT59" s="56"/>
      <c r="CJU59" s="105"/>
      <c r="CKB59" s="56"/>
      <c r="CKC59" s="105"/>
      <c r="CKJ59" s="56"/>
      <c r="CKK59" s="105"/>
      <c r="CKR59" s="56"/>
      <c r="CKS59" s="105"/>
      <c r="CKZ59" s="56"/>
      <c r="CLA59" s="105"/>
      <c r="CLH59" s="56"/>
      <c r="CLI59" s="105"/>
      <c r="CLP59" s="56"/>
      <c r="CLQ59" s="105"/>
      <c r="CLX59" s="56"/>
      <c r="CLY59" s="105"/>
      <c r="CMF59" s="56"/>
      <c r="CMG59" s="105"/>
      <c r="CMN59" s="56"/>
      <c r="CMO59" s="105"/>
      <c r="CMV59" s="56"/>
      <c r="CMW59" s="105"/>
      <c r="CND59" s="56"/>
      <c r="CNE59" s="105"/>
      <c r="CNL59" s="56"/>
      <c r="CNM59" s="105"/>
      <c r="CNT59" s="56"/>
      <c r="CNU59" s="105"/>
      <c r="COB59" s="56"/>
      <c r="COC59" s="105"/>
      <c r="COJ59" s="56"/>
      <c r="COK59" s="105"/>
      <c r="COR59" s="56"/>
      <c r="COS59" s="105"/>
      <c r="COZ59" s="56"/>
      <c r="CPA59" s="105"/>
      <c r="CPH59" s="56"/>
      <c r="CPI59" s="105"/>
      <c r="CPP59" s="56"/>
      <c r="CPQ59" s="105"/>
      <c r="CPX59" s="56"/>
      <c r="CPY59" s="105"/>
      <c r="CQF59" s="56"/>
      <c r="CQG59" s="105"/>
      <c r="CQN59" s="56"/>
      <c r="CQO59" s="105"/>
      <c r="CQV59" s="56"/>
      <c r="CQW59" s="105"/>
      <c r="CRD59" s="56"/>
      <c r="CRE59" s="105"/>
      <c r="CRL59" s="56"/>
      <c r="CRM59" s="105"/>
      <c r="CRT59" s="56"/>
      <c r="CRU59" s="105"/>
      <c r="CSB59" s="56"/>
      <c r="CSC59" s="105"/>
      <c r="CSJ59" s="56"/>
      <c r="CSK59" s="105"/>
      <c r="CSR59" s="56"/>
      <c r="CSS59" s="105"/>
      <c r="CSZ59" s="56"/>
      <c r="CTA59" s="105"/>
      <c r="CTH59" s="56"/>
      <c r="CTI59" s="105"/>
      <c r="CTP59" s="56"/>
      <c r="CTQ59" s="105"/>
      <c r="CTX59" s="56"/>
      <c r="CTY59" s="105"/>
      <c r="CUF59" s="56"/>
      <c r="CUG59" s="105"/>
      <c r="CUN59" s="56"/>
      <c r="CUO59" s="105"/>
      <c r="CUV59" s="56"/>
      <c r="CUW59" s="105"/>
      <c r="CVD59" s="56"/>
      <c r="CVE59" s="105"/>
      <c r="CVL59" s="56"/>
      <c r="CVM59" s="105"/>
      <c r="CVT59" s="56"/>
      <c r="CVU59" s="105"/>
      <c r="CWB59" s="56"/>
      <c r="CWC59" s="105"/>
      <c r="CWJ59" s="56"/>
      <c r="CWK59" s="105"/>
      <c r="CWR59" s="56"/>
      <c r="CWS59" s="105"/>
      <c r="CWZ59" s="56"/>
      <c r="CXA59" s="105"/>
      <c r="CXH59" s="56"/>
      <c r="CXI59" s="105"/>
      <c r="CXP59" s="56"/>
      <c r="CXQ59" s="105"/>
      <c r="CXX59" s="56"/>
      <c r="CXY59" s="105"/>
      <c r="CYF59" s="56"/>
      <c r="CYG59" s="105"/>
      <c r="CYN59" s="56"/>
      <c r="CYO59" s="105"/>
      <c r="CYV59" s="56"/>
      <c r="CYW59" s="105"/>
      <c r="CZD59" s="56"/>
      <c r="CZE59" s="105"/>
      <c r="CZL59" s="56"/>
      <c r="CZM59" s="105"/>
      <c r="CZT59" s="56"/>
      <c r="CZU59" s="105"/>
      <c r="DAB59" s="56"/>
      <c r="DAC59" s="105"/>
      <c r="DAJ59" s="56"/>
      <c r="DAK59" s="105"/>
      <c r="DAR59" s="56"/>
      <c r="DAS59" s="105"/>
      <c r="DAZ59" s="56"/>
      <c r="DBA59" s="105"/>
      <c r="DBH59" s="56"/>
      <c r="DBI59" s="105"/>
      <c r="DBP59" s="56"/>
      <c r="DBQ59" s="105"/>
      <c r="DBX59" s="56"/>
      <c r="DBY59" s="105"/>
      <c r="DCF59" s="56"/>
      <c r="DCG59" s="105"/>
      <c r="DCN59" s="56"/>
      <c r="DCO59" s="105"/>
      <c r="DCV59" s="56"/>
      <c r="DCW59" s="105"/>
      <c r="DDD59" s="56"/>
      <c r="DDE59" s="105"/>
      <c r="DDL59" s="56"/>
      <c r="DDM59" s="105"/>
      <c r="DDT59" s="56"/>
      <c r="DDU59" s="105"/>
      <c r="DEB59" s="56"/>
      <c r="DEC59" s="105"/>
      <c r="DEJ59" s="56"/>
      <c r="DEK59" s="105"/>
      <c r="DER59" s="56"/>
      <c r="DES59" s="105"/>
      <c r="DEZ59" s="56"/>
      <c r="DFA59" s="105"/>
      <c r="DFH59" s="56"/>
      <c r="DFI59" s="105"/>
      <c r="DFP59" s="56"/>
      <c r="DFQ59" s="105"/>
      <c r="DFX59" s="56"/>
      <c r="DFY59" s="105"/>
      <c r="DGF59" s="56"/>
      <c r="DGG59" s="105"/>
      <c r="DGN59" s="56"/>
      <c r="DGO59" s="105"/>
      <c r="DGV59" s="56"/>
      <c r="DGW59" s="105"/>
      <c r="DHD59" s="56"/>
      <c r="DHE59" s="105"/>
      <c r="DHL59" s="56"/>
      <c r="DHM59" s="105"/>
      <c r="DHT59" s="56"/>
      <c r="DHU59" s="105"/>
      <c r="DIB59" s="56"/>
      <c r="DIC59" s="105"/>
      <c r="DIJ59" s="56"/>
      <c r="DIK59" s="105"/>
      <c r="DIR59" s="56"/>
      <c r="DIS59" s="105"/>
      <c r="DIZ59" s="56"/>
      <c r="DJA59" s="105"/>
      <c r="DJH59" s="56"/>
      <c r="DJI59" s="105"/>
      <c r="DJP59" s="56"/>
      <c r="DJQ59" s="105"/>
      <c r="DJX59" s="56"/>
      <c r="DJY59" s="105"/>
      <c r="DKF59" s="56"/>
      <c r="DKG59" s="105"/>
      <c r="DKN59" s="56"/>
      <c r="DKO59" s="105"/>
      <c r="DKV59" s="56"/>
      <c r="DKW59" s="105"/>
      <c r="DLD59" s="56"/>
      <c r="DLE59" s="105"/>
      <c r="DLL59" s="56"/>
      <c r="DLM59" s="105"/>
      <c r="DLT59" s="56"/>
      <c r="DLU59" s="105"/>
      <c r="DMB59" s="56"/>
      <c r="DMC59" s="105"/>
      <c r="DMJ59" s="56"/>
      <c r="DMK59" s="105"/>
      <c r="DMR59" s="56"/>
      <c r="DMS59" s="105"/>
      <c r="DMZ59" s="56"/>
      <c r="DNA59" s="105"/>
      <c r="DNH59" s="56"/>
      <c r="DNI59" s="105"/>
      <c r="DNP59" s="56"/>
      <c r="DNQ59" s="105"/>
      <c r="DNX59" s="56"/>
      <c r="DNY59" s="105"/>
      <c r="DOF59" s="56"/>
      <c r="DOG59" s="105"/>
      <c r="DON59" s="56"/>
      <c r="DOO59" s="105"/>
      <c r="DOV59" s="56"/>
      <c r="DOW59" s="105"/>
      <c r="DPD59" s="56"/>
      <c r="DPE59" s="105"/>
      <c r="DPL59" s="56"/>
      <c r="DPM59" s="105"/>
      <c r="DPT59" s="56"/>
      <c r="DPU59" s="105"/>
      <c r="DQB59" s="56"/>
      <c r="DQC59" s="105"/>
      <c r="DQJ59" s="56"/>
      <c r="DQK59" s="105"/>
      <c r="DQR59" s="56"/>
      <c r="DQS59" s="105"/>
      <c r="DQZ59" s="56"/>
      <c r="DRA59" s="105"/>
      <c r="DRH59" s="56"/>
      <c r="DRI59" s="105"/>
      <c r="DRP59" s="56"/>
      <c r="DRQ59" s="105"/>
      <c r="DRX59" s="56"/>
      <c r="DRY59" s="105"/>
      <c r="DSF59" s="56"/>
      <c r="DSG59" s="105"/>
      <c r="DSN59" s="56"/>
      <c r="DSO59" s="105"/>
      <c r="DSV59" s="56"/>
      <c r="DSW59" s="105"/>
      <c r="DTD59" s="56"/>
      <c r="DTE59" s="105"/>
      <c r="DTL59" s="56"/>
      <c r="DTM59" s="105"/>
      <c r="DTT59" s="56"/>
      <c r="DTU59" s="105"/>
      <c r="DUB59" s="56"/>
      <c r="DUC59" s="105"/>
      <c r="DUJ59" s="56"/>
      <c r="DUK59" s="105"/>
      <c r="DUR59" s="56"/>
      <c r="DUS59" s="105"/>
      <c r="DUZ59" s="56"/>
      <c r="DVA59" s="105"/>
      <c r="DVH59" s="56"/>
      <c r="DVI59" s="105"/>
      <c r="DVP59" s="56"/>
      <c r="DVQ59" s="105"/>
      <c r="DVX59" s="56"/>
      <c r="DVY59" s="105"/>
      <c r="DWF59" s="56"/>
      <c r="DWG59" s="105"/>
      <c r="DWN59" s="56"/>
      <c r="DWO59" s="105"/>
      <c r="DWV59" s="56"/>
      <c r="DWW59" s="105"/>
      <c r="DXD59" s="56"/>
      <c r="DXE59" s="105"/>
      <c r="DXL59" s="56"/>
      <c r="DXM59" s="105"/>
      <c r="DXT59" s="56"/>
      <c r="DXU59" s="105"/>
      <c r="DYB59" s="56"/>
      <c r="DYC59" s="105"/>
      <c r="DYJ59" s="56"/>
      <c r="DYK59" s="105"/>
      <c r="DYR59" s="56"/>
      <c r="DYS59" s="105"/>
      <c r="DYZ59" s="56"/>
      <c r="DZA59" s="105"/>
      <c r="DZH59" s="56"/>
      <c r="DZI59" s="105"/>
      <c r="DZP59" s="56"/>
      <c r="DZQ59" s="105"/>
      <c r="DZX59" s="56"/>
      <c r="DZY59" s="105"/>
      <c r="EAF59" s="56"/>
      <c r="EAG59" s="105"/>
      <c r="EAN59" s="56"/>
      <c r="EAO59" s="105"/>
      <c r="EAV59" s="56"/>
      <c r="EAW59" s="105"/>
      <c r="EBD59" s="56"/>
      <c r="EBE59" s="105"/>
      <c r="EBL59" s="56"/>
      <c r="EBM59" s="105"/>
      <c r="EBT59" s="56"/>
      <c r="EBU59" s="105"/>
      <c r="ECB59" s="56"/>
      <c r="ECC59" s="105"/>
      <c r="ECJ59" s="56"/>
      <c r="ECK59" s="105"/>
      <c r="ECR59" s="56"/>
      <c r="ECS59" s="105"/>
      <c r="ECZ59" s="56"/>
      <c r="EDA59" s="105"/>
      <c r="EDH59" s="56"/>
      <c r="EDI59" s="105"/>
      <c r="EDP59" s="56"/>
      <c r="EDQ59" s="105"/>
      <c r="EDX59" s="56"/>
      <c r="EDY59" s="105"/>
      <c r="EEF59" s="56"/>
      <c r="EEG59" s="105"/>
      <c r="EEN59" s="56"/>
      <c r="EEO59" s="105"/>
      <c r="EEV59" s="56"/>
      <c r="EEW59" s="105"/>
      <c r="EFD59" s="56"/>
      <c r="EFE59" s="105"/>
      <c r="EFL59" s="56"/>
      <c r="EFM59" s="105"/>
      <c r="EFT59" s="56"/>
      <c r="EFU59" s="105"/>
      <c r="EGB59" s="56"/>
      <c r="EGC59" s="105"/>
      <c r="EGJ59" s="56"/>
      <c r="EGK59" s="105"/>
      <c r="EGR59" s="56"/>
      <c r="EGS59" s="105"/>
      <c r="EGZ59" s="56"/>
      <c r="EHA59" s="105"/>
      <c r="EHH59" s="56"/>
      <c r="EHI59" s="105"/>
      <c r="EHP59" s="56"/>
      <c r="EHQ59" s="105"/>
      <c r="EHX59" s="56"/>
      <c r="EHY59" s="105"/>
      <c r="EIF59" s="56"/>
      <c r="EIG59" s="105"/>
      <c r="EIN59" s="56"/>
      <c r="EIO59" s="105"/>
      <c r="EIV59" s="56"/>
      <c r="EIW59" s="105"/>
      <c r="EJD59" s="56"/>
      <c r="EJE59" s="105"/>
      <c r="EJL59" s="56"/>
      <c r="EJM59" s="105"/>
      <c r="EJT59" s="56"/>
      <c r="EJU59" s="105"/>
      <c r="EKB59" s="56"/>
      <c r="EKC59" s="105"/>
      <c r="EKJ59" s="56"/>
      <c r="EKK59" s="105"/>
      <c r="EKR59" s="56"/>
      <c r="EKS59" s="105"/>
      <c r="EKZ59" s="56"/>
      <c r="ELA59" s="105"/>
      <c r="ELH59" s="56"/>
      <c r="ELI59" s="105"/>
      <c r="ELP59" s="56"/>
      <c r="ELQ59" s="105"/>
      <c r="ELX59" s="56"/>
      <c r="ELY59" s="105"/>
      <c r="EMF59" s="56"/>
      <c r="EMG59" s="105"/>
      <c r="EMN59" s="56"/>
      <c r="EMO59" s="105"/>
      <c r="EMV59" s="56"/>
      <c r="EMW59" s="105"/>
      <c r="END59" s="56"/>
      <c r="ENE59" s="105"/>
      <c r="ENL59" s="56"/>
      <c r="ENM59" s="105"/>
      <c r="ENT59" s="56"/>
      <c r="ENU59" s="105"/>
      <c r="EOB59" s="56"/>
      <c r="EOC59" s="105"/>
      <c r="EOJ59" s="56"/>
      <c r="EOK59" s="105"/>
      <c r="EOR59" s="56"/>
      <c r="EOS59" s="105"/>
      <c r="EOZ59" s="56"/>
      <c r="EPA59" s="105"/>
      <c r="EPH59" s="56"/>
      <c r="EPI59" s="105"/>
      <c r="EPP59" s="56"/>
      <c r="EPQ59" s="105"/>
      <c r="EPX59" s="56"/>
      <c r="EPY59" s="105"/>
      <c r="EQF59" s="56"/>
      <c r="EQG59" s="105"/>
      <c r="EQN59" s="56"/>
      <c r="EQO59" s="105"/>
      <c r="EQV59" s="56"/>
      <c r="EQW59" s="105"/>
      <c r="ERD59" s="56"/>
      <c r="ERE59" s="105"/>
      <c r="ERL59" s="56"/>
      <c r="ERM59" s="105"/>
      <c r="ERT59" s="56"/>
      <c r="ERU59" s="105"/>
      <c r="ESB59" s="56"/>
      <c r="ESC59" s="105"/>
      <c r="ESJ59" s="56"/>
      <c r="ESK59" s="105"/>
      <c r="ESR59" s="56"/>
      <c r="ESS59" s="105"/>
      <c r="ESZ59" s="56"/>
      <c r="ETA59" s="105"/>
      <c r="ETH59" s="56"/>
      <c r="ETI59" s="105"/>
      <c r="ETP59" s="56"/>
      <c r="ETQ59" s="105"/>
      <c r="ETX59" s="56"/>
      <c r="ETY59" s="105"/>
      <c r="EUF59" s="56"/>
      <c r="EUG59" s="105"/>
      <c r="EUN59" s="56"/>
      <c r="EUO59" s="105"/>
      <c r="EUV59" s="56"/>
      <c r="EUW59" s="105"/>
      <c r="EVD59" s="56"/>
      <c r="EVE59" s="105"/>
      <c r="EVL59" s="56"/>
      <c r="EVM59" s="105"/>
      <c r="EVT59" s="56"/>
      <c r="EVU59" s="105"/>
      <c r="EWB59" s="56"/>
      <c r="EWC59" s="105"/>
      <c r="EWJ59" s="56"/>
      <c r="EWK59" s="105"/>
      <c r="EWR59" s="56"/>
      <c r="EWS59" s="105"/>
      <c r="EWZ59" s="56"/>
      <c r="EXA59" s="105"/>
      <c r="EXH59" s="56"/>
      <c r="EXI59" s="105"/>
      <c r="EXP59" s="56"/>
      <c r="EXQ59" s="105"/>
      <c r="EXX59" s="56"/>
      <c r="EXY59" s="105"/>
      <c r="EYF59" s="56"/>
      <c r="EYG59" s="105"/>
      <c r="EYN59" s="56"/>
      <c r="EYO59" s="105"/>
      <c r="EYV59" s="56"/>
      <c r="EYW59" s="105"/>
      <c r="EZD59" s="56"/>
      <c r="EZE59" s="105"/>
      <c r="EZL59" s="56"/>
      <c r="EZM59" s="105"/>
      <c r="EZT59" s="56"/>
      <c r="EZU59" s="105"/>
      <c r="FAB59" s="56"/>
      <c r="FAC59" s="105"/>
      <c r="FAJ59" s="56"/>
      <c r="FAK59" s="105"/>
      <c r="FAR59" s="56"/>
      <c r="FAS59" s="105"/>
      <c r="FAZ59" s="56"/>
      <c r="FBA59" s="105"/>
      <c r="FBH59" s="56"/>
      <c r="FBI59" s="105"/>
      <c r="FBP59" s="56"/>
      <c r="FBQ59" s="105"/>
      <c r="FBX59" s="56"/>
      <c r="FBY59" s="105"/>
      <c r="FCF59" s="56"/>
      <c r="FCG59" s="105"/>
      <c r="FCN59" s="56"/>
      <c r="FCO59" s="105"/>
      <c r="FCV59" s="56"/>
      <c r="FCW59" s="105"/>
      <c r="FDD59" s="56"/>
      <c r="FDE59" s="105"/>
      <c r="FDL59" s="56"/>
      <c r="FDM59" s="105"/>
      <c r="FDT59" s="56"/>
      <c r="FDU59" s="105"/>
      <c r="FEB59" s="56"/>
      <c r="FEC59" s="105"/>
      <c r="FEJ59" s="56"/>
      <c r="FEK59" s="105"/>
      <c r="FER59" s="56"/>
      <c r="FES59" s="105"/>
      <c r="FEZ59" s="56"/>
      <c r="FFA59" s="105"/>
      <c r="FFH59" s="56"/>
      <c r="FFI59" s="105"/>
      <c r="FFP59" s="56"/>
      <c r="FFQ59" s="105"/>
      <c r="FFX59" s="56"/>
      <c r="FFY59" s="105"/>
      <c r="FGF59" s="56"/>
      <c r="FGG59" s="105"/>
      <c r="FGN59" s="56"/>
      <c r="FGO59" s="105"/>
      <c r="FGV59" s="56"/>
      <c r="FGW59" s="105"/>
      <c r="FHD59" s="56"/>
      <c r="FHE59" s="105"/>
      <c r="FHL59" s="56"/>
      <c r="FHM59" s="105"/>
      <c r="FHT59" s="56"/>
      <c r="FHU59" s="105"/>
      <c r="FIB59" s="56"/>
      <c r="FIC59" s="105"/>
      <c r="FIJ59" s="56"/>
      <c r="FIK59" s="105"/>
      <c r="FIR59" s="56"/>
      <c r="FIS59" s="105"/>
      <c r="FIZ59" s="56"/>
      <c r="FJA59" s="105"/>
      <c r="FJH59" s="56"/>
      <c r="FJI59" s="105"/>
      <c r="FJP59" s="56"/>
      <c r="FJQ59" s="105"/>
      <c r="FJX59" s="56"/>
      <c r="FJY59" s="105"/>
      <c r="FKF59" s="56"/>
      <c r="FKG59" s="105"/>
      <c r="FKN59" s="56"/>
      <c r="FKO59" s="105"/>
      <c r="FKV59" s="56"/>
      <c r="FKW59" s="105"/>
      <c r="FLD59" s="56"/>
      <c r="FLE59" s="105"/>
      <c r="FLL59" s="56"/>
      <c r="FLM59" s="105"/>
      <c r="FLT59" s="56"/>
      <c r="FLU59" s="105"/>
      <c r="FMB59" s="56"/>
      <c r="FMC59" s="105"/>
      <c r="FMJ59" s="56"/>
      <c r="FMK59" s="105"/>
      <c r="FMR59" s="56"/>
      <c r="FMS59" s="105"/>
      <c r="FMZ59" s="56"/>
      <c r="FNA59" s="105"/>
      <c r="FNH59" s="56"/>
      <c r="FNI59" s="105"/>
      <c r="FNP59" s="56"/>
      <c r="FNQ59" s="105"/>
      <c r="FNX59" s="56"/>
      <c r="FNY59" s="105"/>
      <c r="FOF59" s="56"/>
      <c r="FOG59" s="105"/>
      <c r="FON59" s="56"/>
      <c r="FOO59" s="105"/>
      <c r="FOV59" s="56"/>
      <c r="FOW59" s="105"/>
      <c r="FPD59" s="56"/>
      <c r="FPE59" s="105"/>
      <c r="FPL59" s="56"/>
      <c r="FPM59" s="105"/>
      <c r="FPT59" s="56"/>
      <c r="FPU59" s="105"/>
      <c r="FQB59" s="56"/>
      <c r="FQC59" s="105"/>
      <c r="FQJ59" s="56"/>
      <c r="FQK59" s="105"/>
      <c r="FQR59" s="56"/>
      <c r="FQS59" s="105"/>
      <c r="FQZ59" s="56"/>
      <c r="FRA59" s="105"/>
      <c r="FRH59" s="56"/>
      <c r="FRI59" s="105"/>
      <c r="FRP59" s="56"/>
      <c r="FRQ59" s="105"/>
      <c r="FRX59" s="56"/>
      <c r="FRY59" s="105"/>
      <c r="FSF59" s="56"/>
      <c r="FSG59" s="105"/>
      <c r="FSN59" s="56"/>
      <c r="FSO59" s="105"/>
      <c r="FSV59" s="56"/>
      <c r="FSW59" s="105"/>
      <c r="FTD59" s="56"/>
      <c r="FTE59" s="105"/>
      <c r="FTL59" s="56"/>
      <c r="FTM59" s="105"/>
      <c r="FTT59" s="56"/>
      <c r="FTU59" s="105"/>
      <c r="FUB59" s="56"/>
      <c r="FUC59" s="105"/>
      <c r="FUJ59" s="56"/>
      <c r="FUK59" s="105"/>
      <c r="FUR59" s="56"/>
      <c r="FUS59" s="105"/>
      <c r="FUZ59" s="56"/>
      <c r="FVA59" s="105"/>
      <c r="FVH59" s="56"/>
      <c r="FVI59" s="105"/>
      <c r="FVP59" s="56"/>
      <c r="FVQ59" s="105"/>
      <c r="FVX59" s="56"/>
      <c r="FVY59" s="105"/>
      <c r="FWF59" s="56"/>
      <c r="FWG59" s="105"/>
      <c r="FWN59" s="56"/>
      <c r="FWO59" s="105"/>
      <c r="FWV59" s="56"/>
      <c r="FWW59" s="105"/>
      <c r="FXD59" s="56"/>
      <c r="FXE59" s="105"/>
      <c r="FXL59" s="56"/>
      <c r="FXM59" s="105"/>
      <c r="FXT59" s="56"/>
      <c r="FXU59" s="105"/>
      <c r="FYB59" s="56"/>
      <c r="FYC59" s="105"/>
      <c r="FYJ59" s="56"/>
      <c r="FYK59" s="105"/>
      <c r="FYR59" s="56"/>
      <c r="FYS59" s="105"/>
      <c r="FYZ59" s="56"/>
      <c r="FZA59" s="105"/>
      <c r="FZH59" s="56"/>
      <c r="FZI59" s="105"/>
      <c r="FZP59" s="56"/>
      <c r="FZQ59" s="105"/>
      <c r="FZX59" s="56"/>
      <c r="FZY59" s="105"/>
      <c r="GAF59" s="56"/>
      <c r="GAG59" s="105"/>
      <c r="GAN59" s="56"/>
      <c r="GAO59" s="105"/>
      <c r="GAV59" s="56"/>
      <c r="GAW59" s="105"/>
      <c r="GBD59" s="56"/>
      <c r="GBE59" s="105"/>
      <c r="GBL59" s="56"/>
      <c r="GBM59" s="105"/>
      <c r="GBT59" s="56"/>
      <c r="GBU59" s="105"/>
      <c r="GCB59" s="56"/>
      <c r="GCC59" s="105"/>
      <c r="GCJ59" s="56"/>
      <c r="GCK59" s="105"/>
      <c r="GCR59" s="56"/>
      <c r="GCS59" s="105"/>
      <c r="GCZ59" s="56"/>
      <c r="GDA59" s="105"/>
      <c r="GDH59" s="56"/>
      <c r="GDI59" s="105"/>
      <c r="GDP59" s="56"/>
      <c r="GDQ59" s="105"/>
      <c r="GDX59" s="56"/>
      <c r="GDY59" s="105"/>
      <c r="GEF59" s="56"/>
      <c r="GEG59" s="105"/>
      <c r="GEN59" s="56"/>
      <c r="GEO59" s="105"/>
      <c r="GEV59" s="56"/>
      <c r="GEW59" s="105"/>
      <c r="GFD59" s="56"/>
      <c r="GFE59" s="105"/>
      <c r="GFL59" s="56"/>
      <c r="GFM59" s="105"/>
      <c r="GFT59" s="56"/>
      <c r="GFU59" s="105"/>
      <c r="GGB59" s="56"/>
      <c r="GGC59" s="105"/>
      <c r="GGJ59" s="56"/>
      <c r="GGK59" s="105"/>
      <c r="GGR59" s="56"/>
      <c r="GGS59" s="105"/>
      <c r="GGZ59" s="56"/>
      <c r="GHA59" s="105"/>
      <c r="GHH59" s="56"/>
      <c r="GHI59" s="105"/>
      <c r="GHP59" s="56"/>
      <c r="GHQ59" s="105"/>
      <c r="GHX59" s="56"/>
      <c r="GHY59" s="105"/>
      <c r="GIF59" s="56"/>
      <c r="GIG59" s="105"/>
      <c r="GIN59" s="56"/>
      <c r="GIO59" s="105"/>
      <c r="GIV59" s="56"/>
      <c r="GIW59" s="105"/>
      <c r="GJD59" s="56"/>
      <c r="GJE59" s="105"/>
      <c r="GJL59" s="56"/>
      <c r="GJM59" s="105"/>
      <c r="GJT59" s="56"/>
      <c r="GJU59" s="105"/>
      <c r="GKB59" s="56"/>
      <c r="GKC59" s="105"/>
      <c r="GKJ59" s="56"/>
      <c r="GKK59" s="105"/>
      <c r="GKR59" s="56"/>
      <c r="GKS59" s="105"/>
      <c r="GKZ59" s="56"/>
      <c r="GLA59" s="105"/>
      <c r="GLH59" s="56"/>
      <c r="GLI59" s="105"/>
      <c r="GLP59" s="56"/>
      <c r="GLQ59" s="105"/>
      <c r="GLX59" s="56"/>
      <c r="GLY59" s="105"/>
      <c r="GMF59" s="56"/>
      <c r="GMG59" s="105"/>
      <c r="GMN59" s="56"/>
      <c r="GMO59" s="105"/>
      <c r="GMV59" s="56"/>
      <c r="GMW59" s="105"/>
      <c r="GND59" s="56"/>
      <c r="GNE59" s="105"/>
      <c r="GNL59" s="56"/>
      <c r="GNM59" s="105"/>
      <c r="GNT59" s="56"/>
      <c r="GNU59" s="105"/>
      <c r="GOB59" s="56"/>
      <c r="GOC59" s="105"/>
      <c r="GOJ59" s="56"/>
      <c r="GOK59" s="105"/>
      <c r="GOR59" s="56"/>
      <c r="GOS59" s="105"/>
      <c r="GOZ59" s="56"/>
      <c r="GPA59" s="105"/>
      <c r="GPH59" s="56"/>
      <c r="GPI59" s="105"/>
      <c r="GPP59" s="56"/>
      <c r="GPQ59" s="105"/>
      <c r="GPX59" s="56"/>
      <c r="GPY59" s="105"/>
      <c r="GQF59" s="56"/>
      <c r="GQG59" s="105"/>
      <c r="GQN59" s="56"/>
      <c r="GQO59" s="105"/>
      <c r="GQV59" s="56"/>
      <c r="GQW59" s="105"/>
      <c r="GRD59" s="56"/>
      <c r="GRE59" s="105"/>
      <c r="GRL59" s="56"/>
      <c r="GRM59" s="105"/>
      <c r="GRT59" s="56"/>
      <c r="GRU59" s="105"/>
      <c r="GSB59" s="56"/>
      <c r="GSC59" s="105"/>
      <c r="GSJ59" s="56"/>
      <c r="GSK59" s="105"/>
      <c r="GSR59" s="56"/>
      <c r="GSS59" s="105"/>
      <c r="GSZ59" s="56"/>
      <c r="GTA59" s="105"/>
      <c r="GTH59" s="56"/>
      <c r="GTI59" s="105"/>
      <c r="GTP59" s="56"/>
      <c r="GTQ59" s="105"/>
      <c r="GTX59" s="56"/>
      <c r="GTY59" s="105"/>
      <c r="GUF59" s="56"/>
      <c r="GUG59" s="105"/>
      <c r="GUN59" s="56"/>
      <c r="GUO59" s="105"/>
      <c r="GUV59" s="56"/>
      <c r="GUW59" s="105"/>
      <c r="GVD59" s="56"/>
      <c r="GVE59" s="105"/>
      <c r="GVL59" s="56"/>
      <c r="GVM59" s="105"/>
      <c r="GVT59" s="56"/>
      <c r="GVU59" s="105"/>
      <c r="GWB59" s="56"/>
      <c r="GWC59" s="105"/>
      <c r="GWJ59" s="56"/>
      <c r="GWK59" s="105"/>
      <c r="GWR59" s="56"/>
      <c r="GWS59" s="105"/>
      <c r="GWZ59" s="56"/>
      <c r="GXA59" s="105"/>
      <c r="GXH59" s="56"/>
      <c r="GXI59" s="105"/>
      <c r="GXP59" s="56"/>
      <c r="GXQ59" s="105"/>
      <c r="GXX59" s="56"/>
      <c r="GXY59" s="105"/>
      <c r="GYF59" s="56"/>
      <c r="GYG59" s="105"/>
      <c r="GYN59" s="56"/>
      <c r="GYO59" s="105"/>
      <c r="GYV59" s="56"/>
      <c r="GYW59" s="105"/>
      <c r="GZD59" s="56"/>
      <c r="GZE59" s="105"/>
      <c r="GZL59" s="56"/>
      <c r="GZM59" s="105"/>
      <c r="GZT59" s="56"/>
      <c r="GZU59" s="105"/>
      <c r="HAB59" s="56"/>
      <c r="HAC59" s="105"/>
      <c r="HAJ59" s="56"/>
      <c r="HAK59" s="105"/>
      <c r="HAR59" s="56"/>
      <c r="HAS59" s="105"/>
      <c r="HAZ59" s="56"/>
      <c r="HBA59" s="105"/>
      <c r="HBH59" s="56"/>
      <c r="HBI59" s="105"/>
      <c r="HBP59" s="56"/>
      <c r="HBQ59" s="105"/>
      <c r="HBX59" s="56"/>
      <c r="HBY59" s="105"/>
      <c r="HCF59" s="56"/>
      <c r="HCG59" s="105"/>
      <c r="HCN59" s="56"/>
      <c r="HCO59" s="105"/>
      <c r="HCV59" s="56"/>
      <c r="HCW59" s="105"/>
      <c r="HDD59" s="56"/>
      <c r="HDE59" s="105"/>
      <c r="HDL59" s="56"/>
      <c r="HDM59" s="105"/>
      <c r="HDT59" s="56"/>
      <c r="HDU59" s="105"/>
      <c r="HEB59" s="56"/>
      <c r="HEC59" s="105"/>
      <c r="HEJ59" s="56"/>
      <c r="HEK59" s="105"/>
      <c r="HER59" s="56"/>
      <c r="HES59" s="105"/>
      <c r="HEZ59" s="56"/>
      <c r="HFA59" s="105"/>
      <c r="HFH59" s="56"/>
      <c r="HFI59" s="105"/>
      <c r="HFP59" s="56"/>
      <c r="HFQ59" s="105"/>
      <c r="HFX59" s="56"/>
      <c r="HFY59" s="105"/>
      <c r="HGF59" s="56"/>
      <c r="HGG59" s="105"/>
      <c r="HGN59" s="56"/>
      <c r="HGO59" s="105"/>
      <c r="HGV59" s="56"/>
      <c r="HGW59" s="105"/>
      <c r="HHD59" s="56"/>
      <c r="HHE59" s="105"/>
      <c r="HHL59" s="56"/>
      <c r="HHM59" s="105"/>
      <c r="HHT59" s="56"/>
      <c r="HHU59" s="105"/>
      <c r="HIB59" s="56"/>
      <c r="HIC59" s="105"/>
      <c r="HIJ59" s="56"/>
      <c r="HIK59" s="105"/>
      <c r="HIR59" s="56"/>
      <c r="HIS59" s="105"/>
      <c r="HIZ59" s="56"/>
      <c r="HJA59" s="105"/>
      <c r="HJH59" s="56"/>
      <c r="HJI59" s="105"/>
      <c r="HJP59" s="56"/>
      <c r="HJQ59" s="105"/>
      <c r="HJX59" s="56"/>
      <c r="HJY59" s="105"/>
      <c r="HKF59" s="56"/>
      <c r="HKG59" s="105"/>
      <c r="HKN59" s="56"/>
      <c r="HKO59" s="105"/>
      <c r="HKV59" s="56"/>
      <c r="HKW59" s="105"/>
      <c r="HLD59" s="56"/>
      <c r="HLE59" s="105"/>
      <c r="HLL59" s="56"/>
      <c r="HLM59" s="105"/>
      <c r="HLT59" s="56"/>
      <c r="HLU59" s="105"/>
      <c r="HMB59" s="56"/>
      <c r="HMC59" s="105"/>
      <c r="HMJ59" s="56"/>
      <c r="HMK59" s="105"/>
      <c r="HMR59" s="56"/>
      <c r="HMS59" s="105"/>
      <c r="HMZ59" s="56"/>
      <c r="HNA59" s="105"/>
      <c r="HNH59" s="56"/>
      <c r="HNI59" s="105"/>
      <c r="HNP59" s="56"/>
      <c r="HNQ59" s="105"/>
      <c r="HNX59" s="56"/>
      <c r="HNY59" s="105"/>
      <c r="HOF59" s="56"/>
      <c r="HOG59" s="105"/>
      <c r="HON59" s="56"/>
      <c r="HOO59" s="105"/>
      <c r="HOV59" s="56"/>
      <c r="HOW59" s="105"/>
      <c r="HPD59" s="56"/>
      <c r="HPE59" s="105"/>
      <c r="HPL59" s="56"/>
      <c r="HPM59" s="105"/>
      <c r="HPT59" s="56"/>
      <c r="HPU59" s="105"/>
      <c r="HQB59" s="56"/>
      <c r="HQC59" s="105"/>
      <c r="HQJ59" s="56"/>
      <c r="HQK59" s="105"/>
      <c r="HQR59" s="56"/>
      <c r="HQS59" s="105"/>
      <c r="HQZ59" s="56"/>
      <c r="HRA59" s="105"/>
      <c r="HRH59" s="56"/>
      <c r="HRI59" s="105"/>
      <c r="HRP59" s="56"/>
      <c r="HRQ59" s="105"/>
      <c r="HRX59" s="56"/>
      <c r="HRY59" s="105"/>
      <c r="HSF59" s="56"/>
      <c r="HSG59" s="105"/>
      <c r="HSN59" s="56"/>
      <c r="HSO59" s="105"/>
      <c r="HSV59" s="56"/>
      <c r="HSW59" s="105"/>
      <c r="HTD59" s="56"/>
      <c r="HTE59" s="105"/>
      <c r="HTL59" s="56"/>
      <c r="HTM59" s="105"/>
      <c r="HTT59" s="56"/>
      <c r="HTU59" s="105"/>
      <c r="HUB59" s="56"/>
      <c r="HUC59" s="105"/>
      <c r="HUJ59" s="56"/>
      <c r="HUK59" s="105"/>
      <c r="HUR59" s="56"/>
      <c r="HUS59" s="105"/>
      <c r="HUZ59" s="56"/>
      <c r="HVA59" s="105"/>
      <c r="HVH59" s="56"/>
      <c r="HVI59" s="105"/>
      <c r="HVP59" s="56"/>
      <c r="HVQ59" s="105"/>
      <c r="HVX59" s="56"/>
      <c r="HVY59" s="105"/>
      <c r="HWF59" s="56"/>
      <c r="HWG59" s="105"/>
      <c r="HWN59" s="56"/>
      <c r="HWO59" s="105"/>
      <c r="HWV59" s="56"/>
      <c r="HWW59" s="105"/>
      <c r="HXD59" s="56"/>
      <c r="HXE59" s="105"/>
      <c r="HXL59" s="56"/>
      <c r="HXM59" s="105"/>
      <c r="HXT59" s="56"/>
      <c r="HXU59" s="105"/>
      <c r="HYB59" s="56"/>
      <c r="HYC59" s="105"/>
      <c r="HYJ59" s="56"/>
      <c r="HYK59" s="105"/>
      <c r="HYR59" s="56"/>
      <c r="HYS59" s="105"/>
      <c r="HYZ59" s="56"/>
      <c r="HZA59" s="105"/>
      <c r="HZH59" s="56"/>
      <c r="HZI59" s="105"/>
      <c r="HZP59" s="56"/>
      <c r="HZQ59" s="105"/>
      <c r="HZX59" s="56"/>
      <c r="HZY59" s="105"/>
      <c r="IAF59" s="56"/>
      <c r="IAG59" s="105"/>
      <c r="IAN59" s="56"/>
      <c r="IAO59" s="105"/>
      <c r="IAV59" s="56"/>
      <c r="IAW59" s="105"/>
      <c r="IBD59" s="56"/>
      <c r="IBE59" s="105"/>
      <c r="IBL59" s="56"/>
      <c r="IBM59" s="105"/>
      <c r="IBT59" s="56"/>
      <c r="IBU59" s="105"/>
      <c r="ICB59" s="56"/>
      <c r="ICC59" s="105"/>
      <c r="ICJ59" s="56"/>
      <c r="ICK59" s="105"/>
      <c r="ICR59" s="56"/>
      <c r="ICS59" s="105"/>
      <c r="ICZ59" s="56"/>
      <c r="IDA59" s="105"/>
      <c r="IDH59" s="56"/>
      <c r="IDI59" s="105"/>
      <c r="IDP59" s="56"/>
      <c r="IDQ59" s="105"/>
      <c r="IDX59" s="56"/>
      <c r="IDY59" s="105"/>
      <c r="IEF59" s="56"/>
      <c r="IEG59" s="105"/>
      <c r="IEN59" s="56"/>
      <c r="IEO59" s="105"/>
      <c r="IEV59" s="56"/>
      <c r="IEW59" s="105"/>
      <c r="IFD59" s="56"/>
      <c r="IFE59" s="105"/>
      <c r="IFL59" s="56"/>
      <c r="IFM59" s="105"/>
      <c r="IFT59" s="56"/>
      <c r="IFU59" s="105"/>
      <c r="IGB59" s="56"/>
      <c r="IGC59" s="105"/>
      <c r="IGJ59" s="56"/>
      <c r="IGK59" s="105"/>
      <c r="IGR59" s="56"/>
      <c r="IGS59" s="105"/>
      <c r="IGZ59" s="56"/>
      <c r="IHA59" s="105"/>
      <c r="IHH59" s="56"/>
      <c r="IHI59" s="105"/>
      <c r="IHP59" s="56"/>
      <c r="IHQ59" s="105"/>
      <c r="IHX59" s="56"/>
      <c r="IHY59" s="105"/>
      <c r="IIF59" s="56"/>
      <c r="IIG59" s="105"/>
      <c r="IIN59" s="56"/>
      <c r="IIO59" s="105"/>
      <c r="IIV59" s="56"/>
      <c r="IIW59" s="105"/>
      <c r="IJD59" s="56"/>
      <c r="IJE59" s="105"/>
      <c r="IJL59" s="56"/>
      <c r="IJM59" s="105"/>
      <c r="IJT59" s="56"/>
      <c r="IJU59" s="105"/>
      <c r="IKB59" s="56"/>
      <c r="IKC59" s="105"/>
      <c r="IKJ59" s="56"/>
      <c r="IKK59" s="105"/>
      <c r="IKR59" s="56"/>
      <c r="IKS59" s="105"/>
      <c r="IKZ59" s="56"/>
      <c r="ILA59" s="105"/>
      <c r="ILH59" s="56"/>
      <c r="ILI59" s="105"/>
      <c r="ILP59" s="56"/>
      <c r="ILQ59" s="105"/>
      <c r="ILX59" s="56"/>
      <c r="ILY59" s="105"/>
      <c r="IMF59" s="56"/>
      <c r="IMG59" s="105"/>
      <c r="IMN59" s="56"/>
      <c r="IMO59" s="105"/>
      <c r="IMV59" s="56"/>
      <c r="IMW59" s="105"/>
      <c r="IND59" s="56"/>
      <c r="INE59" s="105"/>
      <c r="INL59" s="56"/>
      <c r="INM59" s="105"/>
      <c r="INT59" s="56"/>
      <c r="INU59" s="105"/>
      <c r="IOB59" s="56"/>
      <c r="IOC59" s="105"/>
      <c r="IOJ59" s="56"/>
      <c r="IOK59" s="105"/>
      <c r="IOR59" s="56"/>
      <c r="IOS59" s="105"/>
      <c r="IOZ59" s="56"/>
      <c r="IPA59" s="105"/>
      <c r="IPH59" s="56"/>
      <c r="IPI59" s="105"/>
      <c r="IPP59" s="56"/>
      <c r="IPQ59" s="105"/>
      <c r="IPX59" s="56"/>
      <c r="IPY59" s="105"/>
      <c r="IQF59" s="56"/>
      <c r="IQG59" s="105"/>
      <c r="IQN59" s="56"/>
      <c r="IQO59" s="105"/>
      <c r="IQV59" s="56"/>
      <c r="IQW59" s="105"/>
      <c r="IRD59" s="56"/>
      <c r="IRE59" s="105"/>
      <c r="IRL59" s="56"/>
      <c r="IRM59" s="105"/>
      <c r="IRT59" s="56"/>
      <c r="IRU59" s="105"/>
      <c r="ISB59" s="56"/>
      <c r="ISC59" s="105"/>
      <c r="ISJ59" s="56"/>
      <c r="ISK59" s="105"/>
      <c r="ISR59" s="56"/>
      <c r="ISS59" s="105"/>
      <c r="ISZ59" s="56"/>
      <c r="ITA59" s="105"/>
      <c r="ITH59" s="56"/>
      <c r="ITI59" s="105"/>
      <c r="ITP59" s="56"/>
      <c r="ITQ59" s="105"/>
      <c r="ITX59" s="56"/>
      <c r="ITY59" s="105"/>
      <c r="IUF59" s="56"/>
      <c r="IUG59" s="105"/>
      <c r="IUN59" s="56"/>
      <c r="IUO59" s="105"/>
      <c r="IUV59" s="56"/>
      <c r="IUW59" s="105"/>
      <c r="IVD59" s="56"/>
      <c r="IVE59" s="105"/>
      <c r="IVL59" s="56"/>
      <c r="IVM59" s="105"/>
      <c r="IVT59" s="56"/>
      <c r="IVU59" s="105"/>
      <c r="IWB59" s="56"/>
      <c r="IWC59" s="105"/>
      <c r="IWJ59" s="56"/>
      <c r="IWK59" s="105"/>
      <c r="IWR59" s="56"/>
      <c r="IWS59" s="105"/>
      <c r="IWZ59" s="56"/>
      <c r="IXA59" s="105"/>
      <c r="IXH59" s="56"/>
      <c r="IXI59" s="105"/>
      <c r="IXP59" s="56"/>
      <c r="IXQ59" s="105"/>
      <c r="IXX59" s="56"/>
      <c r="IXY59" s="105"/>
      <c r="IYF59" s="56"/>
      <c r="IYG59" s="105"/>
      <c r="IYN59" s="56"/>
      <c r="IYO59" s="105"/>
      <c r="IYV59" s="56"/>
      <c r="IYW59" s="105"/>
      <c r="IZD59" s="56"/>
      <c r="IZE59" s="105"/>
      <c r="IZL59" s="56"/>
      <c r="IZM59" s="105"/>
      <c r="IZT59" s="56"/>
      <c r="IZU59" s="105"/>
      <c r="JAB59" s="56"/>
      <c r="JAC59" s="105"/>
      <c r="JAJ59" s="56"/>
      <c r="JAK59" s="105"/>
      <c r="JAR59" s="56"/>
      <c r="JAS59" s="105"/>
      <c r="JAZ59" s="56"/>
      <c r="JBA59" s="105"/>
      <c r="JBH59" s="56"/>
      <c r="JBI59" s="105"/>
      <c r="JBP59" s="56"/>
      <c r="JBQ59" s="105"/>
      <c r="JBX59" s="56"/>
      <c r="JBY59" s="105"/>
      <c r="JCF59" s="56"/>
      <c r="JCG59" s="105"/>
      <c r="JCN59" s="56"/>
      <c r="JCO59" s="105"/>
      <c r="JCV59" s="56"/>
      <c r="JCW59" s="105"/>
      <c r="JDD59" s="56"/>
      <c r="JDE59" s="105"/>
      <c r="JDL59" s="56"/>
      <c r="JDM59" s="105"/>
      <c r="JDT59" s="56"/>
      <c r="JDU59" s="105"/>
      <c r="JEB59" s="56"/>
      <c r="JEC59" s="105"/>
      <c r="JEJ59" s="56"/>
      <c r="JEK59" s="105"/>
      <c r="JER59" s="56"/>
      <c r="JES59" s="105"/>
      <c r="JEZ59" s="56"/>
      <c r="JFA59" s="105"/>
      <c r="JFH59" s="56"/>
      <c r="JFI59" s="105"/>
      <c r="JFP59" s="56"/>
      <c r="JFQ59" s="105"/>
      <c r="JFX59" s="56"/>
      <c r="JFY59" s="105"/>
      <c r="JGF59" s="56"/>
      <c r="JGG59" s="105"/>
      <c r="JGN59" s="56"/>
      <c r="JGO59" s="105"/>
      <c r="JGV59" s="56"/>
      <c r="JGW59" s="105"/>
      <c r="JHD59" s="56"/>
      <c r="JHE59" s="105"/>
      <c r="JHL59" s="56"/>
      <c r="JHM59" s="105"/>
      <c r="JHT59" s="56"/>
      <c r="JHU59" s="105"/>
      <c r="JIB59" s="56"/>
      <c r="JIC59" s="105"/>
      <c r="JIJ59" s="56"/>
      <c r="JIK59" s="105"/>
      <c r="JIR59" s="56"/>
      <c r="JIS59" s="105"/>
      <c r="JIZ59" s="56"/>
      <c r="JJA59" s="105"/>
      <c r="JJH59" s="56"/>
      <c r="JJI59" s="105"/>
      <c r="JJP59" s="56"/>
      <c r="JJQ59" s="105"/>
      <c r="JJX59" s="56"/>
      <c r="JJY59" s="105"/>
      <c r="JKF59" s="56"/>
      <c r="JKG59" s="105"/>
      <c r="JKN59" s="56"/>
      <c r="JKO59" s="105"/>
      <c r="JKV59" s="56"/>
      <c r="JKW59" s="105"/>
      <c r="JLD59" s="56"/>
      <c r="JLE59" s="105"/>
      <c r="JLL59" s="56"/>
      <c r="JLM59" s="105"/>
      <c r="JLT59" s="56"/>
      <c r="JLU59" s="105"/>
      <c r="JMB59" s="56"/>
      <c r="JMC59" s="105"/>
      <c r="JMJ59" s="56"/>
      <c r="JMK59" s="105"/>
      <c r="JMR59" s="56"/>
      <c r="JMS59" s="105"/>
      <c r="JMZ59" s="56"/>
      <c r="JNA59" s="105"/>
      <c r="JNH59" s="56"/>
      <c r="JNI59" s="105"/>
      <c r="JNP59" s="56"/>
      <c r="JNQ59" s="105"/>
      <c r="JNX59" s="56"/>
      <c r="JNY59" s="105"/>
      <c r="JOF59" s="56"/>
      <c r="JOG59" s="105"/>
      <c r="JON59" s="56"/>
      <c r="JOO59" s="105"/>
      <c r="JOV59" s="56"/>
      <c r="JOW59" s="105"/>
      <c r="JPD59" s="56"/>
      <c r="JPE59" s="105"/>
      <c r="JPL59" s="56"/>
      <c r="JPM59" s="105"/>
      <c r="JPT59" s="56"/>
      <c r="JPU59" s="105"/>
      <c r="JQB59" s="56"/>
      <c r="JQC59" s="105"/>
      <c r="JQJ59" s="56"/>
      <c r="JQK59" s="105"/>
      <c r="JQR59" s="56"/>
      <c r="JQS59" s="105"/>
      <c r="JQZ59" s="56"/>
      <c r="JRA59" s="105"/>
      <c r="JRH59" s="56"/>
      <c r="JRI59" s="105"/>
      <c r="JRP59" s="56"/>
      <c r="JRQ59" s="105"/>
      <c r="JRX59" s="56"/>
      <c r="JRY59" s="105"/>
      <c r="JSF59" s="56"/>
      <c r="JSG59" s="105"/>
      <c r="JSN59" s="56"/>
      <c r="JSO59" s="105"/>
      <c r="JSV59" s="56"/>
      <c r="JSW59" s="105"/>
      <c r="JTD59" s="56"/>
      <c r="JTE59" s="105"/>
      <c r="JTL59" s="56"/>
      <c r="JTM59" s="105"/>
      <c r="JTT59" s="56"/>
      <c r="JTU59" s="105"/>
      <c r="JUB59" s="56"/>
      <c r="JUC59" s="105"/>
      <c r="JUJ59" s="56"/>
      <c r="JUK59" s="105"/>
      <c r="JUR59" s="56"/>
      <c r="JUS59" s="105"/>
      <c r="JUZ59" s="56"/>
      <c r="JVA59" s="105"/>
      <c r="JVH59" s="56"/>
      <c r="JVI59" s="105"/>
      <c r="JVP59" s="56"/>
      <c r="JVQ59" s="105"/>
      <c r="JVX59" s="56"/>
      <c r="JVY59" s="105"/>
      <c r="JWF59" s="56"/>
      <c r="JWG59" s="105"/>
      <c r="JWN59" s="56"/>
      <c r="JWO59" s="105"/>
      <c r="JWV59" s="56"/>
      <c r="JWW59" s="105"/>
      <c r="JXD59" s="56"/>
      <c r="JXE59" s="105"/>
      <c r="JXL59" s="56"/>
      <c r="JXM59" s="105"/>
      <c r="JXT59" s="56"/>
      <c r="JXU59" s="105"/>
      <c r="JYB59" s="56"/>
      <c r="JYC59" s="105"/>
      <c r="JYJ59" s="56"/>
      <c r="JYK59" s="105"/>
      <c r="JYR59" s="56"/>
      <c r="JYS59" s="105"/>
      <c r="JYZ59" s="56"/>
      <c r="JZA59" s="105"/>
      <c r="JZH59" s="56"/>
      <c r="JZI59" s="105"/>
      <c r="JZP59" s="56"/>
      <c r="JZQ59" s="105"/>
      <c r="JZX59" s="56"/>
      <c r="JZY59" s="105"/>
      <c r="KAF59" s="56"/>
      <c r="KAG59" s="105"/>
      <c r="KAN59" s="56"/>
      <c r="KAO59" s="105"/>
      <c r="KAV59" s="56"/>
      <c r="KAW59" s="105"/>
      <c r="KBD59" s="56"/>
      <c r="KBE59" s="105"/>
      <c r="KBL59" s="56"/>
      <c r="KBM59" s="105"/>
      <c r="KBT59" s="56"/>
      <c r="KBU59" s="105"/>
      <c r="KCB59" s="56"/>
      <c r="KCC59" s="105"/>
      <c r="KCJ59" s="56"/>
      <c r="KCK59" s="105"/>
      <c r="KCR59" s="56"/>
      <c r="KCS59" s="105"/>
      <c r="KCZ59" s="56"/>
      <c r="KDA59" s="105"/>
      <c r="KDH59" s="56"/>
      <c r="KDI59" s="105"/>
      <c r="KDP59" s="56"/>
      <c r="KDQ59" s="105"/>
      <c r="KDX59" s="56"/>
      <c r="KDY59" s="105"/>
      <c r="KEF59" s="56"/>
      <c r="KEG59" s="105"/>
      <c r="KEN59" s="56"/>
      <c r="KEO59" s="105"/>
      <c r="KEV59" s="56"/>
      <c r="KEW59" s="105"/>
      <c r="KFD59" s="56"/>
      <c r="KFE59" s="105"/>
      <c r="KFL59" s="56"/>
      <c r="KFM59" s="105"/>
      <c r="KFT59" s="56"/>
      <c r="KFU59" s="105"/>
      <c r="KGB59" s="56"/>
      <c r="KGC59" s="105"/>
      <c r="KGJ59" s="56"/>
      <c r="KGK59" s="105"/>
      <c r="KGR59" s="56"/>
      <c r="KGS59" s="105"/>
      <c r="KGZ59" s="56"/>
      <c r="KHA59" s="105"/>
      <c r="KHH59" s="56"/>
      <c r="KHI59" s="105"/>
      <c r="KHP59" s="56"/>
      <c r="KHQ59" s="105"/>
      <c r="KHX59" s="56"/>
      <c r="KHY59" s="105"/>
      <c r="KIF59" s="56"/>
      <c r="KIG59" s="105"/>
      <c r="KIN59" s="56"/>
      <c r="KIO59" s="105"/>
      <c r="KIV59" s="56"/>
      <c r="KIW59" s="105"/>
      <c r="KJD59" s="56"/>
      <c r="KJE59" s="105"/>
      <c r="KJL59" s="56"/>
      <c r="KJM59" s="105"/>
      <c r="KJT59" s="56"/>
      <c r="KJU59" s="105"/>
      <c r="KKB59" s="56"/>
      <c r="KKC59" s="105"/>
      <c r="KKJ59" s="56"/>
      <c r="KKK59" s="105"/>
      <c r="KKR59" s="56"/>
      <c r="KKS59" s="105"/>
      <c r="KKZ59" s="56"/>
      <c r="KLA59" s="105"/>
      <c r="KLH59" s="56"/>
      <c r="KLI59" s="105"/>
      <c r="KLP59" s="56"/>
      <c r="KLQ59" s="105"/>
      <c r="KLX59" s="56"/>
      <c r="KLY59" s="105"/>
      <c r="KMF59" s="56"/>
      <c r="KMG59" s="105"/>
      <c r="KMN59" s="56"/>
      <c r="KMO59" s="105"/>
      <c r="KMV59" s="56"/>
      <c r="KMW59" s="105"/>
      <c r="KND59" s="56"/>
      <c r="KNE59" s="105"/>
      <c r="KNL59" s="56"/>
      <c r="KNM59" s="105"/>
      <c r="KNT59" s="56"/>
      <c r="KNU59" s="105"/>
      <c r="KOB59" s="56"/>
      <c r="KOC59" s="105"/>
      <c r="KOJ59" s="56"/>
      <c r="KOK59" s="105"/>
      <c r="KOR59" s="56"/>
      <c r="KOS59" s="105"/>
      <c r="KOZ59" s="56"/>
      <c r="KPA59" s="105"/>
      <c r="KPH59" s="56"/>
      <c r="KPI59" s="105"/>
      <c r="KPP59" s="56"/>
      <c r="KPQ59" s="105"/>
      <c r="KPX59" s="56"/>
      <c r="KPY59" s="105"/>
      <c r="KQF59" s="56"/>
      <c r="KQG59" s="105"/>
      <c r="KQN59" s="56"/>
      <c r="KQO59" s="105"/>
      <c r="KQV59" s="56"/>
      <c r="KQW59" s="105"/>
      <c r="KRD59" s="56"/>
      <c r="KRE59" s="105"/>
      <c r="KRL59" s="56"/>
      <c r="KRM59" s="105"/>
      <c r="KRT59" s="56"/>
      <c r="KRU59" s="105"/>
      <c r="KSB59" s="56"/>
      <c r="KSC59" s="105"/>
      <c r="KSJ59" s="56"/>
      <c r="KSK59" s="105"/>
      <c r="KSR59" s="56"/>
      <c r="KSS59" s="105"/>
      <c r="KSZ59" s="56"/>
      <c r="KTA59" s="105"/>
      <c r="KTH59" s="56"/>
      <c r="KTI59" s="105"/>
      <c r="KTP59" s="56"/>
      <c r="KTQ59" s="105"/>
      <c r="KTX59" s="56"/>
      <c r="KTY59" s="105"/>
      <c r="KUF59" s="56"/>
      <c r="KUG59" s="105"/>
      <c r="KUN59" s="56"/>
      <c r="KUO59" s="105"/>
      <c r="KUV59" s="56"/>
      <c r="KUW59" s="105"/>
      <c r="KVD59" s="56"/>
      <c r="KVE59" s="105"/>
      <c r="KVL59" s="56"/>
      <c r="KVM59" s="105"/>
      <c r="KVT59" s="56"/>
      <c r="KVU59" s="105"/>
      <c r="KWB59" s="56"/>
      <c r="KWC59" s="105"/>
      <c r="KWJ59" s="56"/>
      <c r="KWK59" s="105"/>
      <c r="KWR59" s="56"/>
      <c r="KWS59" s="105"/>
      <c r="KWZ59" s="56"/>
      <c r="KXA59" s="105"/>
      <c r="KXH59" s="56"/>
      <c r="KXI59" s="105"/>
      <c r="KXP59" s="56"/>
      <c r="KXQ59" s="105"/>
      <c r="KXX59" s="56"/>
      <c r="KXY59" s="105"/>
      <c r="KYF59" s="56"/>
      <c r="KYG59" s="105"/>
      <c r="KYN59" s="56"/>
      <c r="KYO59" s="105"/>
      <c r="KYV59" s="56"/>
      <c r="KYW59" s="105"/>
      <c r="KZD59" s="56"/>
      <c r="KZE59" s="105"/>
      <c r="KZL59" s="56"/>
      <c r="KZM59" s="105"/>
      <c r="KZT59" s="56"/>
      <c r="KZU59" s="105"/>
      <c r="LAB59" s="56"/>
      <c r="LAC59" s="105"/>
      <c r="LAJ59" s="56"/>
      <c r="LAK59" s="105"/>
      <c r="LAR59" s="56"/>
      <c r="LAS59" s="105"/>
      <c r="LAZ59" s="56"/>
      <c r="LBA59" s="105"/>
      <c r="LBH59" s="56"/>
      <c r="LBI59" s="105"/>
      <c r="LBP59" s="56"/>
      <c r="LBQ59" s="105"/>
      <c r="LBX59" s="56"/>
      <c r="LBY59" s="105"/>
      <c r="LCF59" s="56"/>
      <c r="LCG59" s="105"/>
      <c r="LCN59" s="56"/>
      <c r="LCO59" s="105"/>
      <c r="LCV59" s="56"/>
      <c r="LCW59" s="105"/>
      <c r="LDD59" s="56"/>
      <c r="LDE59" s="105"/>
      <c r="LDL59" s="56"/>
      <c r="LDM59" s="105"/>
      <c r="LDT59" s="56"/>
      <c r="LDU59" s="105"/>
      <c r="LEB59" s="56"/>
      <c r="LEC59" s="105"/>
      <c r="LEJ59" s="56"/>
      <c r="LEK59" s="105"/>
      <c r="LER59" s="56"/>
      <c r="LES59" s="105"/>
      <c r="LEZ59" s="56"/>
      <c r="LFA59" s="105"/>
      <c r="LFH59" s="56"/>
      <c r="LFI59" s="105"/>
      <c r="LFP59" s="56"/>
      <c r="LFQ59" s="105"/>
      <c r="LFX59" s="56"/>
      <c r="LFY59" s="105"/>
      <c r="LGF59" s="56"/>
      <c r="LGG59" s="105"/>
      <c r="LGN59" s="56"/>
      <c r="LGO59" s="105"/>
      <c r="LGV59" s="56"/>
      <c r="LGW59" s="105"/>
      <c r="LHD59" s="56"/>
      <c r="LHE59" s="105"/>
      <c r="LHL59" s="56"/>
      <c r="LHM59" s="105"/>
      <c r="LHT59" s="56"/>
      <c r="LHU59" s="105"/>
      <c r="LIB59" s="56"/>
      <c r="LIC59" s="105"/>
      <c r="LIJ59" s="56"/>
      <c r="LIK59" s="105"/>
      <c r="LIR59" s="56"/>
      <c r="LIS59" s="105"/>
      <c r="LIZ59" s="56"/>
      <c r="LJA59" s="105"/>
      <c r="LJH59" s="56"/>
      <c r="LJI59" s="105"/>
      <c r="LJP59" s="56"/>
      <c r="LJQ59" s="105"/>
      <c r="LJX59" s="56"/>
      <c r="LJY59" s="105"/>
      <c r="LKF59" s="56"/>
      <c r="LKG59" s="105"/>
      <c r="LKN59" s="56"/>
      <c r="LKO59" s="105"/>
      <c r="LKV59" s="56"/>
      <c r="LKW59" s="105"/>
      <c r="LLD59" s="56"/>
      <c r="LLE59" s="105"/>
      <c r="LLL59" s="56"/>
      <c r="LLM59" s="105"/>
      <c r="LLT59" s="56"/>
      <c r="LLU59" s="105"/>
      <c r="LMB59" s="56"/>
      <c r="LMC59" s="105"/>
      <c r="LMJ59" s="56"/>
      <c r="LMK59" s="105"/>
      <c r="LMR59" s="56"/>
      <c r="LMS59" s="105"/>
      <c r="LMZ59" s="56"/>
      <c r="LNA59" s="105"/>
      <c r="LNH59" s="56"/>
      <c r="LNI59" s="105"/>
      <c r="LNP59" s="56"/>
      <c r="LNQ59" s="105"/>
      <c r="LNX59" s="56"/>
      <c r="LNY59" s="105"/>
      <c r="LOF59" s="56"/>
      <c r="LOG59" s="105"/>
      <c r="LON59" s="56"/>
      <c r="LOO59" s="105"/>
      <c r="LOV59" s="56"/>
      <c r="LOW59" s="105"/>
      <c r="LPD59" s="56"/>
      <c r="LPE59" s="105"/>
      <c r="LPL59" s="56"/>
      <c r="LPM59" s="105"/>
      <c r="LPT59" s="56"/>
      <c r="LPU59" s="105"/>
      <c r="LQB59" s="56"/>
      <c r="LQC59" s="105"/>
      <c r="LQJ59" s="56"/>
      <c r="LQK59" s="105"/>
      <c r="LQR59" s="56"/>
      <c r="LQS59" s="105"/>
      <c r="LQZ59" s="56"/>
      <c r="LRA59" s="105"/>
      <c r="LRH59" s="56"/>
      <c r="LRI59" s="105"/>
      <c r="LRP59" s="56"/>
      <c r="LRQ59" s="105"/>
      <c r="LRX59" s="56"/>
      <c r="LRY59" s="105"/>
      <c r="LSF59" s="56"/>
      <c r="LSG59" s="105"/>
      <c r="LSN59" s="56"/>
      <c r="LSO59" s="105"/>
      <c r="LSV59" s="56"/>
      <c r="LSW59" s="105"/>
      <c r="LTD59" s="56"/>
      <c r="LTE59" s="105"/>
      <c r="LTL59" s="56"/>
      <c r="LTM59" s="105"/>
      <c r="LTT59" s="56"/>
      <c r="LTU59" s="105"/>
      <c r="LUB59" s="56"/>
      <c r="LUC59" s="105"/>
      <c r="LUJ59" s="56"/>
      <c r="LUK59" s="105"/>
      <c r="LUR59" s="56"/>
      <c r="LUS59" s="105"/>
      <c r="LUZ59" s="56"/>
      <c r="LVA59" s="105"/>
      <c r="LVH59" s="56"/>
      <c r="LVI59" s="105"/>
      <c r="LVP59" s="56"/>
      <c r="LVQ59" s="105"/>
      <c r="LVX59" s="56"/>
      <c r="LVY59" s="105"/>
      <c r="LWF59" s="56"/>
      <c r="LWG59" s="105"/>
      <c r="LWN59" s="56"/>
      <c r="LWO59" s="105"/>
      <c r="LWV59" s="56"/>
      <c r="LWW59" s="105"/>
      <c r="LXD59" s="56"/>
      <c r="LXE59" s="105"/>
      <c r="LXL59" s="56"/>
      <c r="LXM59" s="105"/>
      <c r="LXT59" s="56"/>
      <c r="LXU59" s="105"/>
      <c r="LYB59" s="56"/>
      <c r="LYC59" s="105"/>
      <c r="LYJ59" s="56"/>
      <c r="LYK59" s="105"/>
      <c r="LYR59" s="56"/>
      <c r="LYS59" s="105"/>
      <c r="LYZ59" s="56"/>
      <c r="LZA59" s="105"/>
      <c r="LZH59" s="56"/>
      <c r="LZI59" s="105"/>
      <c r="LZP59" s="56"/>
      <c r="LZQ59" s="105"/>
      <c r="LZX59" s="56"/>
      <c r="LZY59" s="105"/>
      <c r="MAF59" s="56"/>
      <c r="MAG59" s="105"/>
      <c r="MAN59" s="56"/>
      <c r="MAO59" s="105"/>
      <c r="MAV59" s="56"/>
      <c r="MAW59" s="105"/>
      <c r="MBD59" s="56"/>
      <c r="MBE59" s="105"/>
      <c r="MBL59" s="56"/>
      <c r="MBM59" s="105"/>
      <c r="MBT59" s="56"/>
      <c r="MBU59" s="105"/>
      <c r="MCB59" s="56"/>
      <c r="MCC59" s="105"/>
      <c r="MCJ59" s="56"/>
      <c r="MCK59" s="105"/>
      <c r="MCR59" s="56"/>
      <c r="MCS59" s="105"/>
      <c r="MCZ59" s="56"/>
      <c r="MDA59" s="105"/>
      <c r="MDH59" s="56"/>
      <c r="MDI59" s="105"/>
      <c r="MDP59" s="56"/>
      <c r="MDQ59" s="105"/>
      <c r="MDX59" s="56"/>
      <c r="MDY59" s="105"/>
      <c r="MEF59" s="56"/>
      <c r="MEG59" s="105"/>
      <c r="MEN59" s="56"/>
      <c r="MEO59" s="105"/>
      <c r="MEV59" s="56"/>
      <c r="MEW59" s="105"/>
      <c r="MFD59" s="56"/>
      <c r="MFE59" s="105"/>
      <c r="MFL59" s="56"/>
      <c r="MFM59" s="105"/>
      <c r="MFT59" s="56"/>
      <c r="MFU59" s="105"/>
      <c r="MGB59" s="56"/>
      <c r="MGC59" s="105"/>
      <c r="MGJ59" s="56"/>
      <c r="MGK59" s="105"/>
      <c r="MGR59" s="56"/>
      <c r="MGS59" s="105"/>
      <c r="MGZ59" s="56"/>
      <c r="MHA59" s="105"/>
      <c r="MHH59" s="56"/>
      <c r="MHI59" s="105"/>
      <c r="MHP59" s="56"/>
      <c r="MHQ59" s="105"/>
      <c r="MHX59" s="56"/>
      <c r="MHY59" s="105"/>
      <c r="MIF59" s="56"/>
      <c r="MIG59" s="105"/>
      <c r="MIN59" s="56"/>
      <c r="MIO59" s="105"/>
      <c r="MIV59" s="56"/>
      <c r="MIW59" s="105"/>
      <c r="MJD59" s="56"/>
      <c r="MJE59" s="105"/>
      <c r="MJL59" s="56"/>
      <c r="MJM59" s="105"/>
      <c r="MJT59" s="56"/>
      <c r="MJU59" s="105"/>
      <c r="MKB59" s="56"/>
      <c r="MKC59" s="105"/>
      <c r="MKJ59" s="56"/>
      <c r="MKK59" s="105"/>
      <c r="MKR59" s="56"/>
      <c r="MKS59" s="105"/>
      <c r="MKZ59" s="56"/>
      <c r="MLA59" s="105"/>
      <c r="MLH59" s="56"/>
      <c r="MLI59" s="105"/>
      <c r="MLP59" s="56"/>
      <c r="MLQ59" s="105"/>
      <c r="MLX59" s="56"/>
      <c r="MLY59" s="105"/>
      <c r="MMF59" s="56"/>
      <c r="MMG59" s="105"/>
      <c r="MMN59" s="56"/>
      <c r="MMO59" s="105"/>
      <c r="MMV59" s="56"/>
      <c r="MMW59" s="105"/>
      <c r="MND59" s="56"/>
      <c r="MNE59" s="105"/>
      <c r="MNL59" s="56"/>
      <c r="MNM59" s="105"/>
      <c r="MNT59" s="56"/>
      <c r="MNU59" s="105"/>
      <c r="MOB59" s="56"/>
      <c r="MOC59" s="105"/>
      <c r="MOJ59" s="56"/>
      <c r="MOK59" s="105"/>
      <c r="MOR59" s="56"/>
      <c r="MOS59" s="105"/>
      <c r="MOZ59" s="56"/>
      <c r="MPA59" s="105"/>
      <c r="MPH59" s="56"/>
      <c r="MPI59" s="105"/>
      <c r="MPP59" s="56"/>
      <c r="MPQ59" s="105"/>
      <c r="MPX59" s="56"/>
      <c r="MPY59" s="105"/>
      <c r="MQF59" s="56"/>
      <c r="MQG59" s="105"/>
      <c r="MQN59" s="56"/>
      <c r="MQO59" s="105"/>
      <c r="MQV59" s="56"/>
      <c r="MQW59" s="105"/>
      <c r="MRD59" s="56"/>
      <c r="MRE59" s="105"/>
      <c r="MRL59" s="56"/>
      <c r="MRM59" s="105"/>
      <c r="MRT59" s="56"/>
      <c r="MRU59" s="105"/>
      <c r="MSB59" s="56"/>
      <c r="MSC59" s="105"/>
      <c r="MSJ59" s="56"/>
      <c r="MSK59" s="105"/>
      <c r="MSR59" s="56"/>
      <c r="MSS59" s="105"/>
      <c r="MSZ59" s="56"/>
      <c r="MTA59" s="105"/>
      <c r="MTH59" s="56"/>
      <c r="MTI59" s="105"/>
      <c r="MTP59" s="56"/>
      <c r="MTQ59" s="105"/>
      <c r="MTX59" s="56"/>
      <c r="MTY59" s="105"/>
      <c r="MUF59" s="56"/>
      <c r="MUG59" s="105"/>
      <c r="MUN59" s="56"/>
      <c r="MUO59" s="105"/>
      <c r="MUV59" s="56"/>
      <c r="MUW59" s="105"/>
      <c r="MVD59" s="56"/>
      <c r="MVE59" s="105"/>
      <c r="MVL59" s="56"/>
      <c r="MVM59" s="105"/>
      <c r="MVT59" s="56"/>
      <c r="MVU59" s="105"/>
      <c r="MWB59" s="56"/>
      <c r="MWC59" s="105"/>
      <c r="MWJ59" s="56"/>
      <c r="MWK59" s="105"/>
      <c r="MWR59" s="56"/>
      <c r="MWS59" s="105"/>
      <c r="MWZ59" s="56"/>
      <c r="MXA59" s="105"/>
      <c r="MXH59" s="56"/>
      <c r="MXI59" s="105"/>
      <c r="MXP59" s="56"/>
      <c r="MXQ59" s="105"/>
      <c r="MXX59" s="56"/>
      <c r="MXY59" s="105"/>
      <c r="MYF59" s="56"/>
      <c r="MYG59" s="105"/>
      <c r="MYN59" s="56"/>
      <c r="MYO59" s="105"/>
      <c r="MYV59" s="56"/>
      <c r="MYW59" s="105"/>
      <c r="MZD59" s="56"/>
      <c r="MZE59" s="105"/>
      <c r="MZL59" s="56"/>
      <c r="MZM59" s="105"/>
      <c r="MZT59" s="56"/>
      <c r="MZU59" s="105"/>
      <c r="NAB59" s="56"/>
      <c r="NAC59" s="105"/>
      <c r="NAJ59" s="56"/>
      <c r="NAK59" s="105"/>
      <c r="NAR59" s="56"/>
      <c r="NAS59" s="105"/>
      <c r="NAZ59" s="56"/>
      <c r="NBA59" s="105"/>
      <c r="NBH59" s="56"/>
      <c r="NBI59" s="105"/>
      <c r="NBP59" s="56"/>
      <c r="NBQ59" s="105"/>
      <c r="NBX59" s="56"/>
      <c r="NBY59" s="105"/>
      <c r="NCF59" s="56"/>
      <c r="NCG59" s="105"/>
      <c r="NCN59" s="56"/>
      <c r="NCO59" s="105"/>
      <c r="NCV59" s="56"/>
      <c r="NCW59" s="105"/>
      <c r="NDD59" s="56"/>
      <c r="NDE59" s="105"/>
      <c r="NDL59" s="56"/>
      <c r="NDM59" s="105"/>
      <c r="NDT59" s="56"/>
      <c r="NDU59" s="105"/>
      <c r="NEB59" s="56"/>
      <c r="NEC59" s="105"/>
      <c r="NEJ59" s="56"/>
      <c r="NEK59" s="105"/>
      <c r="NER59" s="56"/>
      <c r="NES59" s="105"/>
      <c r="NEZ59" s="56"/>
      <c r="NFA59" s="105"/>
      <c r="NFH59" s="56"/>
      <c r="NFI59" s="105"/>
      <c r="NFP59" s="56"/>
      <c r="NFQ59" s="105"/>
      <c r="NFX59" s="56"/>
      <c r="NFY59" s="105"/>
      <c r="NGF59" s="56"/>
      <c r="NGG59" s="105"/>
      <c r="NGN59" s="56"/>
      <c r="NGO59" s="105"/>
      <c r="NGV59" s="56"/>
      <c r="NGW59" s="105"/>
      <c r="NHD59" s="56"/>
      <c r="NHE59" s="105"/>
      <c r="NHL59" s="56"/>
      <c r="NHM59" s="105"/>
      <c r="NHT59" s="56"/>
      <c r="NHU59" s="105"/>
      <c r="NIB59" s="56"/>
      <c r="NIC59" s="105"/>
      <c r="NIJ59" s="56"/>
      <c r="NIK59" s="105"/>
      <c r="NIR59" s="56"/>
      <c r="NIS59" s="105"/>
      <c r="NIZ59" s="56"/>
      <c r="NJA59" s="105"/>
      <c r="NJH59" s="56"/>
      <c r="NJI59" s="105"/>
      <c r="NJP59" s="56"/>
      <c r="NJQ59" s="105"/>
      <c r="NJX59" s="56"/>
      <c r="NJY59" s="105"/>
      <c r="NKF59" s="56"/>
      <c r="NKG59" s="105"/>
      <c r="NKN59" s="56"/>
      <c r="NKO59" s="105"/>
      <c r="NKV59" s="56"/>
      <c r="NKW59" s="105"/>
      <c r="NLD59" s="56"/>
      <c r="NLE59" s="105"/>
      <c r="NLL59" s="56"/>
      <c r="NLM59" s="105"/>
      <c r="NLT59" s="56"/>
      <c r="NLU59" s="105"/>
      <c r="NMB59" s="56"/>
      <c r="NMC59" s="105"/>
      <c r="NMJ59" s="56"/>
      <c r="NMK59" s="105"/>
      <c r="NMR59" s="56"/>
      <c r="NMS59" s="105"/>
      <c r="NMZ59" s="56"/>
      <c r="NNA59" s="105"/>
      <c r="NNH59" s="56"/>
      <c r="NNI59" s="105"/>
      <c r="NNP59" s="56"/>
      <c r="NNQ59" s="105"/>
      <c r="NNX59" s="56"/>
      <c r="NNY59" s="105"/>
      <c r="NOF59" s="56"/>
      <c r="NOG59" s="105"/>
      <c r="NON59" s="56"/>
      <c r="NOO59" s="105"/>
      <c r="NOV59" s="56"/>
      <c r="NOW59" s="105"/>
      <c r="NPD59" s="56"/>
      <c r="NPE59" s="105"/>
      <c r="NPL59" s="56"/>
      <c r="NPM59" s="105"/>
      <c r="NPT59" s="56"/>
      <c r="NPU59" s="105"/>
      <c r="NQB59" s="56"/>
      <c r="NQC59" s="105"/>
      <c r="NQJ59" s="56"/>
      <c r="NQK59" s="105"/>
      <c r="NQR59" s="56"/>
      <c r="NQS59" s="105"/>
      <c r="NQZ59" s="56"/>
      <c r="NRA59" s="105"/>
      <c r="NRH59" s="56"/>
      <c r="NRI59" s="105"/>
      <c r="NRP59" s="56"/>
      <c r="NRQ59" s="105"/>
      <c r="NRX59" s="56"/>
      <c r="NRY59" s="105"/>
      <c r="NSF59" s="56"/>
      <c r="NSG59" s="105"/>
      <c r="NSN59" s="56"/>
      <c r="NSO59" s="105"/>
      <c r="NSV59" s="56"/>
      <c r="NSW59" s="105"/>
      <c r="NTD59" s="56"/>
      <c r="NTE59" s="105"/>
      <c r="NTL59" s="56"/>
      <c r="NTM59" s="105"/>
      <c r="NTT59" s="56"/>
      <c r="NTU59" s="105"/>
      <c r="NUB59" s="56"/>
      <c r="NUC59" s="105"/>
      <c r="NUJ59" s="56"/>
      <c r="NUK59" s="105"/>
      <c r="NUR59" s="56"/>
      <c r="NUS59" s="105"/>
      <c r="NUZ59" s="56"/>
      <c r="NVA59" s="105"/>
      <c r="NVH59" s="56"/>
      <c r="NVI59" s="105"/>
      <c r="NVP59" s="56"/>
      <c r="NVQ59" s="105"/>
      <c r="NVX59" s="56"/>
      <c r="NVY59" s="105"/>
      <c r="NWF59" s="56"/>
      <c r="NWG59" s="105"/>
      <c r="NWN59" s="56"/>
      <c r="NWO59" s="105"/>
      <c r="NWV59" s="56"/>
      <c r="NWW59" s="105"/>
      <c r="NXD59" s="56"/>
      <c r="NXE59" s="105"/>
      <c r="NXL59" s="56"/>
      <c r="NXM59" s="105"/>
      <c r="NXT59" s="56"/>
      <c r="NXU59" s="105"/>
      <c r="NYB59" s="56"/>
      <c r="NYC59" s="105"/>
      <c r="NYJ59" s="56"/>
      <c r="NYK59" s="105"/>
      <c r="NYR59" s="56"/>
      <c r="NYS59" s="105"/>
      <c r="NYZ59" s="56"/>
      <c r="NZA59" s="105"/>
      <c r="NZH59" s="56"/>
      <c r="NZI59" s="105"/>
      <c r="NZP59" s="56"/>
      <c r="NZQ59" s="105"/>
      <c r="NZX59" s="56"/>
      <c r="NZY59" s="105"/>
      <c r="OAF59" s="56"/>
      <c r="OAG59" s="105"/>
      <c r="OAN59" s="56"/>
      <c r="OAO59" s="105"/>
      <c r="OAV59" s="56"/>
      <c r="OAW59" s="105"/>
      <c r="OBD59" s="56"/>
      <c r="OBE59" s="105"/>
      <c r="OBL59" s="56"/>
      <c r="OBM59" s="105"/>
      <c r="OBT59" s="56"/>
      <c r="OBU59" s="105"/>
      <c r="OCB59" s="56"/>
      <c r="OCC59" s="105"/>
      <c r="OCJ59" s="56"/>
      <c r="OCK59" s="105"/>
      <c r="OCR59" s="56"/>
      <c r="OCS59" s="105"/>
      <c r="OCZ59" s="56"/>
      <c r="ODA59" s="105"/>
      <c r="ODH59" s="56"/>
      <c r="ODI59" s="105"/>
      <c r="ODP59" s="56"/>
      <c r="ODQ59" s="105"/>
      <c r="ODX59" s="56"/>
      <c r="ODY59" s="105"/>
      <c r="OEF59" s="56"/>
      <c r="OEG59" s="105"/>
      <c r="OEN59" s="56"/>
      <c r="OEO59" s="105"/>
      <c r="OEV59" s="56"/>
      <c r="OEW59" s="105"/>
      <c r="OFD59" s="56"/>
      <c r="OFE59" s="105"/>
      <c r="OFL59" s="56"/>
      <c r="OFM59" s="105"/>
      <c r="OFT59" s="56"/>
      <c r="OFU59" s="105"/>
      <c r="OGB59" s="56"/>
      <c r="OGC59" s="105"/>
      <c r="OGJ59" s="56"/>
      <c r="OGK59" s="105"/>
      <c r="OGR59" s="56"/>
      <c r="OGS59" s="105"/>
      <c r="OGZ59" s="56"/>
      <c r="OHA59" s="105"/>
      <c r="OHH59" s="56"/>
      <c r="OHI59" s="105"/>
      <c r="OHP59" s="56"/>
      <c r="OHQ59" s="105"/>
      <c r="OHX59" s="56"/>
      <c r="OHY59" s="105"/>
      <c r="OIF59" s="56"/>
      <c r="OIG59" s="105"/>
      <c r="OIN59" s="56"/>
      <c r="OIO59" s="105"/>
      <c r="OIV59" s="56"/>
      <c r="OIW59" s="105"/>
      <c r="OJD59" s="56"/>
      <c r="OJE59" s="105"/>
      <c r="OJL59" s="56"/>
      <c r="OJM59" s="105"/>
      <c r="OJT59" s="56"/>
      <c r="OJU59" s="105"/>
      <c r="OKB59" s="56"/>
      <c r="OKC59" s="105"/>
      <c r="OKJ59" s="56"/>
      <c r="OKK59" s="105"/>
      <c r="OKR59" s="56"/>
      <c r="OKS59" s="105"/>
      <c r="OKZ59" s="56"/>
      <c r="OLA59" s="105"/>
      <c r="OLH59" s="56"/>
      <c r="OLI59" s="105"/>
      <c r="OLP59" s="56"/>
      <c r="OLQ59" s="105"/>
      <c r="OLX59" s="56"/>
      <c r="OLY59" s="105"/>
      <c r="OMF59" s="56"/>
      <c r="OMG59" s="105"/>
      <c r="OMN59" s="56"/>
      <c r="OMO59" s="105"/>
      <c r="OMV59" s="56"/>
      <c r="OMW59" s="105"/>
      <c r="OND59" s="56"/>
      <c r="ONE59" s="105"/>
      <c r="ONL59" s="56"/>
      <c r="ONM59" s="105"/>
      <c r="ONT59" s="56"/>
      <c r="ONU59" s="105"/>
      <c r="OOB59" s="56"/>
      <c r="OOC59" s="105"/>
      <c r="OOJ59" s="56"/>
      <c r="OOK59" s="105"/>
      <c r="OOR59" s="56"/>
      <c r="OOS59" s="105"/>
      <c r="OOZ59" s="56"/>
      <c r="OPA59" s="105"/>
      <c r="OPH59" s="56"/>
      <c r="OPI59" s="105"/>
      <c r="OPP59" s="56"/>
      <c r="OPQ59" s="105"/>
      <c r="OPX59" s="56"/>
      <c r="OPY59" s="105"/>
      <c r="OQF59" s="56"/>
      <c r="OQG59" s="105"/>
      <c r="OQN59" s="56"/>
      <c r="OQO59" s="105"/>
      <c r="OQV59" s="56"/>
      <c r="OQW59" s="105"/>
      <c r="ORD59" s="56"/>
      <c r="ORE59" s="105"/>
      <c r="ORL59" s="56"/>
      <c r="ORM59" s="105"/>
      <c r="ORT59" s="56"/>
      <c r="ORU59" s="105"/>
      <c r="OSB59" s="56"/>
      <c r="OSC59" s="105"/>
      <c r="OSJ59" s="56"/>
      <c r="OSK59" s="105"/>
      <c r="OSR59" s="56"/>
      <c r="OSS59" s="105"/>
      <c r="OSZ59" s="56"/>
      <c r="OTA59" s="105"/>
      <c r="OTH59" s="56"/>
      <c r="OTI59" s="105"/>
      <c r="OTP59" s="56"/>
      <c r="OTQ59" s="105"/>
      <c r="OTX59" s="56"/>
      <c r="OTY59" s="105"/>
      <c r="OUF59" s="56"/>
      <c r="OUG59" s="105"/>
      <c r="OUN59" s="56"/>
      <c r="OUO59" s="105"/>
      <c r="OUV59" s="56"/>
      <c r="OUW59" s="105"/>
      <c r="OVD59" s="56"/>
      <c r="OVE59" s="105"/>
      <c r="OVL59" s="56"/>
      <c r="OVM59" s="105"/>
      <c r="OVT59" s="56"/>
      <c r="OVU59" s="105"/>
      <c r="OWB59" s="56"/>
      <c r="OWC59" s="105"/>
      <c r="OWJ59" s="56"/>
      <c r="OWK59" s="105"/>
      <c r="OWR59" s="56"/>
      <c r="OWS59" s="105"/>
      <c r="OWZ59" s="56"/>
      <c r="OXA59" s="105"/>
      <c r="OXH59" s="56"/>
      <c r="OXI59" s="105"/>
      <c r="OXP59" s="56"/>
      <c r="OXQ59" s="105"/>
      <c r="OXX59" s="56"/>
      <c r="OXY59" s="105"/>
      <c r="OYF59" s="56"/>
      <c r="OYG59" s="105"/>
      <c r="OYN59" s="56"/>
      <c r="OYO59" s="105"/>
      <c r="OYV59" s="56"/>
      <c r="OYW59" s="105"/>
      <c r="OZD59" s="56"/>
      <c r="OZE59" s="105"/>
      <c r="OZL59" s="56"/>
      <c r="OZM59" s="105"/>
      <c r="OZT59" s="56"/>
      <c r="OZU59" s="105"/>
      <c r="PAB59" s="56"/>
      <c r="PAC59" s="105"/>
      <c r="PAJ59" s="56"/>
      <c r="PAK59" s="105"/>
      <c r="PAR59" s="56"/>
      <c r="PAS59" s="105"/>
      <c r="PAZ59" s="56"/>
      <c r="PBA59" s="105"/>
      <c r="PBH59" s="56"/>
      <c r="PBI59" s="105"/>
      <c r="PBP59" s="56"/>
      <c r="PBQ59" s="105"/>
      <c r="PBX59" s="56"/>
      <c r="PBY59" s="105"/>
      <c r="PCF59" s="56"/>
      <c r="PCG59" s="105"/>
      <c r="PCN59" s="56"/>
      <c r="PCO59" s="105"/>
      <c r="PCV59" s="56"/>
      <c r="PCW59" s="105"/>
      <c r="PDD59" s="56"/>
      <c r="PDE59" s="105"/>
      <c r="PDL59" s="56"/>
      <c r="PDM59" s="105"/>
      <c r="PDT59" s="56"/>
      <c r="PDU59" s="105"/>
      <c r="PEB59" s="56"/>
      <c r="PEC59" s="105"/>
      <c r="PEJ59" s="56"/>
      <c r="PEK59" s="105"/>
      <c r="PER59" s="56"/>
      <c r="PES59" s="105"/>
      <c r="PEZ59" s="56"/>
      <c r="PFA59" s="105"/>
      <c r="PFH59" s="56"/>
      <c r="PFI59" s="105"/>
      <c r="PFP59" s="56"/>
      <c r="PFQ59" s="105"/>
      <c r="PFX59" s="56"/>
      <c r="PFY59" s="105"/>
      <c r="PGF59" s="56"/>
      <c r="PGG59" s="105"/>
      <c r="PGN59" s="56"/>
      <c r="PGO59" s="105"/>
      <c r="PGV59" s="56"/>
      <c r="PGW59" s="105"/>
      <c r="PHD59" s="56"/>
      <c r="PHE59" s="105"/>
      <c r="PHL59" s="56"/>
      <c r="PHM59" s="105"/>
      <c r="PHT59" s="56"/>
      <c r="PHU59" s="105"/>
      <c r="PIB59" s="56"/>
      <c r="PIC59" s="105"/>
      <c r="PIJ59" s="56"/>
      <c r="PIK59" s="105"/>
      <c r="PIR59" s="56"/>
      <c r="PIS59" s="105"/>
      <c r="PIZ59" s="56"/>
      <c r="PJA59" s="105"/>
      <c r="PJH59" s="56"/>
      <c r="PJI59" s="105"/>
      <c r="PJP59" s="56"/>
      <c r="PJQ59" s="105"/>
      <c r="PJX59" s="56"/>
      <c r="PJY59" s="105"/>
      <c r="PKF59" s="56"/>
      <c r="PKG59" s="105"/>
      <c r="PKN59" s="56"/>
      <c r="PKO59" s="105"/>
      <c r="PKV59" s="56"/>
      <c r="PKW59" s="105"/>
      <c r="PLD59" s="56"/>
      <c r="PLE59" s="105"/>
      <c r="PLL59" s="56"/>
      <c r="PLM59" s="105"/>
      <c r="PLT59" s="56"/>
      <c r="PLU59" s="105"/>
      <c r="PMB59" s="56"/>
      <c r="PMC59" s="105"/>
      <c r="PMJ59" s="56"/>
      <c r="PMK59" s="105"/>
      <c r="PMR59" s="56"/>
      <c r="PMS59" s="105"/>
      <c r="PMZ59" s="56"/>
      <c r="PNA59" s="105"/>
      <c r="PNH59" s="56"/>
      <c r="PNI59" s="105"/>
      <c r="PNP59" s="56"/>
      <c r="PNQ59" s="105"/>
      <c r="PNX59" s="56"/>
      <c r="PNY59" s="105"/>
      <c r="POF59" s="56"/>
      <c r="POG59" s="105"/>
      <c r="PON59" s="56"/>
      <c r="POO59" s="105"/>
      <c r="POV59" s="56"/>
      <c r="POW59" s="105"/>
      <c r="PPD59" s="56"/>
      <c r="PPE59" s="105"/>
      <c r="PPL59" s="56"/>
      <c r="PPM59" s="105"/>
      <c r="PPT59" s="56"/>
      <c r="PPU59" s="105"/>
      <c r="PQB59" s="56"/>
      <c r="PQC59" s="105"/>
      <c r="PQJ59" s="56"/>
      <c r="PQK59" s="105"/>
      <c r="PQR59" s="56"/>
      <c r="PQS59" s="105"/>
      <c r="PQZ59" s="56"/>
      <c r="PRA59" s="105"/>
      <c r="PRH59" s="56"/>
      <c r="PRI59" s="105"/>
      <c r="PRP59" s="56"/>
      <c r="PRQ59" s="105"/>
      <c r="PRX59" s="56"/>
      <c r="PRY59" s="105"/>
      <c r="PSF59" s="56"/>
      <c r="PSG59" s="105"/>
      <c r="PSN59" s="56"/>
      <c r="PSO59" s="105"/>
      <c r="PSV59" s="56"/>
      <c r="PSW59" s="105"/>
      <c r="PTD59" s="56"/>
      <c r="PTE59" s="105"/>
      <c r="PTL59" s="56"/>
      <c r="PTM59" s="105"/>
      <c r="PTT59" s="56"/>
      <c r="PTU59" s="105"/>
      <c r="PUB59" s="56"/>
      <c r="PUC59" s="105"/>
      <c r="PUJ59" s="56"/>
      <c r="PUK59" s="105"/>
      <c r="PUR59" s="56"/>
      <c r="PUS59" s="105"/>
      <c r="PUZ59" s="56"/>
      <c r="PVA59" s="105"/>
      <c r="PVH59" s="56"/>
      <c r="PVI59" s="105"/>
      <c r="PVP59" s="56"/>
      <c r="PVQ59" s="105"/>
      <c r="PVX59" s="56"/>
      <c r="PVY59" s="105"/>
      <c r="PWF59" s="56"/>
      <c r="PWG59" s="105"/>
      <c r="PWN59" s="56"/>
      <c r="PWO59" s="105"/>
      <c r="PWV59" s="56"/>
      <c r="PWW59" s="105"/>
      <c r="PXD59" s="56"/>
      <c r="PXE59" s="105"/>
      <c r="PXL59" s="56"/>
      <c r="PXM59" s="105"/>
      <c r="PXT59" s="56"/>
      <c r="PXU59" s="105"/>
      <c r="PYB59" s="56"/>
      <c r="PYC59" s="105"/>
      <c r="PYJ59" s="56"/>
      <c r="PYK59" s="105"/>
      <c r="PYR59" s="56"/>
      <c r="PYS59" s="105"/>
      <c r="PYZ59" s="56"/>
      <c r="PZA59" s="105"/>
      <c r="PZH59" s="56"/>
      <c r="PZI59" s="105"/>
      <c r="PZP59" s="56"/>
      <c r="PZQ59" s="105"/>
      <c r="PZX59" s="56"/>
      <c r="PZY59" s="105"/>
      <c r="QAF59" s="56"/>
      <c r="QAG59" s="105"/>
      <c r="QAN59" s="56"/>
      <c r="QAO59" s="105"/>
      <c r="QAV59" s="56"/>
      <c r="QAW59" s="105"/>
      <c r="QBD59" s="56"/>
      <c r="QBE59" s="105"/>
      <c r="QBL59" s="56"/>
      <c r="QBM59" s="105"/>
      <c r="QBT59" s="56"/>
      <c r="QBU59" s="105"/>
      <c r="QCB59" s="56"/>
      <c r="QCC59" s="105"/>
      <c r="QCJ59" s="56"/>
      <c r="QCK59" s="105"/>
      <c r="QCR59" s="56"/>
      <c r="QCS59" s="105"/>
      <c r="QCZ59" s="56"/>
      <c r="QDA59" s="105"/>
      <c r="QDH59" s="56"/>
      <c r="QDI59" s="105"/>
      <c r="QDP59" s="56"/>
      <c r="QDQ59" s="105"/>
      <c r="QDX59" s="56"/>
      <c r="QDY59" s="105"/>
      <c r="QEF59" s="56"/>
      <c r="QEG59" s="105"/>
      <c r="QEN59" s="56"/>
      <c r="QEO59" s="105"/>
      <c r="QEV59" s="56"/>
      <c r="QEW59" s="105"/>
      <c r="QFD59" s="56"/>
      <c r="QFE59" s="105"/>
      <c r="QFL59" s="56"/>
      <c r="QFM59" s="105"/>
      <c r="QFT59" s="56"/>
      <c r="QFU59" s="105"/>
      <c r="QGB59" s="56"/>
      <c r="QGC59" s="105"/>
      <c r="QGJ59" s="56"/>
      <c r="QGK59" s="105"/>
      <c r="QGR59" s="56"/>
      <c r="QGS59" s="105"/>
      <c r="QGZ59" s="56"/>
      <c r="QHA59" s="105"/>
      <c r="QHH59" s="56"/>
      <c r="QHI59" s="105"/>
      <c r="QHP59" s="56"/>
      <c r="QHQ59" s="105"/>
      <c r="QHX59" s="56"/>
      <c r="QHY59" s="105"/>
      <c r="QIF59" s="56"/>
      <c r="QIG59" s="105"/>
      <c r="QIN59" s="56"/>
      <c r="QIO59" s="105"/>
      <c r="QIV59" s="56"/>
      <c r="QIW59" s="105"/>
      <c r="QJD59" s="56"/>
      <c r="QJE59" s="105"/>
      <c r="QJL59" s="56"/>
      <c r="QJM59" s="105"/>
      <c r="QJT59" s="56"/>
      <c r="QJU59" s="105"/>
      <c r="QKB59" s="56"/>
      <c r="QKC59" s="105"/>
      <c r="QKJ59" s="56"/>
      <c r="QKK59" s="105"/>
      <c r="QKR59" s="56"/>
      <c r="QKS59" s="105"/>
      <c r="QKZ59" s="56"/>
      <c r="QLA59" s="105"/>
      <c r="QLH59" s="56"/>
      <c r="QLI59" s="105"/>
      <c r="QLP59" s="56"/>
      <c r="QLQ59" s="105"/>
      <c r="QLX59" s="56"/>
      <c r="QLY59" s="105"/>
      <c r="QMF59" s="56"/>
      <c r="QMG59" s="105"/>
      <c r="QMN59" s="56"/>
      <c r="QMO59" s="105"/>
      <c r="QMV59" s="56"/>
      <c r="QMW59" s="105"/>
      <c r="QND59" s="56"/>
      <c r="QNE59" s="105"/>
      <c r="QNL59" s="56"/>
      <c r="QNM59" s="105"/>
      <c r="QNT59" s="56"/>
      <c r="QNU59" s="105"/>
      <c r="QOB59" s="56"/>
      <c r="QOC59" s="105"/>
      <c r="QOJ59" s="56"/>
      <c r="QOK59" s="105"/>
      <c r="QOR59" s="56"/>
      <c r="QOS59" s="105"/>
      <c r="QOZ59" s="56"/>
      <c r="QPA59" s="105"/>
      <c r="QPH59" s="56"/>
      <c r="QPI59" s="105"/>
      <c r="QPP59" s="56"/>
      <c r="QPQ59" s="105"/>
      <c r="QPX59" s="56"/>
      <c r="QPY59" s="105"/>
      <c r="QQF59" s="56"/>
      <c r="QQG59" s="105"/>
      <c r="QQN59" s="56"/>
      <c r="QQO59" s="105"/>
      <c r="QQV59" s="56"/>
      <c r="QQW59" s="105"/>
      <c r="QRD59" s="56"/>
      <c r="QRE59" s="105"/>
      <c r="QRL59" s="56"/>
      <c r="QRM59" s="105"/>
      <c r="QRT59" s="56"/>
      <c r="QRU59" s="105"/>
      <c r="QSB59" s="56"/>
      <c r="QSC59" s="105"/>
      <c r="QSJ59" s="56"/>
      <c r="QSK59" s="105"/>
      <c r="QSR59" s="56"/>
      <c r="QSS59" s="105"/>
      <c r="QSZ59" s="56"/>
      <c r="QTA59" s="105"/>
      <c r="QTH59" s="56"/>
      <c r="QTI59" s="105"/>
      <c r="QTP59" s="56"/>
      <c r="QTQ59" s="105"/>
      <c r="QTX59" s="56"/>
      <c r="QTY59" s="105"/>
      <c r="QUF59" s="56"/>
      <c r="QUG59" s="105"/>
      <c r="QUN59" s="56"/>
      <c r="QUO59" s="105"/>
      <c r="QUV59" s="56"/>
      <c r="QUW59" s="105"/>
      <c r="QVD59" s="56"/>
      <c r="QVE59" s="105"/>
      <c r="QVL59" s="56"/>
      <c r="QVM59" s="105"/>
      <c r="QVT59" s="56"/>
      <c r="QVU59" s="105"/>
      <c r="QWB59" s="56"/>
      <c r="QWC59" s="105"/>
      <c r="QWJ59" s="56"/>
      <c r="QWK59" s="105"/>
      <c r="QWR59" s="56"/>
      <c r="QWS59" s="105"/>
      <c r="QWZ59" s="56"/>
      <c r="QXA59" s="105"/>
      <c r="QXH59" s="56"/>
      <c r="QXI59" s="105"/>
      <c r="QXP59" s="56"/>
      <c r="QXQ59" s="105"/>
      <c r="QXX59" s="56"/>
      <c r="QXY59" s="105"/>
      <c r="QYF59" s="56"/>
      <c r="QYG59" s="105"/>
      <c r="QYN59" s="56"/>
      <c r="QYO59" s="105"/>
      <c r="QYV59" s="56"/>
      <c r="QYW59" s="105"/>
      <c r="QZD59" s="56"/>
      <c r="QZE59" s="105"/>
      <c r="QZL59" s="56"/>
      <c r="QZM59" s="105"/>
      <c r="QZT59" s="56"/>
      <c r="QZU59" s="105"/>
      <c r="RAB59" s="56"/>
      <c r="RAC59" s="105"/>
      <c r="RAJ59" s="56"/>
      <c r="RAK59" s="105"/>
      <c r="RAR59" s="56"/>
      <c r="RAS59" s="105"/>
      <c r="RAZ59" s="56"/>
      <c r="RBA59" s="105"/>
      <c r="RBH59" s="56"/>
      <c r="RBI59" s="105"/>
      <c r="RBP59" s="56"/>
      <c r="RBQ59" s="105"/>
      <c r="RBX59" s="56"/>
      <c r="RBY59" s="105"/>
      <c r="RCF59" s="56"/>
      <c r="RCG59" s="105"/>
      <c r="RCN59" s="56"/>
      <c r="RCO59" s="105"/>
      <c r="RCV59" s="56"/>
      <c r="RCW59" s="105"/>
      <c r="RDD59" s="56"/>
      <c r="RDE59" s="105"/>
      <c r="RDL59" s="56"/>
      <c r="RDM59" s="105"/>
      <c r="RDT59" s="56"/>
      <c r="RDU59" s="105"/>
      <c r="REB59" s="56"/>
      <c r="REC59" s="105"/>
      <c r="REJ59" s="56"/>
      <c r="REK59" s="105"/>
      <c r="RER59" s="56"/>
      <c r="RES59" s="105"/>
      <c r="REZ59" s="56"/>
      <c r="RFA59" s="105"/>
      <c r="RFH59" s="56"/>
      <c r="RFI59" s="105"/>
      <c r="RFP59" s="56"/>
      <c r="RFQ59" s="105"/>
      <c r="RFX59" s="56"/>
      <c r="RFY59" s="105"/>
      <c r="RGF59" s="56"/>
      <c r="RGG59" s="105"/>
      <c r="RGN59" s="56"/>
      <c r="RGO59" s="105"/>
      <c r="RGV59" s="56"/>
      <c r="RGW59" s="105"/>
      <c r="RHD59" s="56"/>
      <c r="RHE59" s="105"/>
      <c r="RHL59" s="56"/>
      <c r="RHM59" s="105"/>
      <c r="RHT59" s="56"/>
      <c r="RHU59" s="105"/>
      <c r="RIB59" s="56"/>
      <c r="RIC59" s="105"/>
      <c r="RIJ59" s="56"/>
      <c r="RIK59" s="105"/>
      <c r="RIR59" s="56"/>
      <c r="RIS59" s="105"/>
      <c r="RIZ59" s="56"/>
      <c r="RJA59" s="105"/>
      <c r="RJH59" s="56"/>
      <c r="RJI59" s="105"/>
      <c r="RJP59" s="56"/>
      <c r="RJQ59" s="105"/>
      <c r="RJX59" s="56"/>
      <c r="RJY59" s="105"/>
      <c r="RKF59" s="56"/>
      <c r="RKG59" s="105"/>
      <c r="RKN59" s="56"/>
      <c r="RKO59" s="105"/>
      <c r="RKV59" s="56"/>
      <c r="RKW59" s="105"/>
      <c r="RLD59" s="56"/>
      <c r="RLE59" s="105"/>
      <c r="RLL59" s="56"/>
      <c r="RLM59" s="105"/>
      <c r="RLT59" s="56"/>
      <c r="RLU59" s="105"/>
      <c r="RMB59" s="56"/>
      <c r="RMC59" s="105"/>
      <c r="RMJ59" s="56"/>
      <c r="RMK59" s="105"/>
      <c r="RMR59" s="56"/>
      <c r="RMS59" s="105"/>
      <c r="RMZ59" s="56"/>
      <c r="RNA59" s="105"/>
      <c r="RNH59" s="56"/>
      <c r="RNI59" s="105"/>
      <c r="RNP59" s="56"/>
      <c r="RNQ59" s="105"/>
      <c r="RNX59" s="56"/>
      <c r="RNY59" s="105"/>
      <c r="ROF59" s="56"/>
      <c r="ROG59" s="105"/>
      <c r="RON59" s="56"/>
      <c r="ROO59" s="105"/>
      <c r="ROV59" s="56"/>
      <c r="ROW59" s="105"/>
      <c r="RPD59" s="56"/>
      <c r="RPE59" s="105"/>
      <c r="RPL59" s="56"/>
      <c r="RPM59" s="105"/>
      <c r="RPT59" s="56"/>
      <c r="RPU59" s="105"/>
      <c r="RQB59" s="56"/>
      <c r="RQC59" s="105"/>
      <c r="RQJ59" s="56"/>
      <c r="RQK59" s="105"/>
      <c r="RQR59" s="56"/>
      <c r="RQS59" s="105"/>
      <c r="RQZ59" s="56"/>
      <c r="RRA59" s="105"/>
      <c r="RRH59" s="56"/>
      <c r="RRI59" s="105"/>
      <c r="RRP59" s="56"/>
      <c r="RRQ59" s="105"/>
      <c r="RRX59" s="56"/>
      <c r="RRY59" s="105"/>
      <c r="RSF59" s="56"/>
      <c r="RSG59" s="105"/>
      <c r="RSN59" s="56"/>
      <c r="RSO59" s="105"/>
      <c r="RSV59" s="56"/>
      <c r="RSW59" s="105"/>
      <c r="RTD59" s="56"/>
      <c r="RTE59" s="105"/>
      <c r="RTL59" s="56"/>
      <c r="RTM59" s="105"/>
      <c r="RTT59" s="56"/>
      <c r="RTU59" s="105"/>
      <c r="RUB59" s="56"/>
      <c r="RUC59" s="105"/>
      <c r="RUJ59" s="56"/>
      <c r="RUK59" s="105"/>
      <c r="RUR59" s="56"/>
      <c r="RUS59" s="105"/>
      <c r="RUZ59" s="56"/>
      <c r="RVA59" s="105"/>
      <c r="RVH59" s="56"/>
      <c r="RVI59" s="105"/>
      <c r="RVP59" s="56"/>
      <c r="RVQ59" s="105"/>
      <c r="RVX59" s="56"/>
      <c r="RVY59" s="105"/>
      <c r="RWF59" s="56"/>
      <c r="RWG59" s="105"/>
      <c r="RWN59" s="56"/>
      <c r="RWO59" s="105"/>
      <c r="RWV59" s="56"/>
      <c r="RWW59" s="105"/>
      <c r="RXD59" s="56"/>
      <c r="RXE59" s="105"/>
      <c r="RXL59" s="56"/>
      <c r="RXM59" s="105"/>
      <c r="RXT59" s="56"/>
      <c r="RXU59" s="105"/>
      <c r="RYB59" s="56"/>
      <c r="RYC59" s="105"/>
      <c r="RYJ59" s="56"/>
      <c r="RYK59" s="105"/>
      <c r="RYR59" s="56"/>
      <c r="RYS59" s="105"/>
      <c r="RYZ59" s="56"/>
      <c r="RZA59" s="105"/>
      <c r="RZH59" s="56"/>
      <c r="RZI59" s="105"/>
      <c r="RZP59" s="56"/>
      <c r="RZQ59" s="105"/>
      <c r="RZX59" s="56"/>
      <c r="RZY59" s="105"/>
      <c r="SAF59" s="56"/>
      <c r="SAG59" s="105"/>
      <c r="SAN59" s="56"/>
      <c r="SAO59" s="105"/>
      <c r="SAV59" s="56"/>
      <c r="SAW59" s="105"/>
      <c r="SBD59" s="56"/>
      <c r="SBE59" s="105"/>
      <c r="SBL59" s="56"/>
      <c r="SBM59" s="105"/>
      <c r="SBT59" s="56"/>
      <c r="SBU59" s="105"/>
      <c r="SCB59" s="56"/>
      <c r="SCC59" s="105"/>
      <c r="SCJ59" s="56"/>
      <c r="SCK59" s="105"/>
      <c r="SCR59" s="56"/>
      <c r="SCS59" s="105"/>
      <c r="SCZ59" s="56"/>
      <c r="SDA59" s="105"/>
      <c r="SDH59" s="56"/>
      <c r="SDI59" s="105"/>
      <c r="SDP59" s="56"/>
      <c r="SDQ59" s="105"/>
      <c r="SDX59" s="56"/>
      <c r="SDY59" s="105"/>
      <c r="SEF59" s="56"/>
      <c r="SEG59" s="105"/>
      <c r="SEN59" s="56"/>
      <c r="SEO59" s="105"/>
      <c r="SEV59" s="56"/>
      <c r="SEW59" s="105"/>
      <c r="SFD59" s="56"/>
      <c r="SFE59" s="105"/>
      <c r="SFL59" s="56"/>
      <c r="SFM59" s="105"/>
      <c r="SFT59" s="56"/>
      <c r="SFU59" s="105"/>
      <c r="SGB59" s="56"/>
      <c r="SGC59" s="105"/>
      <c r="SGJ59" s="56"/>
      <c r="SGK59" s="105"/>
      <c r="SGR59" s="56"/>
      <c r="SGS59" s="105"/>
      <c r="SGZ59" s="56"/>
      <c r="SHA59" s="105"/>
      <c r="SHH59" s="56"/>
      <c r="SHI59" s="105"/>
      <c r="SHP59" s="56"/>
      <c r="SHQ59" s="105"/>
      <c r="SHX59" s="56"/>
      <c r="SHY59" s="105"/>
      <c r="SIF59" s="56"/>
      <c r="SIG59" s="105"/>
      <c r="SIN59" s="56"/>
      <c r="SIO59" s="105"/>
      <c r="SIV59" s="56"/>
      <c r="SIW59" s="105"/>
      <c r="SJD59" s="56"/>
      <c r="SJE59" s="105"/>
      <c r="SJL59" s="56"/>
      <c r="SJM59" s="105"/>
      <c r="SJT59" s="56"/>
      <c r="SJU59" s="105"/>
      <c r="SKB59" s="56"/>
      <c r="SKC59" s="105"/>
      <c r="SKJ59" s="56"/>
      <c r="SKK59" s="105"/>
      <c r="SKR59" s="56"/>
      <c r="SKS59" s="105"/>
      <c r="SKZ59" s="56"/>
      <c r="SLA59" s="105"/>
      <c r="SLH59" s="56"/>
      <c r="SLI59" s="105"/>
      <c r="SLP59" s="56"/>
      <c r="SLQ59" s="105"/>
      <c r="SLX59" s="56"/>
      <c r="SLY59" s="105"/>
      <c r="SMF59" s="56"/>
      <c r="SMG59" s="105"/>
      <c r="SMN59" s="56"/>
      <c r="SMO59" s="105"/>
      <c r="SMV59" s="56"/>
      <c r="SMW59" s="105"/>
      <c r="SND59" s="56"/>
      <c r="SNE59" s="105"/>
      <c r="SNL59" s="56"/>
      <c r="SNM59" s="105"/>
      <c r="SNT59" s="56"/>
      <c r="SNU59" s="105"/>
      <c r="SOB59" s="56"/>
      <c r="SOC59" s="105"/>
      <c r="SOJ59" s="56"/>
      <c r="SOK59" s="105"/>
      <c r="SOR59" s="56"/>
      <c r="SOS59" s="105"/>
      <c r="SOZ59" s="56"/>
      <c r="SPA59" s="105"/>
      <c r="SPH59" s="56"/>
      <c r="SPI59" s="105"/>
      <c r="SPP59" s="56"/>
      <c r="SPQ59" s="105"/>
      <c r="SPX59" s="56"/>
      <c r="SPY59" s="105"/>
      <c r="SQF59" s="56"/>
      <c r="SQG59" s="105"/>
      <c r="SQN59" s="56"/>
      <c r="SQO59" s="105"/>
      <c r="SQV59" s="56"/>
      <c r="SQW59" s="105"/>
      <c r="SRD59" s="56"/>
      <c r="SRE59" s="105"/>
      <c r="SRL59" s="56"/>
      <c r="SRM59" s="105"/>
      <c r="SRT59" s="56"/>
      <c r="SRU59" s="105"/>
      <c r="SSB59" s="56"/>
      <c r="SSC59" s="105"/>
      <c r="SSJ59" s="56"/>
      <c r="SSK59" s="105"/>
      <c r="SSR59" s="56"/>
      <c r="SSS59" s="105"/>
      <c r="SSZ59" s="56"/>
      <c r="STA59" s="105"/>
      <c r="STH59" s="56"/>
      <c r="STI59" s="105"/>
      <c r="STP59" s="56"/>
      <c r="STQ59" s="105"/>
      <c r="STX59" s="56"/>
      <c r="STY59" s="105"/>
      <c r="SUF59" s="56"/>
      <c r="SUG59" s="105"/>
      <c r="SUN59" s="56"/>
      <c r="SUO59" s="105"/>
      <c r="SUV59" s="56"/>
      <c r="SUW59" s="105"/>
      <c r="SVD59" s="56"/>
      <c r="SVE59" s="105"/>
      <c r="SVL59" s="56"/>
      <c r="SVM59" s="105"/>
      <c r="SVT59" s="56"/>
      <c r="SVU59" s="105"/>
      <c r="SWB59" s="56"/>
      <c r="SWC59" s="105"/>
      <c r="SWJ59" s="56"/>
      <c r="SWK59" s="105"/>
      <c r="SWR59" s="56"/>
      <c r="SWS59" s="105"/>
      <c r="SWZ59" s="56"/>
      <c r="SXA59" s="105"/>
      <c r="SXH59" s="56"/>
      <c r="SXI59" s="105"/>
      <c r="SXP59" s="56"/>
      <c r="SXQ59" s="105"/>
      <c r="SXX59" s="56"/>
      <c r="SXY59" s="105"/>
      <c r="SYF59" s="56"/>
      <c r="SYG59" s="105"/>
      <c r="SYN59" s="56"/>
      <c r="SYO59" s="105"/>
      <c r="SYV59" s="56"/>
      <c r="SYW59" s="105"/>
      <c r="SZD59" s="56"/>
      <c r="SZE59" s="105"/>
      <c r="SZL59" s="56"/>
      <c r="SZM59" s="105"/>
      <c r="SZT59" s="56"/>
      <c r="SZU59" s="105"/>
      <c r="TAB59" s="56"/>
      <c r="TAC59" s="105"/>
      <c r="TAJ59" s="56"/>
      <c r="TAK59" s="105"/>
      <c r="TAR59" s="56"/>
      <c r="TAS59" s="105"/>
      <c r="TAZ59" s="56"/>
      <c r="TBA59" s="105"/>
      <c r="TBH59" s="56"/>
      <c r="TBI59" s="105"/>
      <c r="TBP59" s="56"/>
      <c r="TBQ59" s="105"/>
      <c r="TBX59" s="56"/>
      <c r="TBY59" s="105"/>
      <c r="TCF59" s="56"/>
      <c r="TCG59" s="105"/>
      <c r="TCN59" s="56"/>
      <c r="TCO59" s="105"/>
      <c r="TCV59" s="56"/>
      <c r="TCW59" s="105"/>
      <c r="TDD59" s="56"/>
      <c r="TDE59" s="105"/>
      <c r="TDL59" s="56"/>
      <c r="TDM59" s="105"/>
      <c r="TDT59" s="56"/>
      <c r="TDU59" s="105"/>
      <c r="TEB59" s="56"/>
      <c r="TEC59" s="105"/>
      <c r="TEJ59" s="56"/>
      <c r="TEK59" s="105"/>
      <c r="TER59" s="56"/>
      <c r="TES59" s="105"/>
      <c r="TEZ59" s="56"/>
      <c r="TFA59" s="105"/>
      <c r="TFH59" s="56"/>
      <c r="TFI59" s="105"/>
      <c r="TFP59" s="56"/>
      <c r="TFQ59" s="105"/>
      <c r="TFX59" s="56"/>
      <c r="TFY59" s="105"/>
      <c r="TGF59" s="56"/>
      <c r="TGG59" s="105"/>
      <c r="TGN59" s="56"/>
      <c r="TGO59" s="105"/>
      <c r="TGV59" s="56"/>
      <c r="TGW59" s="105"/>
      <c r="THD59" s="56"/>
      <c r="THE59" s="105"/>
      <c r="THL59" s="56"/>
      <c r="THM59" s="105"/>
      <c r="THT59" s="56"/>
      <c r="THU59" s="105"/>
      <c r="TIB59" s="56"/>
      <c r="TIC59" s="105"/>
      <c r="TIJ59" s="56"/>
      <c r="TIK59" s="105"/>
      <c r="TIR59" s="56"/>
      <c r="TIS59" s="105"/>
      <c r="TIZ59" s="56"/>
      <c r="TJA59" s="105"/>
      <c r="TJH59" s="56"/>
      <c r="TJI59" s="105"/>
      <c r="TJP59" s="56"/>
      <c r="TJQ59" s="105"/>
      <c r="TJX59" s="56"/>
      <c r="TJY59" s="105"/>
      <c r="TKF59" s="56"/>
      <c r="TKG59" s="105"/>
      <c r="TKN59" s="56"/>
      <c r="TKO59" s="105"/>
      <c r="TKV59" s="56"/>
      <c r="TKW59" s="105"/>
      <c r="TLD59" s="56"/>
      <c r="TLE59" s="105"/>
      <c r="TLL59" s="56"/>
      <c r="TLM59" s="105"/>
      <c r="TLT59" s="56"/>
      <c r="TLU59" s="105"/>
      <c r="TMB59" s="56"/>
      <c r="TMC59" s="105"/>
      <c r="TMJ59" s="56"/>
      <c r="TMK59" s="105"/>
      <c r="TMR59" s="56"/>
      <c r="TMS59" s="105"/>
      <c r="TMZ59" s="56"/>
      <c r="TNA59" s="105"/>
      <c r="TNH59" s="56"/>
      <c r="TNI59" s="105"/>
      <c r="TNP59" s="56"/>
      <c r="TNQ59" s="105"/>
      <c r="TNX59" s="56"/>
      <c r="TNY59" s="105"/>
      <c r="TOF59" s="56"/>
      <c r="TOG59" s="105"/>
      <c r="TON59" s="56"/>
      <c r="TOO59" s="105"/>
      <c r="TOV59" s="56"/>
      <c r="TOW59" s="105"/>
      <c r="TPD59" s="56"/>
      <c r="TPE59" s="105"/>
      <c r="TPL59" s="56"/>
      <c r="TPM59" s="105"/>
      <c r="TPT59" s="56"/>
      <c r="TPU59" s="105"/>
      <c r="TQB59" s="56"/>
      <c r="TQC59" s="105"/>
      <c r="TQJ59" s="56"/>
      <c r="TQK59" s="105"/>
      <c r="TQR59" s="56"/>
      <c r="TQS59" s="105"/>
      <c r="TQZ59" s="56"/>
      <c r="TRA59" s="105"/>
      <c r="TRH59" s="56"/>
      <c r="TRI59" s="105"/>
      <c r="TRP59" s="56"/>
      <c r="TRQ59" s="105"/>
      <c r="TRX59" s="56"/>
      <c r="TRY59" s="105"/>
      <c r="TSF59" s="56"/>
      <c r="TSG59" s="105"/>
      <c r="TSN59" s="56"/>
      <c r="TSO59" s="105"/>
      <c r="TSV59" s="56"/>
      <c r="TSW59" s="105"/>
      <c r="TTD59" s="56"/>
      <c r="TTE59" s="105"/>
      <c r="TTL59" s="56"/>
      <c r="TTM59" s="105"/>
      <c r="TTT59" s="56"/>
      <c r="TTU59" s="105"/>
      <c r="TUB59" s="56"/>
      <c r="TUC59" s="105"/>
      <c r="TUJ59" s="56"/>
      <c r="TUK59" s="105"/>
      <c r="TUR59" s="56"/>
      <c r="TUS59" s="105"/>
      <c r="TUZ59" s="56"/>
      <c r="TVA59" s="105"/>
      <c r="TVH59" s="56"/>
      <c r="TVI59" s="105"/>
      <c r="TVP59" s="56"/>
      <c r="TVQ59" s="105"/>
      <c r="TVX59" s="56"/>
      <c r="TVY59" s="105"/>
      <c r="TWF59" s="56"/>
      <c r="TWG59" s="105"/>
      <c r="TWN59" s="56"/>
      <c r="TWO59" s="105"/>
      <c r="TWV59" s="56"/>
      <c r="TWW59" s="105"/>
      <c r="TXD59" s="56"/>
      <c r="TXE59" s="105"/>
      <c r="TXL59" s="56"/>
      <c r="TXM59" s="105"/>
      <c r="TXT59" s="56"/>
      <c r="TXU59" s="105"/>
      <c r="TYB59" s="56"/>
      <c r="TYC59" s="105"/>
      <c r="TYJ59" s="56"/>
      <c r="TYK59" s="105"/>
      <c r="TYR59" s="56"/>
      <c r="TYS59" s="105"/>
      <c r="TYZ59" s="56"/>
      <c r="TZA59" s="105"/>
      <c r="TZH59" s="56"/>
      <c r="TZI59" s="105"/>
      <c r="TZP59" s="56"/>
      <c r="TZQ59" s="105"/>
      <c r="TZX59" s="56"/>
      <c r="TZY59" s="105"/>
      <c r="UAF59" s="56"/>
      <c r="UAG59" s="105"/>
      <c r="UAN59" s="56"/>
      <c r="UAO59" s="105"/>
      <c r="UAV59" s="56"/>
      <c r="UAW59" s="105"/>
      <c r="UBD59" s="56"/>
      <c r="UBE59" s="105"/>
      <c r="UBL59" s="56"/>
      <c r="UBM59" s="105"/>
      <c r="UBT59" s="56"/>
      <c r="UBU59" s="105"/>
      <c r="UCB59" s="56"/>
      <c r="UCC59" s="105"/>
      <c r="UCJ59" s="56"/>
      <c r="UCK59" s="105"/>
      <c r="UCR59" s="56"/>
      <c r="UCS59" s="105"/>
      <c r="UCZ59" s="56"/>
      <c r="UDA59" s="105"/>
      <c r="UDH59" s="56"/>
      <c r="UDI59" s="105"/>
      <c r="UDP59" s="56"/>
      <c r="UDQ59" s="105"/>
      <c r="UDX59" s="56"/>
      <c r="UDY59" s="105"/>
      <c r="UEF59" s="56"/>
      <c r="UEG59" s="105"/>
      <c r="UEN59" s="56"/>
      <c r="UEO59" s="105"/>
      <c r="UEV59" s="56"/>
      <c r="UEW59" s="105"/>
      <c r="UFD59" s="56"/>
      <c r="UFE59" s="105"/>
      <c r="UFL59" s="56"/>
      <c r="UFM59" s="105"/>
      <c r="UFT59" s="56"/>
      <c r="UFU59" s="105"/>
      <c r="UGB59" s="56"/>
      <c r="UGC59" s="105"/>
      <c r="UGJ59" s="56"/>
      <c r="UGK59" s="105"/>
      <c r="UGR59" s="56"/>
      <c r="UGS59" s="105"/>
      <c r="UGZ59" s="56"/>
      <c r="UHA59" s="105"/>
      <c r="UHH59" s="56"/>
      <c r="UHI59" s="105"/>
      <c r="UHP59" s="56"/>
      <c r="UHQ59" s="105"/>
      <c r="UHX59" s="56"/>
      <c r="UHY59" s="105"/>
      <c r="UIF59" s="56"/>
      <c r="UIG59" s="105"/>
      <c r="UIN59" s="56"/>
      <c r="UIO59" s="105"/>
      <c r="UIV59" s="56"/>
      <c r="UIW59" s="105"/>
      <c r="UJD59" s="56"/>
      <c r="UJE59" s="105"/>
      <c r="UJL59" s="56"/>
      <c r="UJM59" s="105"/>
      <c r="UJT59" s="56"/>
      <c r="UJU59" s="105"/>
      <c r="UKB59" s="56"/>
      <c r="UKC59" s="105"/>
      <c r="UKJ59" s="56"/>
      <c r="UKK59" s="105"/>
      <c r="UKR59" s="56"/>
      <c r="UKS59" s="105"/>
      <c r="UKZ59" s="56"/>
      <c r="ULA59" s="105"/>
      <c r="ULH59" s="56"/>
      <c r="ULI59" s="105"/>
      <c r="ULP59" s="56"/>
      <c r="ULQ59" s="105"/>
      <c r="ULX59" s="56"/>
      <c r="ULY59" s="105"/>
      <c r="UMF59" s="56"/>
      <c r="UMG59" s="105"/>
      <c r="UMN59" s="56"/>
      <c r="UMO59" s="105"/>
      <c r="UMV59" s="56"/>
      <c r="UMW59" s="105"/>
      <c r="UND59" s="56"/>
      <c r="UNE59" s="105"/>
      <c r="UNL59" s="56"/>
      <c r="UNM59" s="105"/>
      <c r="UNT59" s="56"/>
      <c r="UNU59" s="105"/>
      <c r="UOB59" s="56"/>
      <c r="UOC59" s="105"/>
      <c r="UOJ59" s="56"/>
      <c r="UOK59" s="105"/>
      <c r="UOR59" s="56"/>
      <c r="UOS59" s="105"/>
      <c r="UOZ59" s="56"/>
      <c r="UPA59" s="105"/>
      <c r="UPH59" s="56"/>
      <c r="UPI59" s="105"/>
      <c r="UPP59" s="56"/>
      <c r="UPQ59" s="105"/>
      <c r="UPX59" s="56"/>
      <c r="UPY59" s="105"/>
      <c r="UQF59" s="56"/>
      <c r="UQG59" s="105"/>
      <c r="UQN59" s="56"/>
      <c r="UQO59" s="105"/>
      <c r="UQV59" s="56"/>
      <c r="UQW59" s="105"/>
      <c r="URD59" s="56"/>
      <c r="URE59" s="105"/>
      <c r="URL59" s="56"/>
      <c r="URM59" s="105"/>
      <c r="URT59" s="56"/>
      <c r="URU59" s="105"/>
      <c r="USB59" s="56"/>
      <c r="USC59" s="105"/>
      <c r="USJ59" s="56"/>
      <c r="USK59" s="105"/>
      <c r="USR59" s="56"/>
      <c r="USS59" s="105"/>
      <c r="USZ59" s="56"/>
      <c r="UTA59" s="105"/>
      <c r="UTH59" s="56"/>
      <c r="UTI59" s="105"/>
      <c r="UTP59" s="56"/>
      <c r="UTQ59" s="105"/>
      <c r="UTX59" s="56"/>
      <c r="UTY59" s="105"/>
      <c r="UUF59" s="56"/>
      <c r="UUG59" s="105"/>
      <c r="UUN59" s="56"/>
      <c r="UUO59" s="105"/>
      <c r="UUV59" s="56"/>
      <c r="UUW59" s="105"/>
      <c r="UVD59" s="56"/>
      <c r="UVE59" s="105"/>
      <c r="UVL59" s="56"/>
      <c r="UVM59" s="105"/>
      <c r="UVT59" s="56"/>
      <c r="UVU59" s="105"/>
      <c r="UWB59" s="56"/>
      <c r="UWC59" s="105"/>
      <c r="UWJ59" s="56"/>
      <c r="UWK59" s="105"/>
      <c r="UWR59" s="56"/>
      <c r="UWS59" s="105"/>
      <c r="UWZ59" s="56"/>
      <c r="UXA59" s="105"/>
      <c r="UXH59" s="56"/>
      <c r="UXI59" s="105"/>
      <c r="UXP59" s="56"/>
      <c r="UXQ59" s="105"/>
      <c r="UXX59" s="56"/>
      <c r="UXY59" s="105"/>
      <c r="UYF59" s="56"/>
      <c r="UYG59" s="105"/>
      <c r="UYN59" s="56"/>
      <c r="UYO59" s="105"/>
      <c r="UYV59" s="56"/>
      <c r="UYW59" s="105"/>
      <c r="UZD59" s="56"/>
      <c r="UZE59" s="105"/>
      <c r="UZL59" s="56"/>
      <c r="UZM59" s="105"/>
      <c r="UZT59" s="56"/>
      <c r="UZU59" s="105"/>
      <c r="VAB59" s="56"/>
      <c r="VAC59" s="105"/>
      <c r="VAJ59" s="56"/>
      <c r="VAK59" s="105"/>
      <c r="VAR59" s="56"/>
      <c r="VAS59" s="105"/>
      <c r="VAZ59" s="56"/>
      <c r="VBA59" s="105"/>
      <c r="VBH59" s="56"/>
      <c r="VBI59" s="105"/>
      <c r="VBP59" s="56"/>
      <c r="VBQ59" s="105"/>
      <c r="VBX59" s="56"/>
      <c r="VBY59" s="105"/>
      <c r="VCF59" s="56"/>
      <c r="VCG59" s="105"/>
      <c r="VCN59" s="56"/>
      <c r="VCO59" s="105"/>
      <c r="VCV59" s="56"/>
      <c r="VCW59" s="105"/>
      <c r="VDD59" s="56"/>
      <c r="VDE59" s="105"/>
      <c r="VDL59" s="56"/>
      <c r="VDM59" s="105"/>
      <c r="VDT59" s="56"/>
      <c r="VDU59" s="105"/>
      <c r="VEB59" s="56"/>
      <c r="VEC59" s="105"/>
      <c r="VEJ59" s="56"/>
      <c r="VEK59" s="105"/>
      <c r="VER59" s="56"/>
      <c r="VES59" s="105"/>
      <c r="VEZ59" s="56"/>
      <c r="VFA59" s="105"/>
      <c r="VFH59" s="56"/>
      <c r="VFI59" s="105"/>
      <c r="VFP59" s="56"/>
      <c r="VFQ59" s="105"/>
      <c r="VFX59" s="56"/>
      <c r="VFY59" s="105"/>
      <c r="VGF59" s="56"/>
      <c r="VGG59" s="105"/>
      <c r="VGN59" s="56"/>
      <c r="VGO59" s="105"/>
      <c r="VGV59" s="56"/>
      <c r="VGW59" s="105"/>
      <c r="VHD59" s="56"/>
      <c r="VHE59" s="105"/>
      <c r="VHL59" s="56"/>
      <c r="VHM59" s="105"/>
      <c r="VHT59" s="56"/>
      <c r="VHU59" s="105"/>
      <c r="VIB59" s="56"/>
      <c r="VIC59" s="105"/>
      <c r="VIJ59" s="56"/>
      <c r="VIK59" s="105"/>
      <c r="VIR59" s="56"/>
      <c r="VIS59" s="105"/>
      <c r="VIZ59" s="56"/>
      <c r="VJA59" s="105"/>
      <c r="VJH59" s="56"/>
      <c r="VJI59" s="105"/>
      <c r="VJP59" s="56"/>
      <c r="VJQ59" s="105"/>
      <c r="VJX59" s="56"/>
      <c r="VJY59" s="105"/>
      <c r="VKF59" s="56"/>
      <c r="VKG59" s="105"/>
      <c r="VKN59" s="56"/>
      <c r="VKO59" s="105"/>
      <c r="VKV59" s="56"/>
      <c r="VKW59" s="105"/>
      <c r="VLD59" s="56"/>
      <c r="VLE59" s="105"/>
      <c r="VLL59" s="56"/>
      <c r="VLM59" s="105"/>
      <c r="VLT59" s="56"/>
      <c r="VLU59" s="105"/>
      <c r="VMB59" s="56"/>
      <c r="VMC59" s="105"/>
      <c r="VMJ59" s="56"/>
      <c r="VMK59" s="105"/>
      <c r="VMR59" s="56"/>
      <c r="VMS59" s="105"/>
      <c r="VMZ59" s="56"/>
      <c r="VNA59" s="105"/>
      <c r="VNH59" s="56"/>
      <c r="VNI59" s="105"/>
      <c r="VNP59" s="56"/>
      <c r="VNQ59" s="105"/>
      <c r="VNX59" s="56"/>
      <c r="VNY59" s="105"/>
      <c r="VOF59" s="56"/>
      <c r="VOG59" s="105"/>
      <c r="VON59" s="56"/>
      <c r="VOO59" s="105"/>
      <c r="VOV59" s="56"/>
      <c r="VOW59" s="105"/>
      <c r="VPD59" s="56"/>
      <c r="VPE59" s="105"/>
      <c r="VPL59" s="56"/>
      <c r="VPM59" s="105"/>
      <c r="VPT59" s="56"/>
      <c r="VPU59" s="105"/>
      <c r="VQB59" s="56"/>
      <c r="VQC59" s="105"/>
      <c r="VQJ59" s="56"/>
      <c r="VQK59" s="105"/>
      <c r="VQR59" s="56"/>
      <c r="VQS59" s="105"/>
      <c r="VQZ59" s="56"/>
      <c r="VRA59" s="105"/>
      <c r="VRH59" s="56"/>
      <c r="VRI59" s="105"/>
      <c r="VRP59" s="56"/>
      <c r="VRQ59" s="105"/>
      <c r="VRX59" s="56"/>
      <c r="VRY59" s="105"/>
      <c r="VSF59" s="56"/>
      <c r="VSG59" s="105"/>
      <c r="VSN59" s="56"/>
      <c r="VSO59" s="105"/>
      <c r="VSV59" s="56"/>
      <c r="VSW59" s="105"/>
      <c r="VTD59" s="56"/>
      <c r="VTE59" s="105"/>
      <c r="VTL59" s="56"/>
      <c r="VTM59" s="105"/>
      <c r="VTT59" s="56"/>
      <c r="VTU59" s="105"/>
      <c r="VUB59" s="56"/>
      <c r="VUC59" s="105"/>
      <c r="VUJ59" s="56"/>
      <c r="VUK59" s="105"/>
      <c r="VUR59" s="56"/>
      <c r="VUS59" s="105"/>
      <c r="VUZ59" s="56"/>
      <c r="VVA59" s="105"/>
      <c r="VVH59" s="56"/>
      <c r="VVI59" s="105"/>
      <c r="VVP59" s="56"/>
      <c r="VVQ59" s="105"/>
      <c r="VVX59" s="56"/>
      <c r="VVY59" s="105"/>
      <c r="VWF59" s="56"/>
      <c r="VWG59" s="105"/>
      <c r="VWN59" s="56"/>
      <c r="VWO59" s="105"/>
      <c r="VWV59" s="56"/>
      <c r="VWW59" s="105"/>
      <c r="VXD59" s="56"/>
      <c r="VXE59" s="105"/>
      <c r="VXL59" s="56"/>
      <c r="VXM59" s="105"/>
      <c r="VXT59" s="56"/>
      <c r="VXU59" s="105"/>
      <c r="VYB59" s="56"/>
      <c r="VYC59" s="105"/>
      <c r="VYJ59" s="56"/>
      <c r="VYK59" s="105"/>
      <c r="VYR59" s="56"/>
      <c r="VYS59" s="105"/>
      <c r="VYZ59" s="56"/>
      <c r="VZA59" s="105"/>
      <c r="VZH59" s="56"/>
      <c r="VZI59" s="105"/>
      <c r="VZP59" s="56"/>
      <c r="VZQ59" s="105"/>
      <c r="VZX59" s="56"/>
      <c r="VZY59" s="105"/>
      <c r="WAF59" s="56"/>
      <c r="WAG59" s="105"/>
      <c r="WAN59" s="56"/>
      <c r="WAO59" s="105"/>
      <c r="WAV59" s="56"/>
      <c r="WAW59" s="105"/>
      <c r="WBD59" s="56"/>
      <c r="WBE59" s="105"/>
      <c r="WBL59" s="56"/>
      <c r="WBM59" s="105"/>
      <c r="WBT59" s="56"/>
      <c r="WBU59" s="105"/>
      <c r="WCB59" s="56"/>
      <c r="WCC59" s="105"/>
      <c r="WCJ59" s="56"/>
      <c r="WCK59" s="105"/>
      <c r="WCR59" s="56"/>
      <c r="WCS59" s="105"/>
      <c r="WCZ59" s="56"/>
      <c r="WDA59" s="105"/>
      <c r="WDH59" s="56"/>
      <c r="WDI59" s="105"/>
      <c r="WDP59" s="56"/>
      <c r="WDQ59" s="105"/>
      <c r="WDX59" s="56"/>
      <c r="WDY59" s="105"/>
      <c r="WEF59" s="56"/>
      <c r="WEG59" s="105"/>
      <c r="WEN59" s="56"/>
      <c r="WEO59" s="105"/>
      <c r="WEV59" s="56"/>
      <c r="WEW59" s="105"/>
      <c r="WFD59" s="56"/>
      <c r="WFE59" s="105"/>
      <c r="WFL59" s="56"/>
      <c r="WFM59" s="105"/>
      <c r="WFT59" s="56"/>
      <c r="WFU59" s="105"/>
      <c r="WGB59" s="56"/>
      <c r="WGC59" s="105"/>
      <c r="WGJ59" s="56"/>
      <c r="WGK59" s="105"/>
      <c r="WGR59" s="56"/>
      <c r="WGS59" s="105"/>
      <c r="WGZ59" s="56"/>
      <c r="WHA59" s="105"/>
      <c r="WHH59" s="56"/>
      <c r="WHI59" s="105"/>
      <c r="WHP59" s="56"/>
      <c r="WHQ59" s="105"/>
      <c r="WHX59" s="56"/>
      <c r="WHY59" s="105"/>
      <c r="WIF59" s="56"/>
      <c r="WIG59" s="105"/>
      <c r="WIN59" s="56"/>
      <c r="WIO59" s="105"/>
      <c r="WIV59" s="56"/>
      <c r="WIW59" s="105"/>
      <c r="WJD59" s="56"/>
      <c r="WJE59" s="105"/>
      <c r="WJL59" s="56"/>
      <c r="WJM59" s="105"/>
      <c r="WJT59" s="56"/>
      <c r="WJU59" s="105"/>
      <c r="WKB59" s="56"/>
      <c r="WKC59" s="105"/>
      <c r="WKJ59" s="56"/>
      <c r="WKK59" s="105"/>
      <c r="WKR59" s="56"/>
      <c r="WKS59" s="105"/>
      <c r="WKZ59" s="56"/>
      <c r="WLA59" s="105"/>
      <c r="WLH59" s="56"/>
      <c r="WLI59" s="105"/>
      <c r="WLP59" s="56"/>
      <c r="WLQ59" s="105"/>
      <c r="WLX59" s="56"/>
      <c r="WLY59" s="105"/>
      <c r="WMF59" s="56"/>
      <c r="WMG59" s="105"/>
      <c r="WMN59" s="56"/>
      <c r="WMO59" s="105"/>
      <c r="WMV59" s="56"/>
      <c r="WMW59" s="105"/>
      <c r="WND59" s="56"/>
      <c r="WNE59" s="105"/>
      <c r="WNL59" s="56"/>
      <c r="WNM59" s="105"/>
      <c r="WNT59" s="56"/>
      <c r="WNU59" s="105"/>
      <c r="WOB59" s="56"/>
      <c r="WOC59" s="105"/>
      <c r="WOJ59" s="56"/>
      <c r="WOK59" s="105"/>
      <c r="WOR59" s="56"/>
      <c r="WOS59" s="105"/>
      <c r="WOZ59" s="56"/>
      <c r="WPA59" s="105"/>
      <c r="WPH59" s="56"/>
      <c r="WPI59" s="105"/>
      <c r="WPP59" s="56"/>
      <c r="WPQ59" s="105"/>
      <c r="WPX59" s="56"/>
      <c r="WPY59" s="105"/>
      <c r="WQF59" s="56"/>
      <c r="WQG59" s="105"/>
      <c r="WQN59" s="56"/>
      <c r="WQO59" s="105"/>
      <c r="WQV59" s="56"/>
      <c r="WQW59" s="105"/>
      <c r="WRD59" s="56"/>
      <c r="WRE59" s="105"/>
      <c r="WRL59" s="56"/>
      <c r="WRM59" s="105"/>
      <c r="WRT59" s="56"/>
      <c r="WRU59" s="105"/>
      <c r="WSB59" s="56"/>
      <c r="WSC59" s="105"/>
      <c r="WSJ59" s="56"/>
      <c r="WSK59" s="105"/>
      <c r="WSR59" s="56"/>
      <c r="WSS59" s="105"/>
      <c r="WSZ59" s="56"/>
      <c r="WTA59" s="105"/>
      <c r="WTH59" s="56"/>
      <c r="WTI59" s="105"/>
      <c r="WTP59" s="56"/>
      <c r="WTQ59" s="105"/>
      <c r="WTX59" s="56"/>
      <c r="WTY59" s="105"/>
      <c r="WUF59" s="56"/>
      <c r="WUG59" s="105"/>
      <c r="WUN59" s="56"/>
      <c r="WUO59" s="105"/>
      <c r="WUV59" s="56"/>
      <c r="WUW59" s="105"/>
      <c r="WVD59" s="56"/>
      <c r="WVE59" s="105"/>
      <c r="WVL59" s="56"/>
      <c r="WVM59" s="105"/>
      <c r="WVT59" s="56"/>
      <c r="WVU59" s="105"/>
      <c r="WWB59" s="56"/>
      <c r="WWC59" s="105"/>
      <c r="WWJ59" s="56"/>
      <c r="WWK59" s="105"/>
      <c r="WWR59" s="56"/>
      <c r="WWS59" s="105"/>
      <c r="WWZ59" s="56"/>
      <c r="WXA59" s="105"/>
      <c r="WXH59" s="56"/>
      <c r="WXI59" s="105"/>
      <c r="WXP59" s="56"/>
      <c r="WXQ59" s="105"/>
      <c r="WXX59" s="56"/>
      <c r="WXY59" s="105"/>
      <c r="WYF59" s="56"/>
      <c r="WYG59" s="105"/>
      <c r="WYN59" s="56"/>
      <c r="WYO59" s="105"/>
      <c r="WYV59" s="56"/>
      <c r="WYW59" s="105"/>
      <c r="WZD59" s="56"/>
      <c r="WZE59" s="105"/>
      <c r="WZL59" s="56"/>
      <c r="WZM59" s="105"/>
      <c r="WZT59" s="56"/>
      <c r="WZU59" s="105"/>
      <c r="XAB59" s="56"/>
      <c r="XAC59" s="105"/>
      <c r="XAJ59" s="56"/>
      <c r="XAK59" s="105"/>
      <c r="XAR59" s="56"/>
      <c r="XAS59" s="105"/>
      <c r="XAZ59" s="56"/>
      <c r="XBA59" s="105"/>
      <c r="XBH59" s="56"/>
      <c r="XBI59" s="105"/>
      <c r="XBP59" s="56"/>
      <c r="XBQ59" s="105"/>
      <c r="XBX59" s="56"/>
      <c r="XBY59" s="105"/>
      <c r="XCF59" s="56"/>
      <c r="XCG59" s="105"/>
      <c r="XCN59" s="56"/>
      <c r="XCO59" s="105"/>
      <c r="XCV59" s="56"/>
      <c r="XCW59" s="105"/>
      <c r="XDD59" s="56"/>
      <c r="XDE59" s="105"/>
      <c r="XDL59" s="56"/>
      <c r="XDM59" s="105"/>
      <c r="XDT59" s="56"/>
      <c r="XDU59" s="105"/>
      <c r="XEB59" s="56"/>
      <c r="XEC59" s="105"/>
      <c r="XEJ59" s="56"/>
      <c r="XEK59" s="105"/>
      <c r="XER59" s="56"/>
      <c r="XES59" s="105"/>
      <c r="XEZ59" s="56"/>
      <c r="XFA59" s="105"/>
    </row>
    <row r="60" spans="1:1021 1028:2045 2052:3069 3076:4093 4100:5117 5124:6141 6148:7165 7172:8189 8196:9213 9220:10237 10244:11261 11268:12285 12292:13309 13316:14333 14340:15357 15364:16381">
      <c r="B60" s="206" t="s">
        <v>274</v>
      </c>
    </row>
    <row r="61" spans="1:1021 1028:2045 2052:3069 3076:4093 4100:5117 5124:6141 6148:7165 7172:8189 8196:9213 9220:10237 10244:11261 11268:12285 12292:13309 13316:14333 14340:15357 15364:16381">
      <c r="B61" s="214"/>
      <c r="C61" s="211"/>
      <c r="D61" s="211"/>
      <c r="E61" s="211"/>
      <c r="F61" s="211"/>
      <c r="G61" s="211"/>
      <c r="H61" s="211"/>
      <c r="I61" s="211"/>
      <c r="J61" s="211"/>
      <c r="K61" s="211"/>
      <c r="L61" s="211"/>
      <c r="M61" s="211"/>
      <c r="N61" s="211"/>
      <c r="O61" s="211"/>
      <c r="P61" s="211"/>
      <c r="Q61" s="211"/>
      <c r="R61" s="211"/>
      <c r="S61" s="211"/>
      <c r="T61" s="211"/>
      <c r="U61" s="212"/>
      <c r="V61" s="212">
        <f>V59+V36-('2. BP'!V39+'2. BP'!V53)</f>
        <v>0</v>
      </c>
    </row>
    <row r="62" spans="1:1021 1028:2045 2052:3069 3076:4093 4100:5117 5124:6141 6148:7165 7172:8189 8196:9213 9220:10237 10244:11261 11268:12285 12292:13309 13316:14333 14340:15357 15364:16381" s="177" customFormat="1">
      <c r="B62" s="214"/>
      <c r="C62" s="212"/>
      <c r="D62" s="212"/>
      <c r="E62" s="212">
        <f>(+E8+E9+E10+E12)-('2. BP'!E39+'2. BP'!E43+'2. BP'!E53+'2. BP'!E57)</f>
        <v>0</v>
      </c>
      <c r="F62" s="212">
        <f>(+F8+F9+F10+F12)-('2. BP'!F39+'2. BP'!F43+'2. BP'!F53+'2. BP'!F57)</f>
        <v>-35532</v>
      </c>
      <c r="G62" s="212">
        <f>(+G8+G9+G10+G12)-('2. BP'!G39+'2. BP'!G43+'2. BP'!G53+'2. BP'!G57)</f>
        <v>1</v>
      </c>
      <c r="H62" s="212"/>
      <c r="I62" s="212">
        <f>(+I8+I9+I10+I12)-('2. BP'!I39+'2. BP'!I43+'2. BP'!I53+'2. BP'!I57)</f>
        <v>0</v>
      </c>
      <c r="J62" s="212">
        <f>(+J8+J9+J10+J12)-('2. BP'!J39+'2. BP'!J43+'2. BP'!J53+'2. BP'!J57)</f>
        <v>-1</v>
      </c>
      <c r="K62" s="212">
        <f>(+K8+K9+K10+K12)-('2. BP'!K39+'2. BP'!K43+'2. BP'!K53+'2. BP'!K57)</f>
        <v>-19771</v>
      </c>
      <c r="L62" s="212">
        <f>(+L8+L9+L10+L12)-('2. BP'!L39+'2. BP'!L43+'2. BP'!L53+'2. BP'!L57)</f>
        <v>0.59999999997671694</v>
      </c>
      <c r="M62" s="212">
        <f>(+M8+M9+M10+M12)-('2. BP'!M39+'2. BP'!M43+'2. BP'!M53+'2. BP'!M57)</f>
        <v>0.20859999989625067</v>
      </c>
      <c r="N62" s="212">
        <f>(+N8+N9+N10+N12)-('2. BP'!N39+'2. BP'!N43+'2. BP'!N53+'2. BP'!N57)</f>
        <v>0</v>
      </c>
      <c r="O62" s="212">
        <f>(+O8+O9+O10+O12)-('2. BP'!O39+'2. BP'!O43+'2. BP'!O53+'2. BP'!O57)</f>
        <v>0</v>
      </c>
      <c r="P62" s="212">
        <f>(+P8+P9+P10+P12)-('2. BP'!P39+'2. BP'!P43+'2. BP'!P53+'2. BP'!P57)</f>
        <v>-1</v>
      </c>
      <c r="Q62" s="212">
        <f>(+Q8+Q9+Q10+Q12)-('2. BP'!Q39+'2. BP'!Q43+'2. BP'!Q53+'2. BP'!Q57)</f>
        <v>0</v>
      </c>
      <c r="R62" s="212">
        <f>(+R8+R9+R10+R12)-('2. BP'!R39+'2. BP'!R43+'2. BP'!R53+'2. BP'!R57)</f>
        <v>0</v>
      </c>
      <c r="S62" s="212">
        <f>(+S8+S9+S10+S12)-('2. BP'!S39+'2. BP'!S43+'2. BP'!S53+'2. BP'!S57)</f>
        <v>0</v>
      </c>
      <c r="T62" s="212"/>
      <c r="U62" s="212"/>
      <c r="V62" s="212"/>
    </row>
    <row r="63" spans="1:1021 1028:2045 2052:3069 3076:4093 4100:5117 5124:6141 6148:7165 7172:8189 8196:9213 9220:10237 10244:11261 11268:12285 12292:13309 13316:14333 14340:15357 15364:16381">
      <c r="B63" s="115"/>
      <c r="C63" s="86"/>
      <c r="D63" s="86"/>
      <c r="E63" s="86"/>
      <c r="F63" s="86"/>
      <c r="G63" s="86"/>
      <c r="H63" s="86"/>
      <c r="I63" s="86"/>
      <c r="J63" s="86"/>
      <c r="K63" s="86"/>
      <c r="L63" s="86"/>
      <c r="M63" s="86"/>
      <c r="N63" s="86"/>
      <c r="O63" s="86"/>
      <c r="P63" s="86"/>
      <c r="Q63" s="86"/>
      <c r="R63" s="86"/>
      <c r="S63" s="86"/>
      <c r="T63" s="86"/>
      <c r="U63" s="86"/>
      <c r="V63" s="86"/>
    </row>
    <row r="64" spans="1:1021 1028:2045 2052:3069 3076:4093 4100:5117 5124:6141 6148:7165 7172:8189 8196:9213 9220:10237 10244:11261 11268:12285 12292:13309 13316:14333 14340:15357 15364:16381">
      <c r="B64" s="115"/>
      <c r="C64" s="86"/>
      <c r="D64" s="86"/>
      <c r="E64" s="86"/>
      <c r="F64" s="86"/>
      <c r="G64" s="86"/>
      <c r="H64" s="86"/>
      <c r="I64" s="86"/>
      <c r="J64" s="86"/>
      <c r="K64" s="86"/>
      <c r="L64" s="86"/>
      <c r="M64" s="86"/>
      <c r="N64" s="86"/>
      <c r="O64" s="86"/>
      <c r="P64" s="86"/>
      <c r="Q64" s="86"/>
      <c r="R64" s="86"/>
      <c r="S64" s="86"/>
      <c r="T64" s="86"/>
      <c r="U64" s="86"/>
      <c r="V64" s="86"/>
    </row>
    <row r="65" spans="2:22">
      <c r="B65" s="115"/>
      <c r="C65" s="86"/>
      <c r="D65" s="86"/>
      <c r="E65" s="86"/>
      <c r="F65" s="86"/>
      <c r="G65" s="86"/>
      <c r="H65" s="86"/>
      <c r="I65" s="86"/>
      <c r="J65" s="86"/>
      <c r="K65" s="86"/>
      <c r="L65" s="86"/>
      <c r="M65" s="86"/>
      <c r="N65" s="86"/>
      <c r="O65" s="86"/>
      <c r="P65" s="86"/>
      <c r="Q65" s="86"/>
      <c r="R65" s="86"/>
      <c r="S65" s="86"/>
      <c r="T65" s="86"/>
      <c r="U65" s="86"/>
      <c r="V65" s="86"/>
    </row>
    <row r="66" spans="2:22">
      <c r="B66" s="115"/>
      <c r="C66" s="86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86"/>
      <c r="P66" s="86"/>
      <c r="Q66" s="86"/>
      <c r="R66" s="86"/>
      <c r="S66" s="86"/>
      <c r="T66" s="86"/>
      <c r="U66" s="86"/>
      <c r="V66" s="86"/>
    </row>
    <row r="67" spans="2:22">
      <c r="B67" s="115"/>
      <c r="C67" s="86"/>
      <c r="D67" s="86"/>
      <c r="E67" s="86"/>
      <c r="F67" s="86"/>
      <c r="G67" s="86"/>
      <c r="H67" s="86"/>
      <c r="I67" s="86"/>
      <c r="J67" s="86"/>
      <c r="K67" s="86"/>
      <c r="L67" s="86"/>
      <c r="M67" s="86"/>
      <c r="N67" s="86"/>
      <c r="O67" s="86"/>
      <c r="P67" s="86"/>
      <c r="Q67" s="86"/>
      <c r="R67" s="86"/>
      <c r="S67" s="86"/>
      <c r="T67" s="86"/>
      <c r="U67" s="86"/>
      <c r="V67" s="86"/>
    </row>
    <row r="68" spans="2:22">
      <c r="B68" s="115"/>
      <c r="C68" s="86"/>
      <c r="D68" s="86"/>
      <c r="E68" s="86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6"/>
      <c r="Q68" s="86"/>
      <c r="R68" s="86"/>
      <c r="S68" s="86"/>
      <c r="T68" s="86"/>
      <c r="U68" s="86"/>
      <c r="V68" s="86"/>
    </row>
  </sheetData>
  <sheetProtection algorithmName="SHA-512" hashValue="ZI678IITnVytzqGENsjpFORyyHVJO77LTwCqnXcVEsWoB89l99J3WJyW+gcX+a4fqCp66cJYkDzoIaeABPiNDA==" saltValue="C3R4s4Xg4XoRSWacm7sUyA==" spinCount="100000" sheet="1" selectLockedCells="1" selectUnlockedCells="1"/>
  <mergeCells count="5">
    <mergeCell ref="L3:M3"/>
    <mergeCell ref="L4:M4"/>
    <mergeCell ref="B3:B4"/>
    <mergeCell ref="G3:I3"/>
    <mergeCell ref="G4:I4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I8:Z8 W9:Z47 I48:Z63 I9:V14 I17:V26 G60:G63 G8:H15 G17:H17 G37 H47 I15:J15 L15:V15 F8:F12 F13:F15 F17 I28:V47 J27:V27 E8:E12 E47:F47 E17 E14:E15 D11:D37 D46:D49 D39:D44 C8:C15" unlockedFormula="1"/>
    <ignoredError sqref="I16:V16 E16:H16 D38" formula="1" unlocked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D9860-55B7-423D-8186-B0124E2C2124}">
  <sheetPr codeName="Planilha9"/>
  <dimension ref="A1:XFD34"/>
  <sheetViews>
    <sheetView showGridLines="0" zoomScaleNormal="100" workbookViewId="0">
      <pane xSplit="2" ySplit="7" topLeftCell="C8" activePane="bottomRight" state="frozen"/>
      <selection activeCell="F27" sqref="F27"/>
      <selection pane="topRight" activeCell="F27" sqref="F27"/>
      <selection pane="bottomLeft" activeCell="F27" sqref="F27"/>
      <selection pane="bottomRight" activeCell="C8" activeCellId="2" sqref="C15 C12 C8"/>
    </sheetView>
  </sheetViews>
  <sheetFormatPr defaultColWidth="8.81640625" defaultRowHeight="13"/>
  <cols>
    <col min="1" max="1" width="2.54296875" style="61" customWidth="1"/>
    <col min="2" max="2" width="40.6328125" style="94" bestFit="1" customWidth="1"/>
    <col min="3" max="13" width="12.54296875" style="90" customWidth="1"/>
    <col min="14" max="14" width="12.54296875" style="61" customWidth="1"/>
    <col min="15" max="27" width="12.54296875" style="90" customWidth="1"/>
    <col min="28" max="28" width="8.81640625" style="61"/>
    <col min="29" max="29" width="12.54296875" style="61" bestFit="1" customWidth="1"/>
    <col min="30" max="30" width="13.453125" style="61" bestFit="1" customWidth="1"/>
    <col min="31" max="16384" width="8.81640625" style="61"/>
  </cols>
  <sheetData>
    <row r="1" spans="1:1024 1031:2048 2055:3072 3079:4096 4103:5120 5127:6144 6151:7168 7175:8192 8199:9216 9223:10240 10247:11264 11271:12288 12295:13312 13319:14336 14343:15360 15367:16384" s="4" customFormat="1" ht="10" customHeight="1">
      <c r="B1" s="10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</row>
    <row r="2" spans="1:1024 1031:2048 2055:3072 3079:4096 4103:5120 5127:6144 6151:7168 7175:8192 8199:9216 9223:10240 10247:11264 11271:12288 12295:13312 13319:14336 14343:15360 15367:16384" s="4" customFormat="1">
      <c r="A2" s="25"/>
      <c r="B2" s="10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</row>
    <row r="3" spans="1:1024 1031:2048 2055:3072 3079:4096 4103:5120 5127:6144 6151:7168 7175:8192 8199:9216 9223:10240 10247:11264 11271:12288 12295:13312 13319:14336 14343:15360 15367:16384" s="4" customFormat="1" ht="14.5" customHeight="1">
      <c r="A3" s="25"/>
      <c r="B3" s="227"/>
      <c r="C3" s="182"/>
      <c r="D3" s="182"/>
      <c r="E3" s="182"/>
      <c r="F3" s="182"/>
      <c r="G3" s="182"/>
      <c r="H3" s="228"/>
      <c r="I3" s="228"/>
      <c r="J3" s="228"/>
      <c r="K3" s="182"/>
      <c r="L3" s="85"/>
      <c r="M3" s="85"/>
      <c r="N3" s="229"/>
      <c r="O3" s="229"/>
      <c r="P3" s="182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</row>
    <row r="4" spans="1:1024 1031:2048 2055:3072 3079:4096 4103:5120 5127:6144 6151:7168 7175:8192 8199:9216 9223:10240 10247:11264 11271:12288 12295:13312 13319:14336 14343:15360 15367:16384" s="4" customFormat="1" ht="14.5" customHeight="1">
      <c r="A4" s="25"/>
      <c r="B4" s="227"/>
      <c r="C4" s="182"/>
      <c r="D4" s="182"/>
      <c r="E4" s="182"/>
      <c r="F4" s="182"/>
      <c r="G4" s="182"/>
      <c r="H4" s="228"/>
      <c r="I4" s="228"/>
      <c r="J4" s="228"/>
      <c r="K4" s="182"/>
      <c r="L4" s="85"/>
      <c r="M4" s="85"/>
      <c r="N4" s="229"/>
      <c r="O4" s="229"/>
      <c r="P4" s="182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</row>
    <row r="5" spans="1:1024 1031:2048 2055:3072 3079:4096 4103:5120 5127:6144 6151:7168 7175:8192 8199:9216 9223:10240 10247:11264 11271:12288 12295:13312 13319:14336 14343:15360 15367:16384" s="4" customFormat="1">
      <c r="A5" s="25"/>
      <c r="B5" s="181"/>
      <c r="C5" s="85"/>
      <c r="D5" s="85"/>
      <c r="E5" s="85"/>
      <c r="F5" s="85"/>
      <c r="G5" s="85"/>
      <c r="H5" s="85"/>
      <c r="I5" s="85"/>
      <c r="J5" s="85"/>
      <c r="K5" s="85"/>
      <c r="L5" s="85"/>
      <c r="M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C5" s="81"/>
      <c r="AD5" s="81"/>
    </row>
    <row r="6" spans="1:1024 1031:2048 2055:3072 3079:4096 4103:5120 5127:6144 6151:7168 7175:8192 8199:9216 9223:10240 10247:11264 11271:12288 12295:13312 13319:14336 14343:15360 15367:16384" s="4" customFormat="1">
      <c r="B6" s="10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C6" s="81"/>
      <c r="AD6" s="81"/>
    </row>
    <row r="7" spans="1:1024 1031:2048 2055:3072 3079:4096 4103:5120 5127:6144 6151:7168 7175:8192 8199:9216 9223:10240 10247:11264 11271:12288 12295:13312 13319:14336 14343:15360 15367:16384" s="73" customFormat="1" ht="15" customHeight="1" thickBot="1">
      <c r="A7" s="4"/>
      <c r="B7" s="52" t="s">
        <v>336</v>
      </c>
      <c r="C7" s="55" t="s">
        <v>377</v>
      </c>
      <c r="D7" s="111" t="s">
        <v>366</v>
      </c>
      <c r="E7" s="55" t="s">
        <v>375</v>
      </c>
      <c r="F7" s="55" t="s">
        <v>367</v>
      </c>
      <c r="G7" s="55" t="s">
        <v>364</v>
      </c>
      <c r="H7" s="55" t="s">
        <v>347</v>
      </c>
      <c r="I7" s="111" t="s">
        <v>312</v>
      </c>
      <c r="J7" s="55" t="s">
        <v>315</v>
      </c>
      <c r="K7" s="55" t="s">
        <v>316</v>
      </c>
      <c r="L7" s="55" t="s">
        <v>317</v>
      </c>
      <c r="M7" s="55" t="s">
        <v>311</v>
      </c>
      <c r="N7" s="111" t="s">
        <v>172</v>
      </c>
      <c r="O7" s="55" t="s">
        <v>177</v>
      </c>
      <c r="P7" s="55" t="s">
        <v>178</v>
      </c>
      <c r="Q7" s="55" t="s">
        <v>176</v>
      </c>
      <c r="R7" s="54" t="s">
        <v>175</v>
      </c>
      <c r="S7" s="53" t="s">
        <v>171</v>
      </c>
      <c r="T7" s="54" t="s">
        <v>119</v>
      </c>
      <c r="U7" s="54" t="s">
        <v>118</v>
      </c>
      <c r="V7" s="54" t="s">
        <v>92</v>
      </c>
      <c r="W7" s="54" t="s">
        <v>91</v>
      </c>
      <c r="X7" s="53" t="s">
        <v>173</v>
      </c>
      <c r="Y7" s="54" t="s">
        <v>179</v>
      </c>
      <c r="Z7" s="54" t="s">
        <v>174</v>
      </c>
      <c r="AA7" s="87" t="s">
        <v>180</v>
      </c>
      <c r="AE7" s="74"/>
      <c r="AF7" s="72"/>
      <c r="AM7" s="74"/>
      <c r="AN7" s="72"/>
      <c r="AU7" s="74"/>
      <c r="AV7" s="72"/>
      <c r="BC7" s="74"/>
      <c r="BD7" s="72"/>
      <c r="BK7" s="74"/>
      <c r="BL7" s="72"/>
      <c r="BS7" s="74"/>
      <c r="BT7" s="72"/>
      <c r="CA7" s="74"/>
      <c r="CB7" s="72"/>
      <c r="CI7" s="74"/>
      <c r="CJ7" s="72"/>
      <c r="CQ7" s="74"/>
      <c r="CR7" s="72"/>
      <c r="CY7" s="74"/>
      <c r="CZ7" s="72"/>
      <c r="DG7" s="74"/>
      <c r="DH7" s="72"/>
      <c r="DO7" s="74"/>
      <c r="DP7" s="72"/>
      <c r="DW7" s="74"/>
      <c r="DX7" s="72"/>
      <c r="EE7" s="74"/>
      <c r="EF7" s="72"/>
      <c r="EM7" s="74"/>
      <c r="EN7" s="72"/>
      <c r="EU7" s="74"/>
      <c r="EV7" s="72"/>
      <c r="FC7" s="74"/>
      <c r="FD7" s="72"/>
      <c r="FK7" s="74"/>
      <c r="FL7" s="72"/>
      <c r="FS7" s="74"/>
      <c r="FT7" s="72"/>
      <c r="GA7" s="74"/>
      <c r="GB7" s="72"/>
      <c r="GI7" s="74"/>
      <c r="GJ7" s="72"/>
      <c r="GQ7" s="74"/>
      <c r="GR7" s="72"/>
      <c r="GY7" s="74"/>
      <c r="GZ7" s="72"/>
      <c r="HG7" s="74"/>
      <c r="HH7" s="72"/>
      <c r="HO7" s="74"/>
      <c r="HP7" s="72"/>
      <c r="HW7" s="74"/>
      <c r="HX7" s="72"/>
      <c r="IE7" s="74"/>
      <c r="IF7" s="72"/>
      <c r="IM7" s="74"/>
      <c r="IN7" s="72"/>
      <c r="IU7" s="74"/>
      <c r="IV7" s="72"/>
      <c r="JC7" s="74"/>
      <c r="JD7" s="72"/>
      <c r="JK7" s="74"/>
      <c r="JL7" s="72"/>
      <c r="JS7" s="74"/>
      <c r="JT7" s="72"/>
      <c r="KA7" s="74"/>
      <c r="KB7" s="72"/>
      <c r="KI7" s="74"/>
      <c r="KJ7" s="72"/>
      <c r="KQ7" s="74"/>
      <c r="KR7" s="72"/>
      <c r="KY7" s="74"/>
      <c r="KZ7" s="72"/>
      <c r="LG7" s="74"/>
      <c r="LH7" s="72"/>
      <c r="LO7" s="74"/>
      <c r="LP7" s="72"/>
      <c r="LW7" s="74"/>
      <c r="LX7" s="72"/>
      <c r="ME7" s="74"/>
      <c r="MF7" s="72"/>
      <c r="MM7" s="74"/>
      <c r="MN7" s="72"/>
      <c r="MU7" s="74"/>
      <c r="MV7" s="72"/>
      <c r="NC7" s="74"/>
      <c r="ND7" s="72"/>
      <c r="NK7" s="74"/>
      <c r="NL7" s="72"/>
      <c r="NS7" s="74"/>
      <c r="NT7" s="72"/>
      <c r="OA7" s="74"/>
      <c r="OB7" s="72"/>
      <c r="OI7" s="74"/>
      <c r="OJ7" s="72"/>
      <c r="OQ7" s="74"/>
      <c r="OR7" s="72"/>
      <c r="OY7" s="74"/>
      <c r="OZ7" s="72"/>
      <c r="PG7" s="74"/>
      <c r="PH7" s="72"/>
      <c r="PO7" s="74"/>
      <c r="PP7" s="72"/>
      <c r="PW7" s="74"/>
      <c r="PX7" s="72"/>
      <c r="QE7" s="74"/>
      <c r="QF7" s="72"/>
      <c r="QM7" s="74"/>
      <c r="QN7" s="72"/>
      <c r="QU7" s="74"/>
      <c r="QV7" s="72"/>
      <c r="RC7" s="74"/>
      <c r="RD7" s="72"/>
      <c r="RK7" s="74"/>
      <c r="RL7" s="72"/>
      <c r="RS7" s="74"/>
      <c r="RT7" s="72"/>
      <c r="SA7" s="74"/>
      <c r="SB7" s="72"/>
      <c r="SI7" s="74"/>
      <c r="SJ7" s="72"/>
      <c r="SQ7" s="74"/>
      <c r="SR7" s="72"/>
      <c r="SY7" s="74"/>
      <c r="SZ7" s="72"/>
      <c r="TG7" s="74"/>
      <c r="TH7" s="72"/>
      <c r="TO7" s="74"/>
      <c r="TP7" s="72"/>
      <c r="TW7" s="74"/>
      <c r="TX7" s="72"/>
      <c r="UE7" s="74"/>
      <c r="UF7" s="72"/>
      <c r="UM7" s="74"/>
      <c r="UN7" s="72"/>
      <c r="UU7" s="74"/>
      <c r="UV7" s="72"/>
      <c r="VC7" s="74"/>
      <c r="VD7" s="72"/>
      <c r="VK7" s="74"/>
      <c r="VL7" s="72"/>
      <c r="VS7" s="74"/>
      <c r="VT7" s="72"/>
      <c r="WA7" s="74"/>
      <c r="WB7" s="72"/>
      <c r="WI7" s="74"/>
      <c r="WJ7" s="72"/>
      <c r="WQ7" s="74"/>
      <c r="WR7" s="72"/>
      <c r="WY7" s="74"/>
      <c r="WZ7" s="72"/>
      <c r="XG7" s="74"/>
      <c r="XH7" s="72"/>
      <c r="XO7" s="74"/>
      <c r="XP7" s="72"/>
      <c r="XW7" s="74"/>
      <c r="XX7" s="72"/>
      <c r="YE7" s="74"/>
      <c r="YF7" s="72"/>
      <c r="YM7" s="74"/>
      <c r="YN7" s="72"/>
      <c r="YU7" s="74"/>
      <c r="YV7" s="72"/>
      <c r="ZC7" s="74"/>
      <c r="ZD7" s="72"/>
      <c r="ZK7" s="74"/>
      <c r="ZL7" s="72"/>
      <c r="ZS7" s="74"/>
      <c r="ZT7" s="72"/>
      <c r="AAA7" s="74"/>
      <c r="AAB7" s="72"/>
      <c r="AAI7" s="74"/>
      <c r="AAJ7" s="72"/>
      <c r="AAQ7" s="74"/>
      <c r="AAR7" s="72"/>
      <c r="AAY7" s="74"/>
      <c r="AAZ7" s="72"/>
      <c r="ABG7" s="74"/>
      <c r="ABH7" s="72"/>
      <c r="ABO7" s="74"/>
      <c r="ABP7" s="72"/>
      <c r="ABW7" s="74"/>
      <c r="ABX7" s="72"/>
      <c r="ACE7" s="74"/>
      <c r="ACF7" s="72"/>
      <c r="ACM7" s="74"/>
      <c r="ACN7" s="72"/>
      <c r="ACU7" s="74"/>
      <c r="ACV7" s="72"/>
      <c r="ADC7" s="74"/>
      <c r="ADD7" s="72"/>
      <c r="ADK7" s="74"/>
      <c r="ADL7" s="72"/>
      <c r="ADS7" s="74"/>
      <c r="ADT7" s="72"/>
      <c r="AEA7" s="74"/>
      <c r="AEB7" s="72"/>
      <c r="AEI7" s="74"/>
      <c r="AEJ7" s="72"/>
      <c r="AEQ7" s="74"/>
      <c r="AER7" s="72"/>
      <c r="AEY7" s="74"/>
      <c r="AEZ7" s="72"/>
      <c r="AFG7" s="74"/>
      <c r="AFH7" s="72"/>
      <c r="AFO7" s="74"/>
      <c r="AFP7" s="72"/>
      <c r="AFW7" s="74"/>
      <c r="AFX7" s="72"/>
      <c r="AGE7" s="74"/>
      <c r="AGF7" s="72"/>
      <c r="AGM7" s="74"/>
      <c r="AGN7" s="72"/>
      <c r="AGU7" s="74"/>
      <c r="AGV7" s="72"/>
      <c r="AHC7" s="74"/>
      <c r="AHD7" s="72"/>
      <c r="AHK7" s="74"/>
      <c r="AHL7" s="72"/>
      <c r="AHS7" s="74"/>
      <c r="AHT7" s="72"/>
      <c r="AIA7" s="74"/>
      <c r="AIB7" s="72"/>
      <c r="AII7" s="74"/>
      <c r="AIJ7" s="72"/>
      <c r="AIQ7" s="74"/>
      <c r="AIR7" s="72"/>
      <c r="AIY7" s="74"/>
      <c r="AIZ7" s="72"/>
      <c r="AJG7" s="74"/>
      <c r="AJH7" s="72"/>
      <c r="AJO7" s="74"/>
      <c r="AJP7" s="72"/>
      <c r="AJW7" s="74"/>
      <c r="AJX7" s="72"/>
      <c r="AKE7" s="74"/>
      <c r="AKF7" s="72"/>
      <c r="AKM7" s="74"/>
      <c r="AKN7" s="72"/>
      <c r="AKU7" s="74"/>
      <c r="AKV7" s="72"/>
      <c r="ALC7" s="74"/>
      <c r="ALD7" s="72"/>
      <c r="ALK7" s="74"/>
      <c r="ALL7" s="72"/>
      <c r="ALS7" s="74"/>
      <c r="ALT7" s="72"/>
      <c r="AMA7" s="74"/>
      <c r="AMB7" s="72"/>
      <c r="AMI7" s="74"/>
      <c r="AMJ7" s="72"/>
      <c r="AMQ7" s="74"/>
      <c r="AMR7" s="72"/>
      <c r="AMY7" s="74"/>
      <c r="AMZ7" s="72"/>
      <c r="ANG7" s="74"/>
      <c r="ANH7" s="72"/>
      <c r="ANO7" s="74"/>
      <c r="ANP7" s="72"/>
      <c r="ANW7" s="74"/>
      <c r="ANX7" s="72"/>
      <c r="AOE7" s="74"/>
      <c r="AOF7" s="72"/>
      <c r="AOM7" s="74"/>
      <c r="AON7" s="72"/>
      <c r="AOU7" s="74"/>
      <c r="AOV7" s="72"/>
      <c r="APC7" s="74"/>
      <c r="APD7" s="72"/>
      <c r="APK7" s="74"/>
      <c r="APL7" s="72"/>
      <c r="APS7" s="74"/>
      <c r="APT7" s="72"/>
      <c r="AQA7" s="74"/>
      <c r="AQB7" s="72"/>
      <c r="AQI7" s="74"/>
      <c r="AQJ7" s="72"/>
      <c r="AQQ7" s="74"/>
      <c r="AQR7" s="72"/>
      <c r="AQY7" s="74"/>
      <c r="AQZ7" s="72"/>
      <c r="ARG7" s="74"/>
      <c r="ARH7" s="72"/>
      <c r="ARO7" s="74"/>
      <c r="ARP7" s="72"/>
      <c r="ARW7" s="74"/>
      <c r="ARX7" s="72"/>
      <c r="ASE7" s="74"/>
      <c r="ASF7" s="72"/>
      <c r="ASM7" s="74"/>
      <c r="ASN7" s="72"/>
      <c r="ASU7" s="74"/>
      <c r="ASV7" s="72"/>
      <c r="ATC7" s="74"/>
      <c r="ATD7" s="72"/>
      <c r="ATK7" s="74"/>
      <c r="ATL7" s="72"/>
      <c r="ATS7" s="74"/>
      <c r="ATT7" s="72"/>
      <c r="AUA7" s="74"/>
      <c r="AUB7" s="72"/>
      <c r="AUI7" s="74"/>
      <c r="AUJ7" s="72"/>
      <c r="AUQ7" s="74"/>
      <c r="AUR7" s="72"/>
      <c r="AUY7" s="74"/>
      <c r="AUZ7" s="72"/>
      <c r="AVG7" s="74"/>
      <c r="AVH7" s="72"/>
      <c r="AVO7" s="74"/>
      <c r="AVP7" s="72"/>
      <c r="AVW7" s="74"/>
      <c r="AVX7" s="72"/>
      <c r="AWE7" s="74"/>
      <c r="AWF7" s="72"/>
      <c r="AWM7" s="74"/>
      <c r="AWN7" s="72"/>
      <c r="AWU7" s="74"/>
      <c r="AWV7" s="72"/>
      <c r="AXC7" s="74"/>
      <c r="AXD7" s="72"/>
      <c r="AXK7" s="74"/>
      <c r="AXL7" s="72"/>
      <c r="AXS7" s="74"/>
      <c r="AXT7" s="72"/>
      <c r="AYA7" s="74"/>
      <c r="AYB7" s="72"/>
      <c r="AYI7" s="74"/>
      <c r="AYJ7" s="72"/>
      <c r="AYQ7" s="74"/>
      <c r="AYR7" s="72"/>
      <c r="AYY7" s="74"/>
      <c r="AYZ7" s="72"/>
      <c r="AZG7" s="74"/>
      <c r="AZH7" s="72"/>
      <c r="AZO7" s="74"/>
      <c r="AZP7" s="72"/>
      <c r="AZW7" s="74"/>
      <c r="AZX7" s="72"/>
      <c r="BAE7" s="74"/>
      <c r="BAF7" s="72"/>
      <c r="BAM7" s="74"/>
      <c r="BAN7" s="72"/>
      <c r="BAU7" s="74"/>
      <c r="BAV7" s="72"/>
      <c r="BBC7" s="74"/>
      <c r="BBD7" s="72"/>
      <c r="BBK7" s="74"/>
      <c r="BBL7" s="72"/>
      <c r="BBS7" s="74"/>
      <c r="BBT7" s="72"/>
      <c r="BCA7" s="74"/>
      <c r="BCB7" s="72"/>
      <c r="BCI7" s="74"/>
      <c r="BCJ7" s="72"/>
      <c r="BCQ7" s="74"/>
      <c r="BCR7" s="72"/>
      <c r="BCY7" s="74"/>
      <c r="BCZ7" s="72"/>
      <c r="BDG7" s="74"/>
      <c r="BDH7" s="72"/>
      <c r="BDO7" s="74"/>
      <c r="BDP7" s="72"/>
      <c r="BDW7" s="74"/>
      <c r="BDX7" s="72"/>
      <c r="BEE7" s="74"/>
      <c r="BEF7" s="72"/>
      <c r="BEM7" s="74"/>
      <c r="BEN7" s="72"/>
      <c r="BEU7" s="74"/>
      <c r="BEV7" s="72"/>
      <c r="BFC7" s="74"/>
      <c r="BFD7" s="72"/>
      <c r="BFK7" s="74"/>
      <c r="BFL7" s="72"/>
      <c r="BFS7" s="74"/>
      <c r="BFT7" s="72"/>
      <c r="BGA7" s="74"/>
      <c r="BGB7" s="72"/>
      <c r="BGI7" s="74"/>
      <c r="BGJ7" s="72"/>
      <c r="BGQ7" s="74"/>
      <c r="BGR7" s="72"/>
      <c r="BGY7" s="74"/>
      <c r="BGZ7" s="72"/>
      <c r="BHG7" s="74"/>
      <c r="BHH7" s="72"/>
      <c r="BHO7" s="74"/>
      <c r="BHP7" s="72"/>
      <c r="BHW7" s="74"/>
      <c r="BHX7" s="72"/>
      <c r="BIE7" s="74"/>
      <c r="BIF7" s="72"/>
      <c r="BIM7" s="74"/>
      <c r="BIN7" s="72"/>
      <c r="BIU7" s="74"/>
      <c r="BIV7" s="72"/>
      <c r="BJC7" s="74"/>
      <c r="BJD7" s="72"/>
      <c r="BJK7" s="74"/>
      <c r="BJL7" s="72"/>
      <c r="BJS7" s="74"/>
      <c r="BJT7" s="72"/>
      <c r="BKA7" s="74"/>
      <c r="BKB7" s="72"/>
      <c r="BKI7" s="74"/>
      <c r="BKJ7" s="72"/>
      <c r="BKQ7" s="74"/>
      <c r="BKR7" s="72"/>
      <c r="BKY7" s="74"/>
      <c r="BKZ7" s="72"/>
      <c r="BLG7" s="74"/>
      <c r="BLH7" s="72"/>
      <c r="BLO7" s="74"/>
      <c r="BLP7" s="72"/>
      <c r="BLW7" s="74"/>
      <c r="BLX7" s="72"/>
      <c r="BME7" s="74"/>
      <c r="BMF7" s="72"/>
      <c r="BMM7" s="74"/>
      <c r="BMN7" s="72"/>
      <c r="BMU7" s="74"/>
      <c r="BMV7" s="72"/>
      <c r="BNC7" s="74"/>
      <c r="BND7" s="72"/>
      <c r="BNK7" s="74"/>
      <c r="BNL7" s="72"/>
      <c r="BNS7" s="74"/>
      <c r="BNT7" s="72"/>
      <c r="BOA7" s="74"/>
      <c r="BOB7" s="72"/>
      <c r="BOI7" s="74"/>
      <c r="BOJ7" s="72"/>
      <c r="BOQ7" s="74"/>
      <c r="BOR7" s="72"/>
      <c r="BOY7" s="74"/>
      <c r="BOZ7" s="72"/>
      <c r="BPG7" s="74"/>
      <c r="BPH7" s="72"/>
      <c r="BPO7" s="74"/>
      <c r="BPP7" s="72"/>
      <c r="BPW7" s="74"/>
      <c r="BPX7" s="72"/>
      <c r="BQE7" s="74"/>
      <c r="BQF7" s="72"/>
      <c r="BQM7" s="74"/>
      <c r="BQN7" s="72"/>
      <c r="BQU7" s="74"/>
      <c r="BQV7" s="72"/>
      <c r="BRC7" s="74"/>
      <c r="BRD7" s="72"/>
      <c r="BRK7" s="74"/>
      <c r="BRL7" s="72"/>
      <c r="BRS7" s="74"/>
      <c r="BRT7" s="72"/>
      <c r="BSA7" s="74"/>
      <c r="BSB7" s="72"/>
      <c r="BSI7" s="74"/>
      <c r="BSJ7" s="72"/>
      <c r="BSQ7" s="74"/>
      <c r="BSR7" s="72"/>
      <c r="BSY7" s="74"/>
      <c r="BSZ7" s="72"/>
      <c r="BTG7" s="74"/>
      <c r="BTH7" s="72"/>
      <c r="BTO7" s="74"/>
      <c r="BTP7" s="72"/>
      <c r="BTW7" s="74"/>
      <c r="BTX7" s="72"/>
      <c r="BUE7" s="74"/>
      <c r="BUF7" s="72"/>
      <c r="BUM7" s="74"/>
      <c r="BUN7" s="72"/>
      <c r="BUU7" s="74"/>
      <c r="BUV7" s="72"/>
      <c r="BVC7" s="74"/>
      <c r="BVD7" s="72"/>
      <c r="BVK7" s="74"/>
      <c r="BVL7" s="72"/>
      <c r="BVS7" s="74"/>
      <c r="BVT7" s="72"/>
      <c r="BWA7" s="74"/>
      <c r="BWB7" s="72"/>
      <c r="BWI7" s="74"/>
      <c r="BWJ7" s="72"/>
      <c r="BWQ7" s="74"/>
      <c r="BWR7" s="72"/>
      <c r="BWY7" s="74"/>
      <c r="BWZ7" s="72"/>
      <c r="BXG7" s="74"/>
      <c r="BXH7" s="72"/>
      <c r="BXO7" s="74"/>
      <c r="BXP7" s="72"/>
      <c r="BXW7" s="74"/>
      <c r="BXX7" s="72"/>
      <c r="BYE7" s="74"/>
      <c r="BYF7" s="72"/>
      <c r="BYM7" s="74"/>
      <c r="BYN7" s="72"/>
      <c r="BYU7" s="74"/>
      <c r="BYV7" s="72"/>
      <c r="BZC7" s="74"/>
      <c r="BZD7" s="72"/>
      <c r="BZK7" s="74"/>
      <c r="BZL7" s="72"/>
      <c r="BZS7" s="74"/>
      <c r="BZT7" s="72"/>
      <c r="CAA7" s="74"/>
      <c r="CAB7" s="72"/>
      <c r="CAI7" s="74"/>
      <c r="CAJ7" s="72"/>
      <c r="CAQ7" s="74"/>
      <c r="CAR7" s="72"/>
      <c r="CAY7" s="74"/>
      <c r="CAZ7" s="72"/>
      <c r="CBG7" s="74"/>
      <c r="CBH7" s="72"/>
      <c r="CBO7" s="74"/>
      <c r="CBP7" s="72"/>
      <c r="CBW7" s="74"/>
      <c r="CBX7" s="72"/>
      <c r="CCE7" s="74"/>
      <c r="CCF7" s="72"/>
      <c r="CCM7" s="74"/>
      <c r="CCN7" s="72"/>
      <c r="CCU7" s="74"/>
      <c r="CCV7" s="72"/>
      <c r="CDC7" s="74"/>
      <c r="CDD7" s="72"/>
      <c r="CDK7" s="74"/>
      <c r="CDL7" s="72"/>
      <c r="CDS7" s="74"/>
      <c r="CDT7" s="72"/>
      <c r="CEA7" s="74"/>
      <c r="CEB7" s="72"/>
      <c r="CEI7" s="74"/>
      <c r="CEJ7" s="72"/>
      <c r="CEQ7" s="74"/>
      <c r="CER7" s="72"/>
      <c r="CEY7" s="74"/>
      <c r="CEZ7" s="72"/>
      <c r="CFG7" s="74"/>
      <c r="CFH7" s="72"/>
      <c r="CFO7" s="74"/>
      <c r="CFP7" s="72"/>
      <c r="CFW7" s="74"/>
      <c r="CFX7" s="72"/>
      <c r="CGE7" s="74"/>
      <c r="CGF7" s="72"/>
      <c r="CGM7" s="74"/>
      <c r="CGN7" s="72"/>
      <c r="CGU7" s="74"/>
      <c r="CGV7" s="72"/>
      <c r="CHC7" s="74"/>
      <c r="CHD7" s="72"/>
      <c r="CHK7" s="74"/>
      <c r="CHL7" s="72"/>
      <c r="CHS7" s="74"/>
      <c r="CHT7" s="72"/>
      <c r="CIA7" s="74"/>
      <c r="CIB7" s="72"/>
      <c r="CII7" s="74"/>
      <c r="CIJ7" s="72"/>
      <c r="CIQ7" s="74"/>
      <c r="CIR7" s="72"/>
      <c r="CIY7" s="74"/>
      <c r="CIZ7" s="72"/>
      <c r="CJG7" s="74"/>
      <c r="CJH7" s="72"/>
      <c r="CJO7" s="74"/>
      <c r="CJP7" s="72"/>
      <c r="CJW7" s="74"/>
      <c r="CJX7" s="72"/>
      <c r="CKE7" s="74"/>
      <c r="CKF7" s="72"/>
      <c r="CKM7" s="74"/>
      <c r="CKN7" s="72"/>
      <c r="CKU7" s="74"/>
      <c r="CKV7" s="72"/>
      <c r="CLC7" s="74"/>
      <c r="CLD7" s="72"/>
      <c r="CLK7" s="74"/>
      <c r="CLL7" s="72"/>
      <c r="CLS7" s="74"/>
      <c r="CLT7" s="72"/>
      <c r="CMA7" s="74"/>
      <c r="CMB7" s="72"/>
      <c r="CMI7" s="74"/>
      <c r="CMJ7" s="72"/>
      <c r="CMQ7" s="74"/>
      <c r="CMR7" s="72"/>
      <c r="CMY7" s="74"/>
      <c r="CMZ7" s="72"/>
      <c r="CNG7" s="74"/>
      <c r="CNH7" s="72"/>
      <c r="CNO7" s="74"/>
      <c r="CNP7" s="72"/>
      <c r="CNW7" s="74"/>
      <c r="CNX7" s="72"/>
      <c r="COE7" s="74"/>
      <c r="COF7" s="72"/>
      <c r="COM7" s="74"/>
      <c r="CON7" s="72"/>
      <c r="COU7" s="74"/>
      <c r="COV7" s="72"/>
      <c r="CPC7" s="74"/>
      <c r="CPD7" s="72"/>
      <c r="CPK7" s="74"/>
      <c r="CPL7" s="72"/>
      <c r="CPS7" s="74"/>
      <c r="CPT7" s="72"/>
      <c r="CQA7" s="74"/>
      <c r="CQB7" s="72"/>
      <c r="CQI7" s="74"/>
      <c r="CQJ7" s="72"/>
      <c r="CQQ7" s="74"/>
      <c r="CQR7" s="72"/>
      <c r="CQY7" s="74"/>
      <c r="CQZ7" s="72"/>
      <c r="CRG7" s="74"/>
      <c r="CRH7" s="72"/>
      <c r="CRO7" s="74"/>
      <c r="CRP7" s="72"/>
      <c r="CRW7" s="74"/>
      <c r="CRX7" s="72"/>
      <c r="CSE7" s="74"/>
      <c r="CSF7" s="72"/>
      <c r="CSM7" s="74"/>
      <c r="CSN7" s="72"/>
      <c r="CSU7" s="74"/>
      <c r="CSV7" s="72"/>
      <c r="CTC7" s="74"/>
      <c r="CTD7" s="72"/>
      <c r="CTK7" s="74"/>
      <c r="CTL7" s="72"/>
      <c r="CTS7" s="74"/>
      <c r="CTT7" s="72"/>
      <c r="CUA7" s="74"/>
      <c r="CUB7" s="72"/>
      <c r="CUI7" s="74"/>
      <c r="CUJ7" s="72"/>
      <c r="CUQ7" s="74"/>
      <c r="CUR7" s="72"/>
      <c r="CUY7" s="74"/>
      <c r="CUZ7" s="72"/>
      <c r="CVG7" s="74"/>
      <c r="CVH7" s="72"/>
      <c r="CVO7" s="74"/>
      <c r="CVP7" s="72"/>
      <c r="CVW7" s="74"/>
      <c r="CVX7" s="72"/>
      <c r="CWE7" s="74"/>
      <c r="CWF7" s="72"/>
      <c r="CWM7" s="74"/>
      <c r="CWN7" s="72"/>
      <c r="CWU7" s="74"/>
      <c r="CWV7" s="72"/>
      <c r="CXC7" s="74"/>
      <c r="CXD7" s="72"/>
      <c r="CXK7" s="74"/>
      <c r="CXL7" s="72"/>
      <c r="CXS7" s="74"/>
      <c r="CXT7" s="72"/>
      <c r="CYA7" s="74"/>
      <c r="CYB7" s="72"/>
      <c r="CYI7" s="74"/>
      <c r="CYJ7" s="72"/>
      <c r="CYQ7" s="74"/>
      <c r="CYR7" s="72"/>
      <c r="CYY7" s="74"/>
      <c r="CYZ7" s="72"/>
      <c r="CZG7" s="74"/>
      <c r="CZH7" s="72"/>
      <c r="CZO7" s="74"/>
      <c r="CZP7" s="72"/>
      <c r="CZW7" s="74"/>
      <c r="CZX7" s="72"/>
      <c r="DAE7" s="74"/>
      <c r="DAF7" s="72"/>
      <c r="DAM7" s="74"/>
      <c r="DAN7" s="72"/>
      <c r="DAU7" s="74"/>
      <c r="DAV7" s="72"/>
      <c r="DBC7" s="74"/>
      <c r="DBD7" s="72"/>
      <c r="DBK7" s="74"/>
      <c r="DBL7" s="72"/>
      <c r="DBS7" s="74"/>
      <c r="DBT7" s="72"/>
      <c r="DCA7" s="74"/>
      <c r="DCB7" s="72"/>
      <c r="DCI7" s="74"/>
      <c r="DCJ7" s="72"/>
      <c r="DCQ7" s="74"/>
      <c r="DCR7" s="72"/>
      <c r="DCY7" s="74"/>
      <c r="DCZ7" s="72"/>
      <c r="DDG7" s="74"/>
      <c r="DDH7" s="72"/>
      <c r="DDO7" s="74"/>
      <c r="DDP7" s="72"/>
      <c r="DDW7" s="74"/>
      <c r="DDX7" s="72"/>
      <c r="DEE7" s="74"/>
      <c r="DEF7" s="72"/>
      <c r="DEM7" s="74"/>
      <c r="DEN7" s="72"/>
      <c r="DEU7" s="74"/>
      <c r="DEV7" s="72"/>
      <c r="DFC7" s="74"/>
      <c r="DFD7" s="72"/>
      <c r="DFK7" s="74"/>
      <c r="DFL7" s="72"/>
      <c r="DFS7" s="74"/>
      <c r="DFT7" s="72"/>
      <c r="DGA7" s="74"/>
      <c r="DGB7" s="72"/>
      <c r="DGI7" s="74"/>
      <c r="DGJ7" s="72"/>
      <c r="DGQ7" s="74"/>
      <c r="DGR7" s="72"/>
      <c r="DGY7" s="74"/>
      <c r="DGZ7" s="72"/>
      <c r="DHG7" s="74"/>
      <c r="DHH7" s="72"/>
      <c r="DHO7" s="74"/>
      <c r="DHP7" s="72"/>
      <c r="DHW7" s="74"/>
      <c r="DHX7" s="72"/>
      <c r="DIE7" s="74"/>
      <c r="DIF7" s="72"/>
      <c r="DIM7" s="74"/>
      <c r="DIN7" s="72"/>
      <c r="DIU7" s="74"/>
      <c r="DIV7" s="72"/>
      <c r="DJC7" s="74"/>
      <c r="DJD7" s="72"/>
      <c r="DJK7" s="74"/>
      <c r="DJL7" s="72"/>
      <c r="DJS7" s="74"/>
      <c r="DJT7" s="72"/>
      <c r="DKA7" s="74"/>
      <c r="DKB7" s="72"/>
      <c r="DKI7" s="74"/>
      <c r="DKJ7" s="72"/>
      <c r="DKQ7" s="74"/>
      <c r="DKR7" s="72"/>
      <c r="DKY7" s="74"/>
      <c r="DKZ7" s="72"/>
      <c r="DLG7" s="74"/>
      <c r="DLH7" s="72"/>
      <c r="DLO7" s="74"/>
      <c r="DLP7" s="72"/>
      <c r="DLW7" s="74"/>
      <c r="DLX7" s="72"/>
      <c r="DME7" s="74"/>
      <c r="DMF7" s="72"/>
      <c r="DMM7" s="74"/>
      <c r="DMN7" s="72"/>
      <c r="DMU7" s="74"/>
      <c r="DMV7" s="72"/>
      <c r="DNC7" s="74"/>
      <c r="DND7" s="72"/>
      <c r="DNK7" s="74"/>
      <c r="DNL7" s="72"/>
      <c r="DNS7" s="74"/>
      <c r="DNT7" s="72"/>
      <c r="DOA7" s="74"/>
      <c r="DOB7" s="72"/>
      <c r="DOI7" s="74"/>
      <c r="DOJ7" s="72"/>
      <c r="DOQ7" s="74"/>
      <c r="DOR7" s="72"/>
      <c r="DOY7" s="74"/>
      <c r="DOZ7" s="72"/>
      <c r="DPG7" s="74"/>
      <c r="DPH7" s="72"/>
      <c r="DPO7" s="74"/>
      <c r="DPP7" s="72"/>
      <c r="DPW7" s="74"/>
      <c r="DPX7" s="72"/>
      <c r="DQE7" s="74"/>
      <c r="DQF7" s="72"/>
      <c r="DQM7" s="74"/>
      <c r="DQN7" s="72"/>
      <c r="DQU7" s="74"/>
      <c r="DQV7" s="72"/>
      <c r="DRC7" s="74"/>
      <c r="DRD7" s="72"/>
      <c r="DRK7" s="74"/>
      <c r="DRL7" s="72"/>
      <c r="DRS7" s="74"/>
      <c r="DRT7" s="72"/>
      <c r="DSA7" s="74"/>
      <c r="DSB7" s="72"/>
      <c r="DSI7" s="74"/>
      <c r="DSJ7" s="72"/>
      <c r="DSQ7" s="74"/>
      <c r="DSR7" s="72"/>
      <c r="DSY7" s="74"/>
      <c r="DSZ7" s="72"/>
      <c r="DTG7" s="74"/>
      <c r="DTH7" s="72"/>
      <c r="DTO7" s="74"/>
      <c r="DTP7" s="72"/>
      <c r="DTW7" s="74"/>
      <c r="DTX7" s="72"/>
      <c r="DUE7" s="74"/>
      <c r="DUF7" s="72"/>
      <c r="DUM7" s="74"/>
      <c r="DUN7" s="72"/>
      <c r="DUU7" s="74"/>
      <c r="DUV7" s="72"/>
      <c r="DVC7" s="74"/>
      <c r="DVD7" s="72"/>
      <c r="DVK7" s="74"/>
      <c r="DVL7" s="72"/>
      <c r="DVS7" s="74"/>
      <c r="DVT7" s="72"/>
      <c r="DWA7" s="74"/>
      <c r="DWB7" s="72"/>
      <c r="DWI7" s="74"/>
      <c r="DWJ7" s="72"/>
      <c r="DWQ7" s="74"/>
      <c r="DWR7" s="72"/>
      <c r="DWY7" s="74"/>
      <c r="DWZ7" s="72"/>
      <c r="DXG7" s="74"/>
      <c r="DXH7" s="72"/>
      <c r="DXO7" s="74"/>
      <c r="DXP7" s="72"/>
      <c r="DXW7" s="74"/>
      <c r="DXX7" s="72"/>
      <c r="DYE7" s="74"/>
      <c r="DYF7" s="72"/>
      <c r="DYM7" s="74"/>
      <c r="DYN7" s="72"/>
      <c r="DYU7" s="74"/>
      <c r="DYV7" s="72"/>
      <c r="DZC7" s="74"/>
      <c r="DZD7" s="72"/>
      <c r="DZK7" s="74"/>
      <c r="DZL7" s="72"/>
      <c r="DZS7" s="74"/>
      <c r="DZT7" s="72"/>
      <c r="EAA7" s="74"/>
      <c r="EAB7" s="72"/>
      <c r="EAI7" s="74"/>
      <c r="EAJ7" s="72"/>
      <c r="EAQ7" s="74"/>
      <c r="EAR7" s="72"/>
      <c r="EAY7" s="74"/>
      <c r="EAZ7" s="72"/>
      <c r="EBG7" s="74"/>
      <c r="EBH7" s="72"/>
      <c r="EBO7" s="74"/>
      <c r="EBP7" s="72"/>
      <c r="EBW7" s="74"/>
      <c r="EBX7" s="72"/>
      <c r="ECE7" s="74"/>
      <c r="ECF7" s="72"/>
      <c r="ECM7" s="74"/>
      <c r="ECN7" s="72"/>
      <c r="ECU7" s="74"/>
      <c r="ECV7" s="72"/>
      <c r="EDC7" s="74"/>
      <c r="EDD7" s="72"/>
      <c r="EDK7" s="74"/>
      <c r="EDL7" s="72"/>
      <c r="EDS7" s="74"/>
      <c r="EDT7" s="72"/>
      <c r="EEA7" s="74"/>
      <c r="EEB7" s="72"/>
      <c r="EEI7" s="74"/>
      <c r="EEJ7" s="72"/>
      <c r="EEQ7" s="74"/>
      <c r="EER7" s="72"/>
      <c r="EEY7" s="74"/>
      <c r="EEZ7" s="72"/>
      <c r="EFG7" s="74"/>
      <c r="EFH7" s="72"/>
      <c r="EFO7" s="74"/>
      <c r="EFP7" s="72"/>
      <c r="EFW7" s="74"/>
      <c r="EFX7" s="72"/>
      <c r="EGE7" s="74"/>
      <c r="EGF7" s="72"/>
      <c r="EGM7" s="74"/>
      <c r="EGN7" s="72"/>
      <c r="EGU7" s="74"/>
      <c r="EGV7" s="72"/>
      <c r="EHC7" s="74"/>
      <c r="EHD7" s="72"/>
      <c r="EHK7" s="74"/>
      <c r="EHL7" s="72"/>
      <c r="EHS7" s="74"/>
      <c r="EHT7" s="72"/>
      <c r="EIA7" s="74"/>
      <c r="EIB7" s="72"/>
      <c r="EII7" s="74"/>
      <c r="EIJ7" s="72"/>
      <c r="EIQ7" s="74"/>
      <c r="EIR7" s="72"/>
      <c r="EIY7" s="74"/>
      <c r="EIZ7" s="72"/>
      <c r="EJG7" s="74"/>
      <c r="EJH7" s="72"/>
      <c r="EJO7" s="74"/>
      <c r="EJP7" s="72"/>
      <c r="EJW7" s="74"/>
      <c r="EJX7" s="72"/>
      <c r="EKE7" s="74"/>
      <c r="EKF7" s="72"/>
      <c r="EKM7" s="74"/>
      <c r="EKN7" s="72"/>
      <c r="EKU7" s="74"/>
      <c r="EKV7" s="72"/>
      <c r="ELC7" s="74"/>
      <c r="ELD7" s="72"/>
      <c r="ELK7" s="74"/>
      <c r="ELL7" s="72"/>
      <c r="ELS7" s="74"/>
      <c r="ELT7" s="72"/>
      <c r="EMA7" s="74"/>
      <c r="EMB7" s="72"/>
      <c r="EMI7" s="74"/>
      <c r="EMJ7" s="72"/>
      <c r="EMQ7" s="74"/>
      <c r="EMR7" s="72"/>
      <c r="EMY7" s="74"/>
      <c r="EMZ7" s="72"/>
      <c r="ENG7" s="74"/>
      <c r="ENH7" s="72"/>
      <c r="ENO7" s="74"/>
      <c r="ENP7" s="72"/>
      <c r="ENW7" s="74"/>
      <c r="ENX7" s="72"/>
      <c r="EOE7" s="74"/>
      <c r="EOF7" s="72"/>
      <c r="EOM7" s="74"/>
      <c r="EON7" s="72"/>
      <c r="EOU7" s="74"/>
      <c r="EOV7" s="72"/>
      <c r="EPC7" s="74"/>
      <c r="EPD7" s="72"/>
      <c r="EPK7" s="74"/>
      <c r="EPL7" s="72"/>
      <c r="EPS7" s="74"/>
      <c r="EPT7" s="72"/>
      <c r="EQA7" s="74"/>
      <c r="EQB7" s="72"/>
      <c r="EQI7" s="74"/>
      <c r="EQJ7" s="72"/>
      <c r="EQQ7" s="74"/>
      <c r="EQR7" s="72"/>
      <c r="EQY7" s="74"/>
      <c r="EQZ7" s="72"/>
      <c r="ERG7" s="74"/>
      <c r="ERH7" s="72"/>
      <c r="ERO7" s="74"/>
      <c r="ERP7" s="72"/>
      <c r="ERW7" s="74"/>
      <c r="ERX7" s="72"/>
      <c r="ESE7" s="74"/>
      <c r="ESF7" s="72"/>
      <c r="ESM7" s="74"/>
      <c r="ESN7" s="72"/>
      <c r="ESU7" s="74"/>
      <c r="ESV7" s="72"/>
      <c r="ETC7" s="74"/>
      <c r="ETD7" s="72"/>
      <c r="ETK7" s="74"/>
      <c r="ETL7" s="72"/>
      <c r="ETS7" s="74"/>
      <c r="ETT7" s="72"/>
      <c r="EUA7" s="74"/>
      <c r="EUB7" s="72"/>
      <c r="EUI7" s="74"/>
      <c r="EUJ7" s="72"/>
      <c r="EUQ7" s="74"/>
      <c r="EUR7" s="72"/>
      <c r="EUY7" s="74"/>
      <c r="EUZ7" s="72"/>
      <c r="EVG7" s="74"/>
      <c r="EVH7" s="72"/>
      <c r="EVO7" s="74"/>
      <c r="EVP7" s="72"/>
      <c r="EVW7" s="74"/>
      <c r="EVX7" s="72"/>
      <c r="EWE7" s="74"/>
      <c r="EWF7" s="72"/>
      <c r="EWM7" s="74"/>
      <c r="EWN7" s="72"/>
      <c r="EWU7" s="74"/>
      <c r="EWV7" s="72"/>
      <c r="EXC7" s="74"/>
      <c r="EXD7" s="72"/>
      <c r="EXK7" s="74"/>
      <c r="EXL7" s="72"/>
      <c r="EXS7" s="74"/>
      <c r="EXT7" s="72"/>
      <c r="EYA7" s="74"/>
      <c r="EYB7" s="72"/>
      <c r="EYI7" s="74"/>
      <c r="EYJ7" s="72"/>
      <c r="EYQ7" s="74"/>
      <c r="EYR7" s="72"/>
      <c r="EYY7" s="74"/>
      <c r="EYZ7" s="72"/>
      <c r="EZG7" s="74"/>
      <c r="EZH7" s="72"/>
      <c r="EZO7" s="74"/>
      <c r="EZP7" s="72"/>
      <c r="EZW7" s="74"/>
      <c r="EZX7" s="72"/>
      <c r="FAE7" s="74"/>
      <c r="FAF7" s="72"/>
      <c r="FAM7" s="74"/>
      <c r="FAN7" s="72"/>
      <c r="FAU7" s="74"/>
      <c r="FAV7" s="72"/>
      <c r="FBC7" s="74"/>
      <c r="FBD7" s="72"/>
      <c r="FBK7" s="74"/>
      <c r="FBL7" s="72"/>
      <c r="FBS7" s="74"/>
      <c r="FBT7" s="72"/>
      <c r="FCA7" s="74"/>
      <c r="FCB7" s="72"/>
      <c r="FCI7" s="74"/>
      <c r="FCJ7" s="72"/>
      <c r="FCQ7" s="74"/>
      <c r="FCR7" s="72"/>
      <c r="FCY7" s="74"/>
      <c r="FCZ7" s="72"/>
      <c r="FDG7" s="74"/>
      <c r="FDH7" s="72"/>
      <c r="FDO7" s="74"/>
      <c r="FDP7" s="72"/>
      <c r="FDW7" s="74"/>
      <c r="FDX7" s="72"/>
      <c r="FEE7" s="74"/>
      <c r="FEF7" s="72"/>
      <c r="FEM7" s="74"/>
      <c r="FEN7" s="72"/>
      <c r="FEU7" s="74"/>
      <c r="FEV7" s="72"/>
      <c r="FFC7" s="74"/>
      <c r="FFD7" s="72"/>
      <c r="FFK7" s="74"/>
      <c r="FFL7" s="72"/>
      <c r="FFS7" s="74"/>
      <c r="FFT7" s="72"/>
      <c r="FGA7" s="74"/>
      <c r="FGB7" s="72"/>
      <c r="FGI7" s="74"/>
      <c r="FGJ7" s="72"/>
      <c r="FGQ7" s="74"/>
      <c r="FGR7" s="72"/>
      <c r="FGY7" s="74"/>
      <c r="FGZ7" s="72"/>
      <c r="FHG7" s="74"/>
      <c r="FHH7" s="72"/>
      <c r="FHO7" s="74"/>
      <c r="FHP7" s="72"/>
      <c r="FHW7" s="74"/>
      <c r="FHX7" s="72"/>
      <c r="FIE7" s="74"/>
      <c r="FIF7" s="72"/>
      <c r="FIM7" s="74"/>
      <c r="FIN7" s="72"/>
      <c r="FIU7" s="74"/>
      <c r="FIV7" s="72"/>
      <c r="FJC7" s="74"/>
      <c r="FJD7" s="72"/>
      <c r="FJK7" s="74"/>
      <c r="FJL7" s="72"/>
      <c r="FJS7" s="74"/>
      <c r="FJT7" s="72"/>
      <c r="FKA7" s="74"/>
      <c r="FKB7" s="72"/>
      <c r="FKI7" s="74"/>
      <c r="FKJ7" s="72"/>
      <c r="FKQ7" s="74"/>
      <c r="FKR7" s="72"/>
      <c r="FKY7" s="74"/>
      <c r="FKZ7" s="72"/>
      <c r="FLG7" s="74"/>
      <c r="FLH7" s="72"/>
      <c r="FLO7" s="74"/>
      <c r="FLP7" s="72"/>
      <c r="FLW7" s="74"/>
      <c r="FLX7" s="72"/>
      <c r="FME7" s="74"/>
      <c r="FMF7" s="72"/>
      <c r="FMM7" s="74"/>
      <c r="FMN7" s="72"/>
      <c r="FMU7" s="74"/>
      <c r="FMV7" s="72"/>
      <c r="FNC7" s="74"/>
      <c r="FND7" s="72"/>
      <c r="FNK7" s="74"/>
      <c r="FNL7" s="72"/>
      <c r="FNS7" s="74"/>
      <c r="FNT7" s="72"/>
      <c r="FOA7" s="74"/>
      <c r="FOB7" s="72"/>
      <c r="FOI7" s="74"/>
      <c r="FOJ7" s="72"/>
      <c r="FOQ7" s="74"/>
      <c r="FOR7" s="72"/>
      <c r="FOY7" s="74"/>
      <c r="FOZ7" s="72"/>
      <c r="FPG7" s="74"/>
      <c r="FPH7" s="72"/>
      <c r="FPO7" s="74"/>
      <c r="FPP7" s="72"/>
      <c r="FPW7" s="74"/>
      <c r="FPX7" s="72"/>
      <c r="FQE7" s="74"/>
      <c r="FQF7" s="72"/>
      <c r="FQM7" s="74"/>
      <c r="FQN7" s="72"/>
      <c r="FQU7" s="74"/>
      <c r="FQV7" s="72"/>
      <c r="FRC7" s="74"/>
      <c r="FRD7" s="72"/>
      <c r="FRK7" s="74"/>
      <c r="FRL7" s="72"/>
      <c r="FRS7" s="74"/>
      <c r="FRT7" s="72"/>
      <c r="FSA7" s="74"/>
      <c r="FSB7" s="72"/>
      <c r="FSI7" s="74"/>
      <c r="FSJ7" s="72"/>
      <c r="FSQ7" s="74"/>
      <c r="FSR7" s="72"/>
      <c r="FSY7" s="74"/>
      <c r="FSZ7" s="72"/>
      <c r="FTG7" s="74"/>
      <c r="FTH7" s="72"/>
      <c r="FTO7" s="74"/>
      <c r="FTP7" s="72"/>
      <c r="FTW7" s="74"/>
      <c r="FTX7" s="72"/>
      <c r="FUE7" s="74"/>
      <c r="FUF7" s="72"/>
      <c r="FUM7" s="74"/>
      <c r="FUN7" s="72"/>
      <c r="FUU7" s="74"/>
      <c r="FUV7" s="72"/>
      <c r="FVC7" s="74"/>
      <c r="FVD7" s="72"/>
      <c r="FVK7" s="74"/>
      <c r="FVL7" s="72"/>
      <c r="FVS7" s="74"/>
      <c r="FVT7" s="72"/>
      <c r="FWA7" s="74"/>
      <c r="FWB7" s="72"/>
      <c r="FWI7" s="74"/>
      <c r="FWJ7" s="72"/>
      <c r="FWQ7" s="74"/>
      <c r="FWR7" s="72"/>
      <c r="FWY7" s="74"/>
      <c r="FWZ7" s="72"/>
      <c r="FXG7" s="74"/>
      <c r="FXH7" s="72"/>
      <c r="FXO7" s="74"/>
      <c r="FXP7" s="72"/>
      <c r="FXW7" s="74"/>
      <c r="FXX7" s="72"/>
      <c r="FYE7" s="74"/>
      <c r="FYF7" s="72"/>
      <c r="FYM7" s="74"/>
      <c r="FYN7" s="72"/>
      <c r="FYU7" s="74"/>
      <c r="FYV7" s="72"/>
      <c r="FZC7" s="74"/>
      <c r="FZD7" s="72"/>
      <c r="FZK7" s="74"/>
      <c r="FZL7" s="72"/>
      <c r="FZS7" s="74"/>
      <c r="FZT7" s="72"/>
      <c r="GAA7" s="74"/>
      <c r="GAB7" s="72"/>
      <c r="GAI7" s="74"/>
      <c r="GAJ7" s="72"/>
      <c r="GAQ7" s="74"/>
      <c r="GAR7" s="72"/>
      <c r="GAY7" s="74"/>
      <c r="GAZ7" s="72"/>
      <c r="GBG7" s="74"/>
      <c r="GBH7" s="72"/>
      <c r="GBO7" s="74"/>
      <c r="GBP7" s="72"/>
      <c r="GBW7" s="74"/>
      <c r="GBX7" s="72"/>
      <c r="GCE7" s="74"/>
      <c r="GCF7" s="72"/>
      <c r="GCM7" s="74"/>
      <c r="GCN7" s="72"/>
      <c r="GCU7" s="74"/>
      <c r="GCV7" s="72"/>
      <c r="GDC7" s="74"/>
      <c r="GDD7" s="72"/>
      <c r="GDK7" s="74"/>
      <c r="GDL7" s="72"/>
      <c r="GDS7" s="74"/>
      <c r="GDT7" s="72"/>
      <c r="GEA7" s="74"/>
      <c r="GEB7" s="72"/>
      <c r="GEI7" s="74"/>
      <c r="GEJ7" s="72"/>
      <c r="GEQ7" s="74"/>
      <c r="GER7" s="72"/>
      <c r="GEY7" s="74"/>
      <c r="GEZ7" s="72"/>
      <c r="GFG7" s="74"/>
      <c r="GFH7" s="72"/>
      <c r="GFO7" s="74"/>
      <c r="GFP7" s="72"/>
      <c r="GFW7" s="74"/>
      <c r="GFX7" s="72"/>
      <c r="GGE7" s="74"/>
      <c r="GGF7" s="72"/>
      <c r="GGM7" s="74"/>
      <c r="GGN7" s="72"/>
      <c r="GGU7" s="74"/>
      <c r="GGV7" s="72"/>
      <c r="GHC7" s="74"/>
      <c r="GHD7" s="72"/>
      <c r="GHK7" s="74"/>
      <c r="GHL7" s="72"/>
      <c r="GHS7" s="74"/>
      <c r="GHT7" s="72"/>
      <c r="GIA7" s="74"/>
      <c r="GIB7" s="72"/>
      <c r="GII7" s="74"/>
      <c r="GIJ7" s="72"/>
      <c r="GIQ7" s="74"/>
      <c r="GIR7" s="72"/>
      <c r="GIY7" s="74"/>
      <c r="GIZ7" s="72"/>
      <c r="GJG7" s="74"/>
      <c r="GJH7" s="72"/>
      <c r="GJO7" s="74"/>
      <c r="GJP7" s="72"/>
      <c r="GJW7" s="74"/>
      <c r="GJX7" s="72"/>
      <c r="GKE7" s="74"/>
      <c r="GKF7" s="72"/>
      <c r="GKM7" s="74"/>
      <c r="GKN7" s="72"/>
      <c r="GKU7" s="74"/>
      <c r="GKV7" s="72"/>
      <c r="GLC7" s="74"/>
      <c r="GLD7" s="72"/>
      <c r="GLK7" s="74"/>
      <c r="GLL7" s="72"/>
      <c r="GLS7" s="74"/>
      <c r="GLT7" s="72"/>
      <c r="GMA7" s="74"/>
      <c r="GMB7" s="72"/>
      <c r="GMI7" s="74"/>
      <c r="GMJ7" s="72"/>
      <c r="GMQ7" s="74"/>
      <c r="GMR7" s="72"/>
      <c r="GMY7" s="74"/>
      <c r="GMZ7" s="72"/>
      <c r="GNG7" s="74"/>
      <c r="GNH7" s="72"/>
      <c r="GNO7" s="74"/>
      <c r="GNP7" s="72"/>
      <c r="GNW7" s="74"/>
      <c r="GNX7" s="72"/>
      <c r="GOE7" s="74"/>
      <c r="GOF7" s="72"/>
      <c r="GOM7" s="74"/>
      <c r="GON7" s="72"/>
      <c r="GOU7" s="74"/>
      <c r="GOV7" s="72"/>
      <c r="GPC7" s="74"/>
      <c r="GPD7" s="72"/>
      <c r="GPK7" s="74"/>
      <c r="GPL7" s="72"/>
      <c r="GPS7" s="74"/>
      <c r="GPT7" s="72"/>
      <c r="GQA7" s="74"/>
      <c r="GQB7" s="72"/>
      <c r="GQI7" s="74"/>
      <c r="GQJ7" s="72"/>
      <c r="GQQ7" s="74"/>
      <c r="GQR7" s="72"/>
      <c r="GQY7" s="74"/>
      <c r="GQZ7" s="72"/>
      <c r="GRG7" s="74"/>
      <c r="GRH7" s="72"/>
      <c r="GRO7" s="74"/>
      <c r="GRP7" s="72"/>
      <c r="GRW7" s="74"/>
      <c r="GRX7" s="72"/>
      <c r="GSE7" s="74"/>
      <c r="GSF7" s="72"/>
      <c r="GSM7" s="74"/>
      <c r="GSN7" s="72"/>
      <c r="GSU7" s="74"/>
      <c r="GSV7" s="72"/>
      <c r="GTC7" s="74"/>
      <c r="GTD7" s="72"/>
      <c r="GTK7" s="74"/>
      <c r="GTL7" s="72"/>
      <c r="GTS7" s="74"/>
      <c r="GTT7" s="72"/>
      <c r="GUA7" s="74"/>
      <c r="GUB7" s="72"/>
      <c r="GUI7" s="74"/>
      <c r="GUJ7" s="72"/>
      <c r="GUQ7" s="74"/>
      <c r="GUR7" s="72"/>
      <c r="GUY7" s="74"/>
      <c r="GUZ7" s="72"/>
      <c r="GVG7" s="74"/>
      <c r="GVH7" s="72"/>
      <c r="GVO7" s="74"/>
      <c r="GVP7" s="72"/>
      <c r="GVW7" s="74"/>
      <c r="GVX7" s="72"/>
      <c r="GWE7" s="74"/>
      <c r="GWF7" s="72"/>
      <c r="GWM7" s="74"/>
      <c r="GWN7" s="72"/>
      <c r="GWU7" s="74"/>
      <c r="GWV7" s="72"/>
      <c r="GXC7" s="74"/>
      <c r="GXD7" s="72"/>
      <c r="GXK7" s="74"/>
      <c r="GXL7" s="72"/>
      <c r="GXS7" s="74"/>
      <c r="GXT7" s="72"/>
      <c r="GYA7" s="74"/>
      <c r="GYB7" s="72"/>
      <c r="GYI7" s="74"/>
      <c r="GYJ7" s="72"/>
      <c r="GYQ7" s="74"/>
      <c r="GYR7" s="72"/>
      <c r="GYY7" s="74"/>
      <c r="GYZ7" s="72"/>
      <c r="GZG7" s="74"/>
      <c r="GZH7" s="72"/>
      <c r="GZO7" s="74"/>
      <c r="GZP7" s="72"/>
      <c r="GZW7" s="74"/>
      <c r="GZX7" s="72"/>
      <c r="HAE7" s="74"/>
      <c r="HAF7" s="72"/>
      <c r="HAM7" s="74"/>
      <c r="HAN7" s="72"/>
      <c r="HAU7" s="74"/>
      <c r="HAV7" s="72"/>
      <c r="HBC7" s="74"/>
      <c r="HBD7" s="72"/>
      <c r="HBK7" s="74"/>
      <c r="HBL7" s="72"/>
      <c r="HBS7" s="74"/>
      <c r="HBT7" s="72"/>
      <c r="HCA7" s="74"/>
      <c r="HCB7" s="72"/>
      <c r="HCI7" s="74"/>
      <c r="HCJ7" s="72"/>
      <c r="HCQ7" s="74"/>
      <c r="HCR7" s="72"/>
      <c r="HCY7" s="74"/>
      <c r="HCZ7" s="72"/>
      <c r="HDG7" s="74"/>
      <c r="HDH7" s="72"/>
      <c r="HDO7" s="74"/>
      <c r="HDP7" s="72"/>
      <c r="HDW7" s="74"/>
      <c r="HDX7" s="72"/>
      <c r="HEE7" s="74"/>
      <c r="HEF7" s="72"/>
      <c r="HEM7" s="74"/>
      <c r="HEN7" s="72"/>
      <c r="HEU7" s="74"/>
      <c r="HEV7" s="72"/>
      <c r="HFC7" s="74"/>
      <c r="HFD7" s="72"/>
      <c r="HFK7" s="74"/>
      <c r="HFL7" s="72"/>
      <c r="HFS7" s="74"/>
      <c r="HFT7" s="72"/>
      <c r="HGA7" s="74"/>
      <c r="HGB7" s="72"/>
      <c r="HGI7" s="74"/>
      <c r="HGJ7" s="72"/>
      <c r="HGQ7" s="74"/>
      <c r="HGR7" s="72"/>
      <c r="HGY7" s="74"/>
      <c r="HGZ7" s="72"/>
      <c r="HHG7" s="74"/>
      <c r="HHH7" s="72"/>
      <c r="HHO7" s="74"/>
      <c r="HHP7" s="72"/>
      <c r="HHW7" s="74"/>
      <c r="HHX7" s="72"/>
      <c r="HIE7" s="74"/>
      <c r="HIF7" s="72"/>
      <c r="HIM7" s="74"/>
      <c r="HIN7" s="72"/>
      <c r="HIU7" s="74"/>
      <c r="HIV7" s="72"/>
      <c r="HJC7" s="74"/>
      <c r="HJD7" s="72"/>
      <c r="HJK7" s="74"/>
      <c r="HJL7" s="72"/>
      <c r="HJS7" s="74"/>
      <c r="HJT7" s="72"/>
      <c r="HKA7" s="74"/>
      <c r="HKB7" s="72"/>
      <c r="HKI7" s="74"/>
      <c r="HKJ7" s="72"/>
      <c r="HKQ7" s="74"/>
      <c r="HKR7" s="72"/>
      <c r="HKY7" s="74"/>
      <c r="HKZ7" s="72"/>
      <c r="HLG7" s="74"/>
      <c r="HLH7" s="72"/>
      <c r="HLO7" s="74"/>
      <c r="HLP7" s="72"/>
      <c r="HLW7" s="74"/>
      <c r="HLX7" s="72"/>
      <c r="HME7" s="74"/>
      <c r="HMF7" s="72"/>
      <c r="HMM7" s="74"/>
      <c r="HMN7" s="72"/>
      <c r="HMU7" s="74"/>
      <c r="HMV7" s="72"/>
      <c r="HNC7" s="74"/>
      <c r="HND7" s="72"/>
      <c r="HNK7" s="74"/>
      <c r="HNL7" s="72"/>
      <c r="HNS7" s="74"/>
      <c r="HNT7" s="72"/>
      <c r="HOA7" s="74"/>
      <c r="HOB7" s="72"/>
      <c r="HOI7" s="74"/>
      <c r="HOJ7" s="72"/>
      <c r="HOQ7" s="74"/>
      <c r="HOR7" s="72"/>
      <c r="HOY7" s="74"/>
      <c r="HOZ7" s="72"/>
      <c r="HPG7" s="74"/>
      <c r="HPH7" s="72"/>
      <c r="HPO7" s="74"/>
      <c r="HPP7" s="72"/>
      <c r="HPW7" s="74"/>
      <c r="HPX7" s="72"/>
      <c r="HQE7" s="74"/>
      <c r="HQF7" s="72"/>
      <c r="HQM7" s="74"/>
      <c r="HQN7" s="72"/>
      <c r="HQU7" s="74"/>
      <c r="HQV7" s="72"/>
      <c r="HRC7" s="74"/>
      <c r="HRD7" s="72"/>
      <c r="HRK7" s="74"/>
      <c r="HRL7" s="72"/>
      <c r="HRS7" s="74"/>
      <c r="HRT7" s="72"/>
      <c r="HSA7" s="74"/>
      <c r="HSB7" s="72"/>
      <c r="HSI7" s="74"/>
      <c r="HSJ7" s="72"/>
      <c r="HSQ7" s="74"/>
      <c r="HSR7" s="72"/>
      <c r="HSY7" s="74"/>
      <c r="HSZ7" s="72"/>
      <c r="HTG7" s="74"/>
      <c r="HTH7" s="72"/>
      <c r="HTO7" s="74"/>
      <c r="HTP7" s="72"/>
      <c r="HTW7" s="74"/>
      <c r="HTX7" s="72"/>
      <c r="HUE7" s="74"/>
      <c r="HUF7" s="72"/>
      <c r="HUM7" s="74"/>
      <c r="HUN7" s="72"/>
      <c r="HUU7" s="74"/>
      <c r="HUV7" s="72"/>
      <c r="HVC7" s="74"/>
      <c r="HVD7" s="72"/>
      <c r="HVK7" s="74"/>
      <c r="HVL7" s="72"/>
      <c r="HVS7" s="74"/>
      <c r="HVT7" s="72"/>
      <c r="HWA7" s="74"/>
      <c r="HWB7" s="72"/>
      <c r="HWI7" s="74"/>
      <c r="HWJ7" s="72"/>
      <c r="HWQ7" s="74"/>
      <c r="HWR7" s="72"/>
      <c r="HWY7" s="74"/>
      <c r="HWZ7" s="72"/>
      <c r="HXG7" s="74"/>
      <c r="HXH7" s="72"/>
      <c r="HXO7" s="74"/>
      <c r="HXP7" s="72"/>
      <c r="HXW7" s="74"/>
      <c r="HXX7" s="72"/>
      <c r="HYE7" s="74"/>
      <c r="HYF7" s="72"/>
      <c r="HYM7" s="74"/>
      <c r="HYN7" s="72"/>
      <c r="HYU7" s="74"/>
      <c r="HYV7" s="72"/>
      <c r="HZC7" s="74"/>
      <c r="HZD7" s="72"/>
      <c r="HZK7" s="74"/>
      <c r="HZL7" s="72"/>
      <c r="HZS7" s="74"/>
      <c r="HZT7" s="72"/>
      <c r="IAA7" s="74"/>
      <c r="IAB7" s="72"/>
      <c r="IAI7" s="74"/>
      <c r="IAJ7" s="72"/>
      <c r="IAQ7" s="74"/>
      <c r="IAR7" s="72"/>
      <c r="IAY7" s="74"/>
      <c r="IAZ7" s="72"/>
      <c r="IBG7" s="74"/>
      <c r="IBH7" s="72"/>
      <c r="IBO7" s="74"/>
      <c r="IBP7" s="72"/>
      <c r="IBW7" s="74"/>
      <c r="IBX7" s="72"/>
      <c r="ICE7" s="74"/>
      <c r="ICF7" s="72"/>
      <c r="ICM7" s="74"/>
      <c r="ICN7" s="72"/>
      <c r="ICU7" s="74"/>
      <c r="ICV7" s="72"/>
      <c r="IDC7" s="74"/>
      <c r="IDD7" s="72"/>
      <c r="IDK7" s="74"/>
      <c r="IDL7" s="72"/>
      <c r="IDS7" s="74"/>
      <c r="IDT7" s="72"/>
      <c r="IEA7" s="74"/>
      <c r="IEB7" s="72"/>
      <c r="IEI7" s="74"/>
      <c r="IEJ7" s="72"/>
      <c r="IEQ7" s="74"/>
      <c r="IER7" s="72"/>
      <c r="IEY7" s="74"/>
      <c r="IEZ7" s="72"/>
      <c r="IFG7" s="74"/>
      <c r="IFH7" s="72"/>
      <c r="IFO7" s="74"/>
      <c r="IFP7" s="72"/>
      <c r="IFW7" s="74"/>
      <c r="IFX7" s="72"/>
      <c r="IGE7" s="74"/>
      <c r="IGF7" s="72"/>
      <c r="IGM7" s="74"/>
      <c r="IGN7" s="72"/>
      <c r="IGU7" s="74"/>
      <c r="IGV7" s="72"/>
      <c r="IHC7" s="74"/>
      <c r="IHD7" s="72"/>
      <c r="IHK7" s="74"/>
      <c r="IHL7" s="72"/>
      <c r="IHS7" s="74"/>
      <c r="IHT7" s="72"/>
      <c r="IIA7" s="74"/>
      <c r="IIB7" s="72"/>
      <c r="III7" s="74"/>
      <c r="IIJ7" s="72"/>
      <c r="IIQ7" s="74"/>
      <c r="IIR7" s="72"/>
      <c r="IIY7" s="74"/>
      <c r="IIZ7" s="72"/>
      <c r="IJG7" s="74"/>
      <c r="IJH7" s="72"/>
      <c r="IJO7" s="74"/>
      <c r="IJP7" s="72"/>
      <c r="IJW7" s="74"/>
      <c r="IJX7" s="72"/>
      <c r="IKE7" s="74"/>
      <c r="IKF7" s="72"/>
      <c r="IKM7" s="74"/>
      <c r="IKN7" s="72"/>
      <c r="IKU7" s="74"/>
      <c r="IKV7" s="72"/>
      <c r="ILC7" s="74"/>
      <c r="ILD7" s="72"/>
      <c r="ILK7" s="74"/>
      <c r="ILL7" s="72"/>
      <c r="ILS7" s="74"/>
      <c r="ILT7" s="72"/>
      <c r="IMA7" s="74"/>
      <c r="IMB7" s="72"/>
      <c r="IMI7" s="74"/>
      <c r="IMJ7" s="72"/>
      <c r="IMQ7" s="74"/>
      <c r="IMR7" s="72"/>
      <c r="IMY7" s="74"/>
      <c r="IMZ7" s="72"/>
      <c r="ING7" s="74"/>
      <c r="INH7" s="72"/>
      <c r="INO7" s="74"/>
      <c r="INP7" s="72"/>
      <c r="INW7" s="74"/>
      <c r="INX7" s="72"/>
      <c r="IOE7" s="74"/>
      <c r="IOF7" s="72"/>
      <c r="IOM7" s="74"/>
      <c r="ION7" s="72"/>
      <c r="IOU7" s="74"/>
      <c r="IOV7" s="72"/>
      <c r="IPC7" s="74"/>
      <c r="IPD7" s="72"/>
      <c r="IPK7" s="74"/>
      <c r="IPL7" s="72"/>
      <c r="IPS7" s="74"/>
      <c r="IPT7" s="72"/>
      <c r="IQA7" s="74"/>
      <c r="IQB7" s="72"/>
      <c r="IQI7" s="74"/>
      <c r="IQJ7" s="72"/>
      <c r="IQQ7" s="74"/>
      <c r="IQR7" s="72"/>
      <c r="IQY7" s="74"/>
      <c r="IQZ7" s="72"/>
      <c r="IRG7" s="74"/>
      <c r="IRH7" s="72"/>
      <c r="IRO7" s="74"/>
      <c r="IRP7" s="72"/>
      <c r="IRW7" s="74"/>
      <c r="IRX7" s="72"/>
      <c r="ISE7" s="74"/>
      <c r="ISF7" s="72"/>
      <c r="ISM7" s="74"/>
      <c r="ISN7" s="72"/>
      <c r="ISU7" s="74"/>
      <c r="ISV7" s="72"/>
      <c r="ITC7" s="74"/>
      <c r="ITD7" s="72"/>
      <c r="ITK7" s="74"/>
      <c r="ITL7" s="72"/>
      <c r="ITS7" s="74"/>
      <c r="ITT7" s="72"/>
      <c r="IUA7" s="74"/>
      <c r="IUB7" s="72"/>
      <c r="IUI7" s="74"/>
      <c r="IUJ7" s="72"/>
      <c r="IUQ7" s="74"/>
      <c r="IUR7" s="72"/>
      <c r="IUY7" s="74"/>
      <c r="IUZ7" s="72"/>
      <c r="IVG7" s="74"/>
      <c r="IVH7" s="72"/>
      <c r="IVO7" s="74"/>
      <c r="IVP7" s="72"/>
      <c r="IVW7" s="74"/>
      <c r="IVX7" s="72"/>
      <c r="IWE7" s="74"/>
      <c r="IWF7" s="72"/>
      <c r="IWM7" s="74"/>
      <c r="IWN7" s="72"/>
      <c r="IWU7" s="74"/>
      <c r="IWV7" s="72"/>
      <c r="IXC7" s="74"/>
      <c r="IXD7" s="72"/>
      <c r="IXK7" s="74"/>
      <c r="IXL7" s="72"/>
      <c r="IXS7" s="74"/>
      <c r="IXT7" s="72"/>
      <c r="IYA7" s="74"/>
      <c r="IYB7" s="72"/>
      <c r="IYI7" s="74"/>
      <c r="IYJ7" s="72"/>
      <c r="IYQ7" s="74"/>
      <c r="IYR7" s="72"/>
      <c r="IYY7" s="74"/>
      <c r="IYZ7" s="72"/>
      <c r="IZG7" s="74"/>
      <c r="IZH7" s="72"/>
      <c r="IZO7" s="74"/>
      <c r="IZP7" s="72"/>
      <c r="IZW7" s="74"/>
      <c r="IZX7" s="72"/>
      <c r="JAE7" s="74"/>
      <c r="JAF7" s="72"/>
      <c r="JAM7" s="74"/>
      <c r="JAN7" s="72"/>
      <c r="JAU7" s="74"/>
      <c r="JAV7" s="72"/>
      <c r="JBC7" s="74"/>
      <c r="JBD7" s="72"/>
      <c r="JBK7" s="74"/>
      <c r="JBL7" s="72"/>
      <c r="JBS7" s="74"/>
      <c r="JBT7" s="72"/>
      <c r="JCA7" s="74"/>
      <c r="JCB7" s="72"/>
      <c r="JCI7" s="74"/>
      <c r="JCJ7" s="72"/>
      <c r="JCQ7" s="74"/>
      <c r="JCR7" s="72"/>
      <c r="JCY7" s="74"/>
      <c r="JCZ7" s="72"/>
      <c r="JDG7" s="74"/>
      <c r="JDH7" s="72"/>
      <c r="JDO7" s="74"/>
      <c r="JDP7" s="72"/>
      <c r="JDW7" s="74"/>
      <c r="JDX7" s="72"/>
      <c r="JEE7" s="74"/>
      <c r="JEF7" s="72"/>
      <c r="JEM7" s="74"/>
      <c r="JEN7" s="72"/>
      <c r="JEU7" s="74"/>
      <c r="JEV7" s="72"/>
      <c r="JFC7" s="74"/>
      <c r="JFD7" s="72"/>
      <c r="JFK7" s="74"/>
      <c r="JFL7" s="72"/>
      <c r="JFS7" s="74"/>
      <c r="JFT7" s="72"/>
      <c r="JGA7" s="74"/>
      <c r="JGB7" s="72"/>
      <c r="JGI7" s="74"/>
      <c r="JGJ7" s="72"/>
      <c r="JGQ7" s="74"/>
      <c r="JGR7" s="72"/>
      <c r="JGY7" s="74"/>
      <c r="JGZ7" s="72"/>
      <c r="JHG7" s="74"/>
      <c r="JHH7" s="72"/>
      <c r="JHO7" s="74"/>
      <c r="JHP7" s="72"/>
      <c r="JHW7" s="74"/>
      <c r="JHX7" s="72"/>
      <c r="JIE7" s="74"/>
      <c r="JIF7" s="72"/>
      <c r="JIM7" s="74"/>
      <c r="JIN7" s="72"/>
      <c r="JIU7" s="74"/>
      <c r="JIV7" s="72"/>
      <c r="JJC7" s="74"/>
      <c r="JJD7" s="72"/>
      <c r="JJK7" s="74"/>
      <c r="JJL7" s="72"/>
      <c r="JJS7" s="74"/>
      <c r="JJT7" s="72"/>
      <c r="JKA7" s="74"/>
      <c r="JKB7" s="72"/>
      <c r="JKI7" s="74"/>
      <c r="JKJ7" s="72"/>
      <c r="JKQ7" s="74"/>
      <c r="JKR7" s="72"/>
      <c r="JKY7" s="74"/>
      <c r="JKZ7" s="72"/>
      <c r="JLG7" s="74"/>
      <c r="JLH7" s="72"/>
      <c r="JLO7" s="74"/>
      <c r="JLP7" s="72"/>
      <c r="JLW7" s="74"/>
      <c r="JLX7" s="72"/>
      <c r="JME7" s="74"/>
      <c r="JMF7" s="72"/>
      <c r="JMM7" s="74"/>
      <c r="JMN7" s="72"/>
      <c r="JMU7" s="74"/>
      <c r="JMV7" s="72"/>
      <c r="JNC7" s="74"/>
      <c r="JND7" s="72"/>
      <c r="JNK7" s="74"/>
      <c r="JNL7" s="72"/>
      <c r="JNS7" s="74"/>
      <c r="JNT7" s="72"/>
      <c r="JOA7" s="74"/>
      <c r="JOB7" s="72"/>
      <c r="JOI7" s="74"/>
      <c r="JOJ7" s="72"/>
      <c r="JOQ7" s="74"/>
      <c r="JOR7" s="72"/>
      <c r="JOY7" s="74"/>
      <c r="JOZ7" s="72"/>
      <c r="JPG7" s="74"/>
      <c r="JPH7" s="72"/>
      <c r="JPO7" s="74"/>
      <c r="JPP7" s="72"/>
      <c r="JPW7" s="74"/>
      <c r="JPX7" s="72"/>
      <c r="JQE7" s="74"/>
      <c r="JQF7" s="72"/>
      <c r="JQM7" s="74"/>
      <c r="JQN7" s="72"/>
      <c r="JQU7" s="74"/>
      <c r="JQV7" s="72"/>
      <c r="JRC7" s="74"/>
      <c r="JRD7" s="72"/>
      <c r="JRK7" s="74"/>
      <c r="JRL7" s="72"/>
      <c r="JRS7" s="74"/>
      <c r="JRT7" s="72"/>
      <c r="JSA7" s="74"/>
      <c r="JSB7" s="72"/>
      <c r="JSI7" s="74"/>
      <c r="JSJ7" s="72"/>
      <c r="JSQ7" s="74"/>
      <c r="JSR7" s="72"/>
      <c r="JSY7" s="74"/>
      <c r="JSZ7" s="72"/>
      <c r="JTG7" s="74"/>
      <c r="JTH7" s="72"/>
      <c r="JTO7" s="74"/>
      <c r="JTP7" s="72"/>
      <c r="JTW7" s="74"/>
      <c r="JTX7" s="72"/>
      <c r="JUE7" s="74"/>
      <c r="JUF7" s="72"/>
      <c r="JUM7" s="74"/>
      <c r="JUN7" s="72"/>
      <c r="JUU7" s="74"/>
      <c r="JUV7" s="72"/>
      <c r="JVC7" s="74"/>
      <c r="JVD7" s="72"/>
      <c r="JVK7" s="74"/>
      <c r="JVL7" s="72"/>
      <c r="JVS7" s="74"/>
      <c r="JVT7" s="72"/>
      <c r="JWA7" s="74"/>
      <c r="JWB7" s="72"/>
      <c r="JWI7" s="74"/>
      <c r="JWJ7" s="72"/>
      <c r="JWQ7" s="74"/>
      <c r="JWR7" s="72"/>
      <c r="JWY7" s="74"/>
      <c r="JWZ7" s="72"/>
      <c r="JXG7" s="74"/>
      <c r="JXH7" s="72"/>
      <c r="JXO7" s="74"/>
      <c r="JXP7" s="72"/>
      <c r="JXW7" s="74"/>
      <c r="JXX7" s="72"/>
      <c r="JYE7" s="74"/>
      <c r="JYF7" s="72"/>
      <c r="JYM7" s="74"/>
      <c r="JYN7" s="72"/>
      <c r="JYU7" s="74"/>
      <c r="JYV7" s="72"/>
      <c r="JZC7" s="74"/>
      <c r="JZD7" s="72"/>
      <c r="JZK7" s="74"/>
      <c r="JZL7" s="72"/>
      <c r="JZS7" s="74"/>
      <c r="JZT7" s="72"/>
      <c r="KAA7" s="74"/>
      <c r="KAB7" s="72"/>
      <c r="KAI7" s="74"/>
      <c r="KAJ7" s="72"/>
      <c r="KAQ7" s="74"/>
      <c r="KAR7" s="72"/>
      <c r="KAY7" s="74"/>
      <c r="KAZ7" s="72"/>
      <c r="KBG7" s="74"/>
      <c r="KBH7" s="72"/>
      <c r="KBO7" s="74"/>
      <c r="KBP7" s="72"/>
      <c r="KBW7" s="74"/>
      <c r="KBX7" s="72"/>
      <c r="KCE7" s="74"/>
      <c r="KCF7" s="72"/>
      <c r="KCM7" s="74"/>
      <c r="KCN7" s="72"/>
      <c r="KCU7" s="74"/>
      <c r="KCV7" s="72"/>
      <c r="KDC7" s="74"/>
      <c r="KDD7" s="72"/>
      <c r="KDK7" s="74"/>
      <c r="KDL7" s="72"/>
      <c r="KDS7" s="74"/>
      <c r="KDT7" s="72"/>
      <c r="KEA7" s="74"/>
      <c r="KEB7" s="72"/>
      <c r="KEI7" s="74"/>
      <c r="KEJ7" s="72"/>
      <c r="KEQ7" s="74"/>
      <c r="KER7" s="72"/>
      <c r="KEY7" s="74"/>
      <c r="KEZ7" s="72"/>
      <c r="KFG7" s="74"/>
      <c r="KFH7" s="72"/>
      <c r="KFO7" s="74"/>
      <c r="KFP7" s="72"/>
      <c r="KFW7" s="74"/>
      <c r="KFX7" s="72"/>
      <c r="KGE7" s="74"/>
      <c r="KGF7" s="72"/>
      <c r="KGM7" s="74"/>
      <c r="KGN7" s="72"/>
      <c r="KGU7" s="74"/>
      <c r="KGV7" s="72"/>
      <c r="KHC7" s="74"/>
      <c r="KHD7" s="72"/>
      <c r="KHK7" s="74"/>
      <c r="KHL7" s="72"/>
      <c r="KHS7" s="74"/>
      <c r="KHT7" s="72"/>
      <c r="KIA7" s="74"/>
      <c r="KIB7" s="72"/>
      <c r="KII7" s="74"/>
      <c r="KIJ7" s="72"/>
      <c r="KIQ7" s="74"/>
      <c r="KIR7" s="72"/>
      <c r="KIY7" s="74"/>
      <c r="KIZ7" s="72"/>
      <c r="KJG7" s="74"/>
      <c r="KJH7" s="72"/>
      <c r="KJO7" s="74"/>
      <c r="KJP7" s="72"/>
      <c r="KJW7" s="74"/>
      <c r="KJX7" s="72"/>
      <c r="KKE7" s="74"/>
      <c r="KKF7" s="72"/>
      <c r="KKM7" s="74"/>
      <c r="KKN7" s="72"/>
      <c r="KKU7" s="74"/>
      <c r="KKV7" s="72"/>
      <c r="KLC7" s="74"/>
      <c r="KLD7" s="72"/>
      <c r="KLK7" s="74"/>
      <c r="KLL7" s="72"/>
      <c r="KLS7" s="74"/>
      <c r="KLT7" s="72"/>
      <c r="KMA7" s="74"/>
      <c r="KMB7" s="72"/>
      <c r="KMI7" s="74"/>
      <c r="KMJ7" s="72"/>
      <c r="KMQ7" s="74"/>
      <c r="KMR7" s="72"/>
      <c r="KMY7" s="74"/>
      <c r="KMZ7" s="72"/>
      <c r="KNG7" s="74"/>
      <c r="KNH7" s="72"/>
      <c r="KNO7" s="74"/>
      <c r="KNP7" s="72"/>
      <c r="KNW7" s="74"/>
      <c r="KNX7" s="72"/>
      <c r="KOE7" s="74"/>
      <c r="KOF7" s="72"/>
      <c r="KOM7" s="74"/>
      <c r="KON7" s="72"/>
      <c r="KOU7" s="74"/>
      <c r="KOV7" s="72"/>
      <c r="KPC7" s="74"/>
      <c r="KPD7" s="72"/>
      <c r="KPK7" s="74"/>
      <c r="KPL7" s="72"/>
      <c r="KPS7" s="74"/>
      <c r="KPT7" s="72"/>
      <c r="KQA7" s="74"/>
      <c r="KQB7" s="72"/>
      <c r="KQI7" s="74"/>
      <c r="KQJ7" s="72"/>
      <c r="KQQ7" s="74"/>
      <c r="KQR7" s="72"/>
      <c r="KQY7" s="74"/>
      <c r="KQZ7" s="72"/>
      <c r="KRG7" s="74"/>
      <c r="KRH7" s="72"/>
      <c r="KRO7" s="74"/>
      <c r="KRP7" s="72"/>
      <c r="KRW7" s="74"/>
      <c r="KRX7" s="72"/>
      <c r="KSE7" s="74"/>
      <c r="KSF7" s="72"/>
      <c r="KSM7" s="74"/>
      <c r="KSN7" s="72"/>
      <c r="KSU7" s="74"/>
      <c r="KSV7" s="72"/>
      <c r="KTC7" s="74"/>
      <c r="KTD7" s="72"/>
      <c r="KTK7" s="74"/>
      <c r="KTL7" s="72"/>
      <c r="KTS7" s="74"/>
      <c r="KTT7" s="72"/>
      <c r="KUA7" s="74"/>
      <c r="KUB7" s="72"/>
      <c r="KUI7" s="74"/>
      <c r="KUJ7" s="72"/>
      <c r="KUQ7" s="74"/>
      <c r="KUR7" s="72"/>
      <c r="KUY7" s="74"/>
      <c r="KUZ7" s="72"/>
      <c r="KVG7" s="74"/>
      <c r="KVH7" s="72"/>
      <c r="KVO7" s="74"/>
      <c r="KVP7" s="72"/>
      <c r="KVW7" s="74"/>
      <c r="KVX7" s="72"/>
      <c r="KWE7" s="74"/>
      <c r="KWF7" s="72"/>
      <c r="KWM7" s="74"/>
      <c r="KWN7" s="72"/>
      <c r="KWU7" s="74"/>
      <c r="KWV7" s="72"/>
      <c r="KXC7" s="74"/>
      <c r="KXD7" s="72"/>
      <c r="KXK7" s="74"/>
      <c r="KXL7" s="72"/>
      <c r="KXS7" s="74"/>
      <c r="KXT7" s="72"/>
      <c r="KYA7" s="74"/>
      <c r="KYB7" s="72"/>
      <c r="KYI7" s="74"/>
      <c r="KYJ7" s="72"/>
      <c r="KYQ7" s="74"/>
      <c r="KYR7" s="72"/>
      <c r="KYY7" s="74"/>
      <c r="KYZ7" s="72"/>
      <c r="KZG7" s="74"/>
      <c r="KZH7" s="72"/>
      <c r="KZO7" s="74"/>
      <c r="KZP7" s="72"/>
      <c r="KZW7" s="74"/>
      <c r="KZX7" s="72"/>
      <c r="LAE7" s="74"/>
      <c r="LAF7" s="72"/>
      <c r="LAM7" s="74"/>
      <c r="LAN7" s="72"/>
      <c r="LAU7" s="74"/>
      <c r="LAV7" s="72"/>
      <c r="LBC7" s="74"/>
      <c r="LBD7" s="72"/>
      <c r="LBK7" s="74"/>
      <c r="LBL7" s="72"/>
      <c r="LBS7" s="74"/>
      <c r="LBT7" s="72"/>
      <c r="LCA7" s="74"/>
      <c r="LCB7" s="72"/>
      <c r="LCI7" s="74"/>
      <c r="LCJ7" s="72"/>
      <c r="LCQ7" s="74"/>
      <c r="LCR7" s="72"/>
      <c r="LCY7" s="74"/>
      <c r="LCZ7" s="72"/>
      <c r="LDG7" s="74"/>
      <c r="LDH7" s="72"/>
      <c r="LDO7" s="74"/>
      <c r="LDP7" s="72"/>
      <c r="LDW7" s="74"/>
      <c r="LDX7" s="72"/>
      <c r="LEE7" s="74"/>
      <c r="LEF7" s="72"/>
      <c r="LEM7" s="74"/>
      <c r="LEN7" s="72"/>
      <c r="LEU7" s="74"/>
      <c r="LEV7" s="72"/>
      <c r="LFC7" s="74"/>
      <c r="LFD7" s="72"/>
      <c r="LFK7" s="74"/>
      <c r="LFL7" s="72"/>
      <c r="LFS7" s="74"/>
      <c r="LFT7" s="72"/>
      <c r="LGA7" s="74"/>
      <c r="LGB7" s="72"/>
      <c r="LGI7" s="74"/>
      <c r="LGJ7" s="72"/>
      <c r="LGQ7" s="74"/>
      <c r="LGR7" s="72"/>
      <c r="LGY7" s="74"/>
      <c r="LGZ7" s="72"/>
      <c r="LHG7" s="74"/>
      <c r="LHH7" s="72"/>
      <c r="LHO7" s="74"/>
      <c r="LHP7" s="72"/>
      <c r="LHW7" s="74"/>
      <c r="LHX7" s="72"/>
      <c r="LIE7" s="74"/>
      <c r="LIF7" s="72"/>
      <c r="LIM7" s="74"/>
      <c r="LIN7" s="72"/>
      <c r="LIU7" s="74"/>
      <c r="LIV7" s="72"/>
      <c r="LJC7" s="74"/>
      <c r="LJD7" s="72"/>
      <c r="LJK7" s="74"/>
      <c r="LJL7" s="72"/>
      <c r="LJS7" s="74"/>
      <c r="LJT7" s="72"/>
      <c r="LKA7" s="74"/>
      <c r="LKB7" s="72"/>
      <c r="LKI7" s="74"/>
      <c r="LKJ7" s="72"/>
      <c r="LKQ7" s="74"/>
      <c r="LKR7" s="72"/>
      <c r="LKY7" s="74"/>
      <c r="LKZ7" s="72"/>
      <c r="LLG7" s="74"/>
      <c r="LLH7" s="72"/>
      <c r="LLO7" s="74"/>
      <c r="LLP7" s="72"/>
      <c r="LLW7" s="74"/>
      <c r="LLX7" s="72"/>
      <c r="LME7" s="74"/>
      <c r="LMF7" s="72"/>
      <c r="LMM7" s="74"/>
      <c r="LMN7" s="72"/>
      <c r="LMU7" s="74"/>
      <c r="LMV7" s="72"/>
      <c r="LNC7" s="74"/>
      <c r="LND7" s="72"/>
      <c r="LNK7" s="74"/>
      <c r="LNL7" s="72"/>
      <c r="LNS7" s="74"/>
      <c r="LNT7" s="72"/>
      <c r="LOA7" s="74"/>
      <c r="LOB7" s="72"/>
      <c r="LOI7" s="74"/>
      <c r="LOJ7" s="72"/>
      <c r="LOQ7" s="74"/>
      <c r="LOR7" s="72"/>
      <c r="LOY7" s="74"/>
      <c r="LOZ7" s="72"/>
      <c r="LPG7" s="74"/>
      <c r="LPH7" s="72"/>
      <c r="LPO7" s="74"/>
      <c r="LPP7" s="72"/>
      <c r="LPW7" s="74"/>
      <c r="LPX7" s="72"/>
      <c r="LQE7" s="74"/>
      <c r="LQF7" s="72"/>
      <c r="LQM7" s="74"/>
      <c r="LQN7" s="72"/>
      <c r="LQU7" s="74"/>
      <c r="LQV7" s="72"/>
      <c r="LRC7" s="74"/>
      <c r="LRD7" s="72"/>
      <c r="LRK7" s="74"/>
      <c r="LRL7" s="72"/>
      <c r="LRS7" s="74"/>
      <c r="LRT7" s="72"/>
      <c r="LSA7" s="74"/>
      <c r="LSB7" s="72"/>
      <c r="LSI7" s="74"/>
      <c r="LSJ7" s="72"/>
      <c r="LSQ7" s="74"/>
      <c r="LSR7" s="72"/>
      <c r="LSY7" s="74"/>
      <c r="LSZ7" s="72"/>
      <c r="LTG7" s="74"/>
      <c r="LTH7" s="72"/>
      <c r="LTO7" s="74"/>
      <c r="LTP7" s="72"/>
      <c r="LTW7" s="74"/>
      <c r="LTX7" s="72"/>
      <c r="LUE7" s="74"/>
      <c r="LUF7" s="72"/>
      <c r="LUM7" s="74"/>
      <c r="LUN7" s="72"/>
      <c r="LUU7" s="74"/>
      <c r="LUV7" s="72"/>
      <c r="LVC7" s="74"/>
      <c r="LVD7" s="72"/>
      <c r="LVK7" s="74"/>
      <c r="LVL7" s="72"/>
      <c r="LVS7" s="74"/>
      <c r="LVT7" s="72"/>
      <c r="LWA7" s="74"/>
      <c r="LWB7" s="72"/>
      <c r="LWI7" s="74"/>
      <c r="LWJ7" s="72"/>
      <c r="LWQ7" s="74"/>
      <c r="LWR7" s="72"/>
      <c r="LWY7" s="74"/>
      <c r="LWZ7" s="72"/>
      <c r="LXG7" s="74"/>
      <c r="LXH7" s="72"/>
      <c r="LXO7" s="74"/>
      <c r="LXP7" s="72"/>
      <c r="LXW7" s="74"/>
      <c r="LXX7" s="72"/>
      <c r="LYE7" s="74"/>
      <c r="LYF7" s="72"/>
      <c r="LYM7" s="74"/>
      <c r="LYN7" s="72"/>
      <c r="LYU7" s="74"/>
      <c r="LYV7" s="72"/>
      <c r="LZC7" s="74"/>
      <c r="LZD7" s="72"/>
      <c r="LZK7" s="74"/>
      <c r="LZL7" s="72"/>
      <c r="LZS7" s="74"/>
      <c r="LZT7" s="72"/>
      <c r="MAA7" s="74"/>
      <c r="MAB7" s="72"/>
      <c r="MAI7" s="74"/>
      <c r="MAJ7" s="72"/>
      <c r="MAQ7" s="74"/>
      <c r="MAR7" s="72"/>
      <c r="MAY7" s="74"/>
      <c r="MAZ7" s="72"/>
      <c r="MBG7" s="74"/>
      <c r="MBH7" s="72"/>
      <c r="MBO7" s="74"/>
      <c r="MBP7" s="72"/>
      <c r="MBW7" s="74"/>
      <c r="MBX7" s="72"/>
      <c r="MCE7" s="74"/>
      <c r="MCF7" s="72"/>
      <c r="MCM7" s="74"/>
      <c r="MCN7" s="72"/>
      <c r="MCU7" s="74"/>
      <c r="MCV7" s="72"/>
      <c r="MDC7" s="74"/>
      <c r="MDD7" s="72"/>
      <c r="MDK7" s="74"/>
      <c r="MDL7" s="72"/>
      <c r="MDS7" s="74"/>
      <c r="MDT7" s="72"/>
      <c r="MEA7" s="74"/>
      <c r="MEB7" s="72"/>
      <c r="MEI7" s="74"/>
      <c r="MEJ7" s="72"/>
      <c r="MEQ7" s="74"/>
      <c r="MER7" s="72"/>
      <c r="MEY7" s="74"/>
      <c r="MEZ7" s="72"/>
      <c r="MFG7" s="74"/>
      <c r="MFH7" s="72"/>
      <c r="MFO7" s="74"/>
      <c r="MFP7" s="72"/>
      <c r="MFW7" s="74"/>
      <c r="MFX7" s="72"/>
      <c r="MGE7" s="74"/>
      <c r="MGF7" s="72"/>
      <c r="MGM7" s="74"/>
      <c r="MGN7" s="72"/>
      <c r="MGU7" s="74"/>
      <c r="MGV7" s="72"/>
      <c r="MHC7" s="74"/>
      <c r="MHD7" s="72"/>
      <c r="MHK7" s="74"/>
      <c r="MHL7" s="72"/>
      <c r="MHS7" s="74"/>
      <c r="MHT7" s="72"/>
      <c r="MIA7" s="74"/>
      <c r="MIB7" s="72"/>
      <c r="MII7" s="74"/>
      <c r="MIJ7" s="72"/>
      <c r="MIQ7" s="74"/>
      <c r="MIR7" s="72"/>
      <c r="MIY7" s="74"/>
      <c r="MIZ7" s="72"/>
      <c r="MJG7" s="74"/>
      <c r="MJH7" s="72"/>
      <c r="MJO7" s="74"/>
      <c r="MJP7" s="72"/>
      <c r="MJW7" s="74"/>
      <c r="MJX7" s="72"/>
      <c r="MKE7" s="74"/>
      <c r="MKF7" s="72"/>
      <c r="MKM7" s="74"/>
      <c r="MKN7" s="72"/>
      <c r="MKU7" s="74"/>
      <c r="MKV7" s="72"/>
      <c r="MLC7" s="74"/>
      <c r="MLD7" s="72"/>
      <c r="MLK7" s="74"/>
      <c r="MLL7" s="72"/>
      <c r="MLS7" s="74"/>
      <c r="MLT7" s="72"/>
      <c r="MMA7" s="74"/>
      <c r="MMB7" s="72"/>
      <c r="MMI7" s="74"/>
      <c r="MMJ7" s="72"/>
      <c r="MMQ7" s="74"/>
      <c r="MMR7" s="72"/>
      <c r="MMY7" s="74"/>
      <c r="MMZ7" s="72"/>
      <c r="MNG7" s="74"/>
      <c r="MNH7" s="72"/>
      <c r="MNO7" s="74"/>
      <c r="MNP7" s="72"/>
      <c r="MNW7" s="74"/>
      <c r="MNX7" s="72"/>
      <c r="MOE7" s="74"/>
      <c r="MOF7" s="72"/>
      <c r="MOM7" s="74"/>
      <c r="MON7" s="72"/>
      <c r="MOU7" s="74"/>
      <c r="MOV7" s="72"/>
      <c r="MPC7" s="74"/>
      <c r="MPD7" s="72"/>
      <c r="MPK7" s="74"/>
      <c r="MPL7" s="72"/>
      <c r="MPS7" s="74"/>
      <c r="MPT7" s="72"/>
      <c r="MQA7" s="74"/>
      <c r="MQB7" s="72"/>
      <c r="MQI7" s="74"/>
      <c r="MQJ7" s="72"/>
      <c r="MQQ7" s="74"/>
      <c r="MQR7" s="72"/>
      <c r="MQY7" s="74"/>
      <c r="MQZ7" s="72"/>
      <c r="MRG7" s="74"/>
      <c r="MRH7" s="72"/>
      <c r="MRO7" s="74"/>
      <c r="MRP7" s="72"/>
      <c r="MRW7" s="74"/>
      <c r="MRX7" s="72"/>
      <c r="MSE7" s="74"/>
      <c r="MSF7" s="72"/>
      <c r="MSM7" s="74"/>
      <c r="MSN7" s="72"/>
      <c r="MSU7" s="74"/>
      <c r="MSV7" s="72"/>
      <c r="MTC7" s="74"/>
      <c r="MTD7" s="72"/>
      <c r="MTK7" s="74"/>
      <c r="MTL7" s="72"/>
      <c r="MTS7" s="74"/>
      <c r="MTT7" s="72"/>
      <c r="MUA7" s="74"/>
      <c r="MUB7" s="72"/>
      <c r="MUI7" s="74"/>
      <c r="MUJ7" s="72"/>
      <c r="MUQ7" s="74"/>
      <c r="MUR7" s="72"/>
      <c r="MUY7" s="74"/>
      <c r="MUZ7" s="72"/>
      <c r="MVG7" s="74"/>
      <c r="MVH7" s="72"/>
      <c r="MVO7" s="74"/>
      <c r="MVP7" s="72"/>
      <c r="MVW7" s="74"/>
      <c r="MVX7" s="72"/>
      <c r="MWE7" s="74"/>
      <c r="MWF7" s="72"/>
      <c r="MWM7" s="74"/>
      <c r="MWN7" s="72"/>
      <c r="MWU7" s="74"/>
      <c r="MWV7" s="72"/>
      <c r="MXC7" s="74"/>
      <c r="MXD7" s="72"/>
      <c r="MXK7" s="74"/>
      <c r="MXL7" s="72"/>
      <c r="MXS7" s="74"/>
      <c r="MXT7" s="72"/>
      <c r="MYA7" s="74"/>
      <c r="MYB7" s="72"/>
      <c r="MYI7" s="74"/>
      <c r="MYJ7" s="72"/>
      <c r="MYQ7" s="74"/>
      <c r="MYR7" s="72"/>
      <c r="MYY7" s="74"/>
      <c r="MYZ7" s="72"/>
      <c r="MZG7" s="74"/>
      <c r="MZH7" s="72"/>
      <c r="MZO7" s="74"/>
      <c r="MZP7" s="72"/>
      <c r="MZW7" s="74"/>
      <c r="MZX7" s="72"/>
      <c r="NAE7" s="74"/>
      <c r="NAF7" s="72"/>
      <c r="NAM7" s="74"/>
      <c r="NAN7" s="72"/>
      <c r="NAU7" s="74"/>
      <c r="NAV7" s="72"/>
      <c r="NBC7" s="74"/>
      <c r="NBD7" s="72"/>
      <c r="NBK7" s="74"/>
      <c r="NBL7" s="72"/>
      <c r="NBS7" s="74"/>
      <c r="NBT7" s="72"/>
      <c r="NCA7" s="74"/>
      <c r="NCB7" s="72"/>
      <c r="NCI7" s="74"/>
      <c r="NCJ7" s="72"/>
      <c r="NCQ7" s="74"/>
      <c r="NCR7" s="72"/>
      <c r="NCY7" s="74"/>
      <c r="NCZ7" s="72"/>
      <c r="NDG7" s="74"/>
      <c r="NDH7" s="72"/>
      <c r="NDO7" s="74"/>
      <c r="NDP7" s="72"/>
      <c r="NDW7" s="74"/>
      <c r="NDX7" s="72"/>
      <c r="NEE7" s="74"/>
      <c r="NEF7" s="72"/>
      <c r="NEM7" s="74"/>
      <c r="NEN7" s="72"/>
      <c r="NEU7" s="74"/>
      <c r="NEV7" s="72"/>
      <c r="NFC7" s="74"/>
      <c r="NFD7" s="72"/>
      <c r="NFK7" s="74"/>
      <c r="NFL7" s="72"/>
      <c r="NFS7" s="74"/>
      <c r="NFT7" s="72"/>
      <c r="NGA7" s="74"/>
      <c r="NGB7" s="72"/>
      <c r="NGI7" s="74"/>
      <c r="NGJ7" s="72"/>
      <c r="NGQ7" s="74"/>
      <c r="NGR7" s="72"/>
      <c r="NGY7" s="74"/>
      <c r="NGZ7" s="72"/>
      <c r="NHG7" s="74"/>
      <c r="NHH7" s="72"/>
      <c r="NHO7" s="74"/>
      <c r="NHP7" s="72"/>
      <c r="NHW7" s="74"/>
      <c r="NHX7" s="72"/>
      <c r="NIE7" s="74"/>
      <c r="NIF7" s="72"/>
      <c r="NIM7" s="74"/>
      <c r="NIN7" s="72"/>
      <c r="NIU7" s="74"/>
      <c r="NIV7" s="72"/>
      <c r="NJC7" s="74"/>
      <c r="NJD7" s="72"/>
      <c r="NJK7" s="74"/>
      <c r="NJL7" s="72"/>
      <c r="NJS7" s="74"/>
      <c r="NJT7" s="72"/>
      <c r="NKA7" s="74"/>
      <c r="NKB7" s="72"/>
      <c r="NKI7" s="74"/>
      <c r="NKJ7" s="72"/>
      <c r="NKQ7" s="74"/>
      <c r="NKR7" s="72"/>
      <c r="NKY7" s="74"/>
      <c r="NKZ7" s="72"/>
      <c r="NLG7" s="74"/>
      <c r="NLH7" s="72"/>
      <c r="NLO7" s="74"/>
      <c r="NLP7" s="72"/>
      <c r="NLW7" s="74"/>
      <c r="NLX7" s="72"/>
      <c r="NME7" s="74"/>
      <c r="NMF7" s="72"/>
      <c r="NMM7" s="74"/>
      <c r="NMN7" s="72"/>
      <c r="NMU7" s="74"/>
      <c r="NMV7" s="72"/>
      <c r="NNC7" s="74"/>
      <c r="NND7" s="72"/>
      <c r="NNK7" s="74"/>
      <c r="NNL7" s="72"/>
      <c r="NNS7" s="74"/>
      <c r="NNT7" s="72"/>
      <c r="NOA7" s="74"/>
      <c r="NOB7" s="72"/>
      <c r="NOI7" s="74"/>
      <c r="NOJ7" s="72"/>
      <c r="NOQ7" s="74"/>
      <c r="NOR7" s="72"/>
      <c r="NOY7" s="74"/>
      <c r="NOZ7" s="72"/>
      <c r="NPG7" s="74"/>
      <c r="NPH7" s="72"/>
      <c r="NPO7" s="74"/>
      <c r="NPP7" s="72"/>
      <c r="NPW7" s="74"/>
      <c r="NPX7" s="72"/>
      <c r="NQE7" s="74"/>
      <c r="NQF7" s="72"/>
      <c r="NQM7" s="74"/>
      <c r="NQN7" s="72"/>
      <c r="NQU7" s="74"/>
      <c r="NQV7" s="72"/>
      <c r="NRC7" s="74"/>
      <c r="NRD7" s="72"/>
      <c r="NRK7" s="74"/>
      <c r="NRL7" s="72"/>
      <c r="NRS7" s="74"/>
      <c r="NRT7" s="72"/>
      <c r="NSA7" s="74"/>
      <c r="NSB7" s="72"/>
      <c r="NSI7" s="74"/>
      <c r="NSJ7" s="72"/>
      <c r="NSQ7" s="74"/>
      <c r="NSR7" s="72"/>
      <c r="NSY7" s="74"/>
      <c r="NSZ7" s="72"/>
      <c r="NTG7" s="74"/>
      <c r="NTH7" s="72"/>
      <c r="NTO7" s="74"/>
      <c r="NTP7" s="72"/>
      <c r="NTW7" s="74"/>
      <c r="NTX7" s="72"/>
      <c r="NUE7" s="74"/>
      <c r="NUF7" s="72"/>
      <c r="NUM7" s="74"/>
      <c r="NUN7" s="72"/>
      <c r="NUU7" s="74"/>
      <c r="NUV7" s="72"/>
      <c r="NVC7" s="74"/>
      <c r="NVD7" s="72"/>
      <c r="NVK7" s="74"/>
      <c r="NVL7" s="72"/>
      <c r="NVS7" s="74"/>
      <c r="NVT7" s="72"/>
      <c r="NWA7" s="74"/>
      <c r="NWB7" s="72"/>
      <c r="NWI7" s="74"/>
      <c r="NWJ7" s="72"/>
      <c r="NWQ7" s="74"/>
      <c r="NWR7" s="72"/>
      <c r="NWY7" s="74"/>
      <c r="NWZ7" s="72"/>
      <c r="NXG7" s="74"/>
      <c r="NXH7" s="72"/>
      <c r="NXO7" s="74"/>
      <c r="NXP7" s="72"/>
      <c r="NXW7" s="74"/>
      <c r="NXX7" s="72"/>
      <c r="NYE7" s="74"/>
      <c r="NYF7" s="72"/>
      <c r="NYM7" s="74"/>
      <c r="NYN7" s="72"/>
      <c r="NYU7" s="74"/>
      <c r="NYV7" s="72"/>
      <c r="NZC7" s="74"/>
      <c r="NZD7" s="72"/>
      <c r="NZK7" s="74"/>
      <c r="NZL7" s="72"/>
      <c r="NZS7" s="74"/>
      <c r="NZT7" s="72"/>
      <c r="OAA7" s="74"/>
      <c r="OAB7" s="72"/>
      <c r="OAI7" s="74"/>
      <c r="OAJ7" s="72"/>
      <c r="OAQ7" s="74"/>
      <c r="OAR7" s="72"/>
      <c r="OAY7" s="74"/>
      <c r="OAZ7" s="72"/>
      <c r="OBG7" s="74"/>
      <c r="OBH7" s="72"/>
      <c r="OBO7" s="74"/>
      <c r="OBP7" s="72"/>
      <c r="OBW7" s="74"/>
      <c r="OBX7" s="72"/>
      <c r="OCE7" s="74"/>
      <c r="OCF7" s="72"/>
      <c r="OCM7" s="74"/>
      <c r="OCN7" s="72"/>
      <c r="OCU7" s="74"/>
      <c r="OCV7" s="72"/>
      <c r="ODC7" s="74"/>
      <c r="ODD7" s="72"/>
      <c r="ODK7" s="74"/>
      <c r="ODL7" s="72"/>
      <c r="ODS7" s="74"/>
      <c r="ODT7" s="72"/>
      <c r="OEA7" s="74"/>
      <c r="OEB7" s="72"/>
      <c r="OEI7" s="74"/>
      <c r="OEJ7" s="72"/>
      <c r="OEQ7" s="74"/>
      <c r="OER7" s="72"/>
      <c r="OEY7" s="74"/>
      <c r="OEZ7" s="72"/>
      <c r="OFG7" s="74"/>
      <c r="OFH7" s="72"/>
      <c r="OFO7" s="74"/>
      <c r="OFP7" s="72"/>
      <c r="OFW7" s="74"/>
      <c r="OFX7" s="72"/>
      <c r="OGE7" s="74"/>
      <c r="OGF7" s="72"/>
      <c r="OGM7" s="74"/>
      <c r="OGN7" s="72"/>
      <c r="OGU7" s="74"/>
      <c r="OGV7" s="72"/>
      <c r="OHC7" s="74"/>
      <c r="OHD7" s="72"/>
      <c r="OHK7" s="74"/>
      <c r="OHL7" s="72"/>
      <c r="OHS7" s="74"/>
      <c r="OHT7" s="72"/>
      <c r="OIA7" s="74"/>
      <c r="OIB7" s="72"/>
      <c r="OII7" s="74"/>
      <c r="OIJ7" s="72"/>
      <c r="OIQ7" s="74"/>
      <c r="OIR7" s="72"/>
      <c r="OIY7" s="74"/>
      <c r="OIZ7" s="72"/>
      <c r="OJG7" s="74"/>
      <c r="OJH7" s="72"/>
      <c r="OJO7" s="74"/>
      <c r="OJP7" s="72"/>
      <c r="OJW7" s="74"/>
      <c r="OJX7" s="72"/>
      <c r="OKE7" s="74"/>
      <c r="OKF7" s="72"/>
      <c r="OKM7" s="74"/>
      <c r="OKN7" s="72"/>
      <c r="OKU7" s="74"/>
      <c r="OKV7" s="72"/>
      <c r="OLC7" s="74"/>
      <c r="OLD7" s="72"/>
      <c r="OLK7" s="74"/>
      <c r="OLL7" s="72"/>
      <c r="OLS7" s="74"/>
      <c r="OLT7" s="72"/>
      <c r="OMA7" s="74"/>
      <c r="OMB7" s="72"/>
      <c r="OMI7" s="74"/>
      <c r="OMJ7" s="72"/>
      <c r="OMQ7" s="74"/>
      <c r="OMR7" s="72"/>
      <c r="OMY7" s="74"/>
      <c r="OMZ7" s="72"/>
      <c r="ONG7" s="74"/>
      <c r="ONH7" s="72"/>
      <c r="ONO7" s="74"/>
      <c r="ONP7" s="72"/>
      <c r="ONW7" s="74"/>
      <c r="ONX7" s="72"/>
      <c r="OOE7" s="74"/>
      <c r="OOF7" s="72"/>
      <c r="OOM7" s="74"/>
      <c r="OON7" s="72"/>
      <c r="OOU7" s="74"/>
      <c r="OOV7" s="72"/>
      <c r="OPC7" s="74"/>
      <c r="OPD7" s="72"/>
      <c r="OPK7" s="74"/>
      <c r="OPL7" s="72"/>
      <c r="OPS7" s="74"/>
      <c r="OPT7" s="72"/>
      <c r="OQA7" s="74"/>
      <c r="OQB7" s="72"/>
      <c r="OQI7" s="74"/>
      <c r="OQJ7" s="72"/>
      <c r="OQQ7" s="74"/>
      <c r="OQR7" s="72"/>
      <c r="OQY7" s="74"/>
      <c r="OQZ7" s="72"/>
      <c r="ORG7" s="74"/>
      <c r="ORH7" s="72"/>
      <c r="ORO7" s="74"/>
      <c r="ORP7" s="72"/>
      <c r="ORW7" s="74"/>
      <c r="ORX7" s="72"/>
      <c r="OSE7" s="74"/>
      <c r="OSF7" s="72"/>
      <c r="OSM7" s="74"/>
      <c r="OSN7" s="72"/>
      <c r="OSU7" s="74"/>
      <c r="OSV7" s="72"/>
      <c r="OTC7" s="74"/>
      <c r="OTD7" s="72"/>
      <c r="OTK7" s="74"/>
      <c r="OTL7" s="72"/>
      <c r="OTS7" s="74"/>
      <c r="OTT7" s="72"/>
      <c r="OUA7" s="74"/>
      <c r="OUB7" s="72"/>
      <c r="OUI7" s="74"/>
      <c r="OUJ7" s="72"/>
      <c r="OUQ7" s="74"/>
      <c r="OUR7" s="72"/>
      <c r="OUY7" s="74"/>
      <c r="OUZ7" s="72"/>
      <c r="OVG7" s="74"/>
      <c r="OVH7" s="72"/>
      <c r="OVO7" s="74"/>
      <c r="OVP7" s="72"/>
      <c r="OVW7" s="74"/>
      <c r="OVX7" s="72"/>
      <c r="OWE7" s="74"/>
      <c r="OWF7" s="72"/>
      <c r="OWM7" s="74"/>
      <c r="OWN7" s="72"/>
      <c r="OWU7" s="74"/>
      <c r="OWV7" s="72"/>
      <c r="OXC7" s="74"/>
      <c r="OXD7" s="72"/>
      <c r="OXK7" s="74"/>
      <c r="OXL7" s="72"/>
      <c r="OXS7" s="74"/>
      <c r="OXT7" s="72"/>
      <c r="OYA7" s="74"/>
      <c r="OYB7" s="72"/>
      <c r="OYI7" s="74"/>
      <c r="OYJ7" s="72"/>
      <c r="OYQ7" s="74"/>
      <c r="OYR7" s="72"/>
      <c r="OYY7" s="74"/>
      <c r="OYZ7" s="72"/>
      <c r="OZG7" s="74"/>
      <c r="OZH7" s="72"/>
      <c r="OZO7" s="74"/>
      <c r="OZP7" s="72"/>
      <c r="OZW7" s="74"/>
      <c r="OZX7" s="72"/>
      <c r="PAE7" s="74"/>
      <c r="PAF7" s="72"/>
      <c r="PAM7" s="74"/>
      <c r="PAN7" s="72"/>
      <c r="PAU7" s="74"/>
      <c r="PAV7" s="72"/>
      <c r="PBC7" s="74"/>
      <c r="PBD7" s="72"/>
      <c r="PBK7" s="74"/>
      <c r="PBL7" s="72"/>
      <c r="PBS7" s="74"/>
      <c r="PBT7" s="72"/>
      <c r="PCA7" s="74"/>
      <c r="PCB7" s="72"/>
      <c r="PCI7" s="74"/>
      <c r="PCJ7" s="72"/>
      <c r="PCQ7" s="74"/>
      <c r="PCR7" s="72"/>
      <c r="PCY7" s="74"/>
      <c r="PCZ7" s="72"/>
      <c r="PDG7" s="74"/>
      <c r="PDH7" s="72"/>
      <c r="PDO7" s="74"/>
      <c r="PDP7" s="72"/>
      <c r="PDW7" s="74"/>
      <c r="PDX7" s="72"/>
      <c r="PEE7" s="74"/>
      <c r="PEF7" s="72"/>
      <c r="PEM7" s="74"/>
      <c r="PEN7" s="72"/>
      <c r="PEU7" s="74"/>
      <c r="PEV7" s="72"/>
      <c r="PFC7" s="74"/>
      <c r="PFD7" s="72"/>
      <c r="PFK7" s="74"/>
      <c r="PFL7" s="72"/>
      <c r="PFS7" s="74"/>
      <c r="PFT7" s="72"/>
      <c r="PGA7" s="74"/>
      <c r="PGB7" s="72"/>
      <c r="PGI7" s="74"/>
      <c r="PGJ7" s="72"/>
      <c r="PGQ7" s="74"/>
      <c r="PGR7" s="72"/>
      <c r="PGY7" s="74"/>
      <c r="PGZ7" s="72"/>
      <c r="PHG7" s="74"/>
      <c r="PHH7" s="72"/>
      <c r="PHO7" s="74"/>
      <c r="PHP7" s="72"/>
      <c r="PHW7" s="74"/>
      <c r="PHX7" s="72"/>
      <c r="PIE7" s="74"/>
      <c r="PIF7" s="72"/>
      <c r="PIM7" s="74"/>
      <c r="PIN7" s="72"/>
      <c r="PIU7" s="74"/>
      <c r="PIV7" s="72"/>
      <c r="PJC7" s="74"/>
      <c r="PJD7" s="72"/>
      <c r="PJK7" s="74"/>
      <c r="PJL7" s="72"/>
      <c r="PJS7" s="74"/>
      <c r="PJT7" s="72"/>
      <c r="PKA7" s="74"/>
      <c r="PKB7" s="72"/>
      <c r="PKI7" s="74"/>
      <c r="PKJ7" s="72"/>
      <c r="PKQ7" s="74"/>
      <c r="PKR7" s="72"/>
      <c r="PKY7" s="74"/>
      <c r="PKZ7" s="72"/>
      <c r="PLG7" s="74"/>
      <c r="PLH7" s="72"/>
      <c r="PLO7" s="74"/>
      <c r="PLP7" s="72"/>
      <c r="PLW7" s="74"/>
      <c r="PLX7" s="72"/>
      <c r="PME7" s="74"/>
      <c r="PMF7" s="72"/>
      <c r="PMM7" s="74"/>
      <c r="PMN7" s="72"/>
      <c r="PMU7" s="74"/>
      <c r="PMV7" s="72"/>
      <c r="PNC7" s="74"/>
      <c r="PND7" s="72"/>
      <c r="PNK7" s="74"/>
      <c r="PNL7" s="72"/>
      <c r="PNS7" s="74"/>
      <c r="PNT7" s="72"/>
      <c r="POA7" s="74"/>
      <c r="POB7" s="72"/>
      <c r="POI7" s="74"/>
      <c r="POJ7" s="72"/>
      <c r="POQ7" s="74"/>
      <c r="POR7" s="72"/>
      <c r="POY7" s="74"/>
      <c r="POZ7" s="72"/>
      <c r="PPG7" s="74"/>
      <c r="PPH7" s="72"/>
      <c r="PPO7" s="74"/>
      <c r="PPP7" s="72"/>
      <c r="PPW7" s="74"/>
      <c r="PPX7" s="72"/>
      <c r="PQE7" s="74"/>
      <c r="PQF7" s="72"/>
      <c r="PQM7" s="74"/>
      <c r="PQN7" s="72"/>
      <c r="PQU7" s="74"/>
      <c r="PQV7" s="72"/>
      <c r="PRC7" s="74"/>
      <c r="PRD7" s="72"/>
      <c r="PRK7" s="74"/>
      <c r="PRL7" s="72"/>
      <c r="PRS7" s="74"/>
      <c r="PRT7" s="72"/>
      <c r="PSA7" s="74"/>
      <c r="PSB7" s="72"/>
      <c r="PSI7" s="74"/>
      <c r="PSJ7" s="72"/>
      <c r="PSQ7" s="74"/>
      <c r="PSR7" s="72"/>
      <c r="PSY7" s="74"/>
      <c r="PSZ7" s="72"/>
      <c r="PTG7" s="74"/>
      <c r="PTH7" s="72"/>
      <c r="PTO7" s="74"/>
      <c r="PTP7" s="72"/>
      <c r="PTW7" s="74"/>
      <c r="PTX7" s="72"/>
      <c r="PUE7" s="74"/>
      <c r="PUF7" s="72"/>
      <c r="PUM7" s="74"/>
      <c r="PUN7" s="72"/>
      <c r="PUU7" s="74"/>
      <c r="PUV7" s="72"/>
      <c r="PVC7" s="74"/>
      <c r="PVD7" s="72"/>
      <c r="PVK7" s="74"/>
      <c r="PVL7" s="72"/>
      <c r="PVS7" s="74"/>
      <c r="PVT7" s="72"/>
      <c r="PWA7" s="74"/>
      <c r="PWB7" s="72"/>
      <c r="PWI7" s="74"/>
      <c r="PWJ7" s="72"/>
      <c r="PWQ7" s="74"/>
      <c r="PWR7" s="72"/>
      <c r="PWY7" s="74"/>
      <c r="PWZ7" s="72"/>
      <c r="PXG7" s="74"/>
      <c r="PXH7" s="72"/>
      <c r="PXO7" s="74"/>
      <c r="PXP7" s="72"/>
      <c r="PXW7" s="74"/>
      <c r="PXX7" s="72"/>
      <c r="PYE7" s="74"/>
      <c r="PYF7" s="72"/>
      <c r="PYM7" s="74"/>
      <c r="PYN7" s="72"/>
      <c r="PYU7" s="74"/>
      <c r="PYV7" s="72"/>
      <c r="PZC7" s="74"/>
      <c r="PZD7" s="72"/>
      <c r="PZK7" s="74"/>
      <c r="PZL7" s="72"/>
      <c r="PZS7" s="74"/>
      <c r="PZT7" s="72"/>
      <c r="QAA7" s="74"/>
      <c r="QAB7" s="72"/>
      <c r="QAI7" s="74"/>
      <c r="QAJ7" s="72"/>
      <c r="QAQ7" s="74"/>
      <c r="QAR7" s="72"/>
      <c r="QAY7" s="74"/>
      <c r="QAZ7" s="72"/>
      <c r="QBG7" s="74"/>
      <c r="QBH7" s="72"/>
      <c r="QBO7" s="74"/>
      <c r="QBP7" s="72"/>
      <c r="QBW7" s="74"/>
      <c r="QBX7" s="72"/>
      <c r="QCE7" s="74"/>
      <c r="QCF7" s="72"/>
      <c r="QCM7" s="74"/>
      <c r="QCN7" s="72"/>
      <c r="QCU7" s="74"/>
      <c r="QCV7" s="72"/>
      <c r="QDC7" s="74"/>
      <c r="QDD7" s="72"/>
      <c r="QDK7" s="74"/>
      <c r="QDL7" s="72"/>
      <c r="QDS7" s="74"/>
      <c r="QDT7" s="72"/>
      <c r="QEA7" s="74"/>
      <c r="QEB7" s="72"/>
      <c r="QEI7" s="74"/>
      <c r="QEJ7" s="72"/>
      <c r="QEQ7" s="74"/>
      <c r="QER7" s="72"/>
      <c r="QEY7" s="74"/>
      <c r="QEZ7" s="72"/>
      <c r="QFG7" s="74"/>
      <c r="QFH7" s="72"/>
      <c r="QFO7" s="74"/>
      <c r="QFP7" s="72"/>
      <c r="QFW7" s="74"/>
      <c r="QFX7" s="72"/>
      <c r="QGE7" s="74"/>
      <c r="QGF7" s="72"/>
      <c r="QGM7" s="74"/>
      <c r="QGN7" s="72"/>
      <c r="QGU7" s="74"/>
      <c r="QGV7" s="72"/>
      <c r="QHC7" s="74"/>
      <c r="QHD7" s="72"/>
      <c r="QHK7" s="74"/>
      <c r="QHL7" s="72"/>
      <c r="QHS7" s="74"/>
      <c r="QHT7" s="72"/>
      <c r="QIA7" s="74"/>
      <c r="QIB7" s="72"/>
      <c r="QII7" s="74"/>
      <c r="QIJ7" s="72"/>
      <c r="QIQ7" s="74"/>
      <c r="QIR7" s="72"/>
      <c r="QIY7" s="74"/>
      <c r="QIZ7" s="72"/>
      <c r="QJG7" s="74"/>
      <c r="QJH7" s="72"/>
      <c r="QJO7" s="74"/>
      <c r="QJP7" s="72"/>
      <c r="QJW7" s="74"/>
      <c r="QJX7" s="72"/>
      <c r="QKE7" s="74"/>
      <c r="QKF7" s="72"/>
      <c r="QKM7" s="74"/>
      <c r="QKN7" s="72"/>
      <c r="QKU7" s="74"/>
      <c r="QKV7" s="72"/>
      <c r="QLC7" s="74"/>
      <c r="QLD7" s="72"/>
      <c r="QLK7" s="74"/>
      <c r="QLL7" s="72"/>
      <c r="QLS7" s="74"/>
      <c r="QLT7" s="72"/>
      <c r="QMA7" s="74"/>
      <c r="QMB7" s="72"/>
      <c r="QMI7" s="74"/>
      <c r="QMJ7" s="72"/>
      <c r="QMQ7" s="74"/>
      <c r="QMR7" s="72"/>
      <c r="QMY7" s="74"/>
      <c r="QMZ7" s="72"/>
      <c r="QNG7" s="74"/>
      <c r="QNH7" s="72"/>
      <c r="QNO7" s="74"/>
      <c r="QNP7" s="72"/>
      <c r="QNW7" s="74"/>
      <c r="QNX7" s="72"/>
      <c r="QOE7" s="74"/>
      <c r="QOF7" s="72"/>
      <c r="QOM7" s="74"/>
      <c r="QON7" s="72"/>
      <c r="QOU7" s="74"/>
      <c r="QOV7" s="72"/>
      <c r="QPC7" s="74"/>
      <c r="QPD7" s="72"/>
      <c r="QPK7" s="74"/>
      <c r="QPL7" s="72"/>
      <c r="QPS7" s="74"/>
      <c r="QPT7" s="72"/>
      <c r="QQA7" s="74"/>
      <c r="QQB7" s="72"/>
      <c r="QQI7" s="74"/>
      <c r="QQJ7" s="72"/>
      <c r="QQQ7" s="74"/>
      <c r="QQR7" s="72"/>
      <c r="QQY7" s="74"/>
      <c r="QQZ7" s="72"/>
      <c r="QRG7" s="74"/>
      <c r="QRH7" s="72"/>
      <c r="QRO7" s="74"/>
      <c r="QRP7" s="72"/>
      <c r="QRW7" s="74"/>
      <c r="QRX7" s="72"/>
      <c r="QSE7" s="74"/>
      <c r="QSF7" s="72"/>
      <c r="QSM7" s="74"/>
      <c r="QSN7" s="72"/>
      <c r="QSU7" s="74"/>
      <c r="QSV7" s="72"/>
      <c r="QTC7" s="74"/>
      <c r="QTD7" s="72"/>
      <c r="QTK7" s="74"/>
      <c r="QTL7" s="72"/>
      <c r="QTS7" s="74"/>
      <c r="QTT7" s="72"/>
      <c r="QUA7" s="74"/>
      <c r="QUB7" s="72"/>
      <c r="QUI7" s="74"/>
      <c r="QUJ7" s="72"/>
      <c r="QUQ7" s="74"/>
      <c r="QUR7" s="72"/>
      <c r="QUY7" s="74"/>
      <c r="QUZ7" s="72"/>
      <c r="QVG7" s="74"/>
      <c r="QVH7" s="72"/>
      <c r="QVO7" s="74"/>
      <c r="QVP7" s="72"/>
      <c r="QVW7" s="74"/>
      <c r="QVX7" s="72"/>
      <c r="QWE7" s="74"/>
      <c r="QWF7" s="72"/>
      <c r="QWM7" s="74"/>
      <c r="QWN7" s="72"/>
      <c r="QWU7" s="74"/>
      <c r="QWV7" s="72"/>
      <c r="QXC7" s="74"/>
      <c r="QXD7" s="72"/>
      <c r="QXK7" s="74"/>
      <c r="QXL7" s="72"/>
      <c r="QXS7" s="74"/>
      <c r="QXT7" s="72"/>
      <c r="QYA7" s="74"/>
      <c r="QYB7" s="72"/>
      <c r="QYI7" s="74"/>
      <c r="QYJ7" s="72"/>
      <c r="QYQ7" s="74"/>
      <c r="QYR7" s="72"/>
      <c r="QYY7" s="74"/>
      <c r="QYZ7" s="72"/>
      <c r="QZG7" s="74"/>
      <c r="QZH7" s="72"/>
      <c r="QZO7" s="74"/>
      <c r="QZP7" s="72"/>
      <c r="QZW7" s="74"/>
      <c r="QZX7" s="72"/>
      <c r="RAE7" s="74"/>
      <c r="RAF7" s="72"/>
      <c r="RAM7" s="74"/>
      <c r="RAN7" s="72"/>
      <c r="RAU7" s="74"/>
      <c r="RAV7" s="72"/>
      <c r="RBC7" s="74"/>
      <c r="RBD7" s="72"/>
      <c r="RBK7" s="74"/>
      <c r="RBL7" s="72"/>
      <c r="RBS7" s="74"/>
      <c r="RBT7" s="72"/>
      <c r="RCA7" s="74"/>
      <c r="RCB7" s="72"/>
      <c r="RCI7" s="74"/>
      <c r="RCJ7" s="72"/>
      <c r="RCQ7" s="74"/>
      <c r="RCR7" s="72"/>
      <c r="RCY7" s="74"/>
      <c r="RCZ7" s="72"/>
      <c r="RDG7" s="74"/>
      <c r="RDH7" s="72"/>
      <c r="RDO7" s="74"/>
      <c r="RDP7" s="72"/>
      <c r="RDW7" s="74"/>
      <c r="RDX7" s="72"/>
      <c r="REE7" s="74"/>
      <c r="REF7" s="72"/>
      <c r="REM7" s="74"/>
      <c r="REN7" s="72"/>
      <c r="REU7" s="74"/>
      <c r="REV7" s="72"/>
      <c r="RFC7" s="74"/>
      <c r="RFD7" s="72"/>
      <c r="RFK7" s="74"/>
      <c r="RFL7" s="72"/>
      <c r="RFS7" s="74"/>
      <c r="RFT7" s="72"/>
      <c r="RGA7" s="74"/>
      <c r="RGB7" s="72"/>
      <c r="RGI7" s="74"/>
      <c r="RGJ7" s="72"/>
      <c r="RGQ7" s="74"/>
      <c r="RGR7" s="72"/>
      <c r="RGY7" s="74"/>
      <c r="RGZ7" s="72"/>
      <c r="RHG7" s="74"/>
      <c r="RHH7" s="72"/>
      <c r="RHO7" s="74"/>
      <c r="RHP7" s="72"/>
      <c r="RHW7" s="74"/>
      <c r="RHX7" s="72"/>
      <c r="RIE7" s="74"/>
      <c r="RIF7" s="72"/>
      <c r="RIM7" s="74"/>
      <c r="RIN7" s="72"/>
      <c r="RIU7" s="74"/>
      <c r="RIV7" s="72"/>
      <c r="RJC7" s="74"/>
      <c r="RJD7" s="72"/>
      <c r="RJK7" s="74"/>
      <c r="RJL7" s="72"/>
      <c r="RJS7" s="74"/>
      <c r="RJT7" s="72"/>
      <c r="RKA7" s="74"/>
      <c r="RKB7" s="72"/>
      <c r="RKI7" s="74"/>
      <c r="RKJ7" s="72"/>
      <c r="RKQ7" s="74"/>
      <c r="RKR7" s="72"/>
      <c r="RKY7" s="74"/>
      <c r="RKZ7" s="72"/>
      <c r="RLG7" s="74"/>
      <c r="RLH7" s="72"/>
      <c r="RLO7" s="74"/>
      <c r="RLP7" s="72"/>
      <c r="RLW7" s="74"/>
      <c r="RLX7" s="72"/>
      <c r="RME7" s="74"/>
      <c r="RMF7" s="72"/>
      <c r="RMM7" s="74"/>
      <c r="RMN7" s="72"/>
      <c r="RMU7" s="74"/>
      <c r="RMV7" s="72"/>
      <c r="RNC7" s="74"/>
      <c r="RND7" s="72"/>
      <c r="RNK7" s="74"/>
      <c r="RNL7" s="72"/>
      <c r="RNS7" s="74"/>
      <c r="RNT7" s="72"/>
      <c r="ROA7" s="74"/>
      <c r="ROB7" s="72"/>
      <c r="ROI7" s="74"/>
      <c r="ROJ7" s="72"/>
      <c r="ROQ7" s="74"/>
      <c r="ROR7" s="72"/>
      <c r="ROY7" s="74"/>
      <c r="ROZ7" s="72"/>
      <c r="RPG7" s="74"/>
      <c r="RPH7" s="72"/>
      <c r="RPO7" s="74"/>
      <c r="RPP7" s="72"/>
      <c r="RPW7" s="74"/>
      <c r="RPX7" s="72"/>
      <c r="RQE7" s="74"/>
      <c r="RQF7" s="72"/>
      <c r="RQM7" s="74"/>
      <c r="RQN7" s="72"/>
      <c r="RQU7" s="74"/>
      <c r="RQV7" s="72"/>
      <c r="RRC7" s="74"/>
      <c r="RRD7" s="72"/>
      <c r="RRK7" s="74"/>
      <c r="RRL7" s="72"/>
      <c r="RRS7" s="74"/>
      <c r="RRT7" s="72"/>
      <c r="RSA7" s="74"/>
      <c r="RSB7" s="72"/>
      <c r="RSI7" s="74"/>
      <c r="RSJ7" s="72"/>
      <c r="RSQ7" s="74"/>
      <c r="RSR7" s="72"/>
      <c r="RSY7" s="74"/>
      <c r="RSZ7" s="72"/>
      <c r="RTG7" s="74"/>
      <c r="RTH7" s="72"/>
      <c r="RTO7" s="74"/>
      <c r="RTP7" s="72"/>
      <c r="RTW7" s="74"/>
      <c r="RTX7" s="72"/>
      <c r="RUE7" s="74"/>
      <c r="RUF7" s="72"/>
      <c r="RUM7" s="74"/>
      <c r="RUN7" s="72"/>
      <c r="RUU7" s="74"/>
      <c r="RUV7" s="72"/>
      <c r="RVC7" s="74"/>
      <c r="RVD7" s="72"/>
      <c r="RVK7" s="74"/>
      <c r="RVL7" s="72"/>
      <c r="RVS7" s="74"/>
      <c r="RVT7" s="72"/>
      <c r="RWA7" s="74"/>
      <c r="RWB7" s="72"/>
      <c r="RWI7" s="74"/>
      <c r="RWJ7" s="72"/>
      <c r="RWQ7" s="74"/>
      <c r="RWR7" s="72"/>
      <c r="RWY7" s="74"/>
      <c r="RWZ7" s="72"/>
      <c r="RXG7" s="74"/>
      <c r="RXH7" s="72"/>
      <c r="RXO7" s="74"/>
      <c r="RXP7" s="72"/>
      <c r="RXW7" s="74"/>
      <c r="RXX7" s="72"/>
      <c r="RYE7" s="74"/>
      <c r="RYF7" s="72"/>
      <c r="RYM7" s="74"/>
      <c r="RYN7" s="72"/>
      <c r="RYU7" s="74"/>
      <c r="RYV7" s="72"/>
      <c r="RZC7" s="74"/>
      <c r="RZD7" s="72"/>
      <c r="RZK7" s="74"/>
      <c r="RZL7" s="72"/>
      <c r="RZS7" s="74"/>
      <c r="RZT7" s="72"/>
      <c r="SAA7" s="74"/>
      <c r="SAB7" s="72"/>
      <c r="SAI7" s="74"/>
      <c r="SAJ7" s="72"/>
      <c r="SAQ7" s="74"/>
      <c r="SAR7" s="72"/>
      <c r="SAY7" s="74"/>
      <c r="SAZ7" s="72"/>
      <c r="SBG7" s="74"/>
      <c r="SBH7" s="72"/>
      <c r="SBO7" s="74"/>
      <c r="SBP7" s="72"/>
      <c r="SBW7" s="74"/>
      <c r="SBX7" s="72"/>
      <c r="SCE7" s="74"/>
      <c r="SCF7" s="72"/>
      <c r="SCM7" s="74"/>
      <c r="SCN7" s="72"/>
      <c r="SCU7" s="74"/>
      <c r="SCV7" s="72"/>
      <c r="SDC7" s="74"/>
      <c r="SDD7" s="72"/>
      <c r="SDK7" s="74"/>
      <c r="SDL7" s="72"/>
      <c r="SDS7" s="74"/>
      <c r="SDT7" s="72"/>
      <c r="SEA7" s="74"/>
      <c r="SEB7" s="72"/>
      <c r="SEI7" s="74"/>
      <c r="SEJ7" s="72"/>
      <c r="SEQ7" s="74"/>
      <c r="SER7" s="72"/>
      <c r="SEY7" s="74"/>
      <c r="SEZ7" s="72"/>
      <c r="SFG7" s="74"/>
      <c r="SFH7" s="72"/>
      <c r="SFO7" s="74"/>
      <c r="SFP7" s="72"/>
      <c r="SFW7" s="74"/>
      <c r="SFX7" s="72"/>
      <c r="SGE7" s="74"/>
      <c r="SGF7" s="72"/>
      <c r="SGM7" s="74"/>
      <c r="SGN7" s="72"/>
      <c r="SGU7" s="74"/>
      <c r="SGV7" s="72"/>
      <c r="SHC7" s="74"/>
      <c r="SHD7" s="72"/>
      <c r="SHK7" s="74"/>
      <c r="SHL7" s="72"/>
      <c r="SHS7" s="74"/>
      <c r="SHT7" s="72"/>
      <c r="SIA7" s="74"/>
      <c r="SIB7" s="72"/>
      <c r="SII7" s="74"/>
      <c r="SIJ7" s="72"/>
      <c r="SIQ7" s="74"/>
      <c r="SIR7" s="72"/>
      <c r="SIY7" s="74"/>
      <c r="SIZ7" s="72"/>
      <c r="SJG7" s="74"/>
      <c r="SJH7" s="72"/>
      <c r="SJO7" s="74"/>
      <c r="SJP7" s="72"/>
      <c r="SJW7" s="74"/>
      <c r="SJX7" s="72"/>
      <c r="SKE7" s="74"/>
      <c r="SKF7" s="72"/>
      <c r="SKM7" s="74"/>
      <c r="SKN7" s="72"/>
      <c r="SKU7" s="74"/>
      <c r="SKV7" s="72"/>
      <c r="SLC7" s="74"/>
      <c r="SLD7" s="72"/>
      <c r="SLK7" s="74"/>
      <c r="SLL7" s="72"/>
      <c r="SLS7" s="74"/>
      <c r="SLT7" s="72"/>
      <c r="SMA7" s="74"/>
      <c r="SMB7" s="72"/>
      <c r="SMI7" s="74"/>
      <c r="SMJ7" s="72"/>
      <c r="SMQ7" s="74"/>
      <c r="SMR7" s="72"/>
      <c r="SMY7" s="74"/>
      <c r="SMZ7" s="72"/>
      <c r="SNG7" s="74"/>
      <c r="SNH7" s="72"/>
      <c r="SNO7" s="74"/>
      <c r="SNP7" s="72"/>
      <c r="SNW7" s="74"/>
      <c r="SNX7" s="72"/>
      <c r="SOE7" s="74"/>
      <c r="SOF7" s="72"/>
      <c r="SOM7" s="74"/>
      <c r="SON7" s="72"/>
      <c r="SOU7" s="74"/>
      <c r="SOV7" s="72"/>
      <c r="SPC7" s="74"/>
      <c r="SPD7" s="72"/>
      <c r="SPK7" s="74"/>
      <c r="SPL7" s="72"/>
      <c r="SPS7" s="74"/>
      <c r="SPT7" s="72"/>
      <c r="SQA7" s="74"/>
      <c r="SQB7" s="72"/>
      <c r="SQI7" s="74"/>
      <c r="SQJ7" s="72"/>
      <c r="SQQ7" s="74"/>
      <c r="SQR7" s="72"/>
      <c r="SQY7" s="74"/>
      <c r="SQZ7" s="72"/>
      <c r="SRG7" s="74"/>
      <c r="SRH7" s="72"/>
      <c r="SRO7" s="74"/>
      <c r="SRP7" s="72"/>
      <c r="SRW7" s="74"/>
      <c r="SRX7" s="72"/>
      <c r="SSE7" s="74"/>
      <c r="SSF7" s="72"/>
      <c r="SSM7" s="74"/>
      <c r="SSN7" s="72"/>
      <c r="SSU7" s="74"/>
      <c r="SSV7" s="72"/>
      <c r="STC7" s="74"/>
      <c r="STD7" s="72"/>
      <c r="STK7" s="74"/>
      <c r="STL7" s="72"/>
      <c r="STS7" s="74"/>
      <c r="STT7" s="72"/>
      <c r="SUA7" s="74"/>
      <c r="SUB7" s="72"/>
      <c r="SUI7" s="74"/>
      <c r="SUJ7" s="72"/>
      <c r="SUQ7" s="74"/>
      <c r="SUR7" s="72"/>
      <c r="SUY7" s="74"/>
      <c r="SUZ7" s="72"/>
      <c r="SVG7" s="74"/>
      <c r="SVH7" s="72"/>
      <c r="SVO7" s="74"/>
      <c r="SVP7" s="72"/>
      <c r="SVW7" s="74"/>
      <c r="SVX7" s="72"/>
      <c r="SWE7" s="74"/>
      <c r="SWF7" s="72"/>
      <c r="SWM7" s="74"/>
      <c r="SWN7" s="72"/>
      <c r="SWU7" s="74"/>
      <c r="SWV7" s="72"/>
      <c r="SXC7" s="74"/>
      <c r="SXD7" s="72"/>
      <c r="SXK7" s="74"/>
      <c r="SXL7" s="72"/>
      <c r="SXS7" s="74"/>
      <c r="SXT7" s="72"/>
      <c r="SYA7" s="74"/>
      <c r="SYB7" s="72"/>
      <c r="SYI7" s="74"/>
      <c r="SYJ7" s="72"/>
      <c r="SYQ7" s="74"/>
      <c r="SYR7" s="72"/>
      <c r="SYY7" s="74"/>
      <c r="SYZ7" s="72"/>
      <c r="SZG7" s="74"/>
      <c r="SZH7" s="72"/>
      <c r="SZO7" s="74"/>
      <c r="SZP7" s="72"/>
      <c r="SZW7" s="74"/>
      <c r="SZX7" s="72"/>
      <c r="TAE7" s="74"/>
      <c r="TAF7" s="72"/>
      <c r="TAM7" s="74"/>
      <c r="TAN7" s="72"/>
      <c r="TAU7" s="74"/>
      <c r="TAV7" s="72"/>
      <c r="TBC7" s="74"/>
      <c r="TBD7" s="72"/>
      <c r="TBK7" s="74"/>
      <c r="TBL7" s="72"/>
      <c r="TBS7" s="74"/>
      <c r="TBT7" s="72"/>
      <c r="TCA7" s="74"/>
      <c r="TCB7" s="72"/>
      <c r="TCI7" s="74"/>
      <c r="TCJ7" s="72"/>
      <c r="TCQ7" s="74"/>
      <c r="TCR7" s="72"/>
      <c r="TCY7" s="74"/>
      <c r="TCZ7" s="72"/>
      <c r="TDG7" s="74"/>
      <c r="TDH7" s="72"/>
      <c r="TDO7" s="74"/>
      <c r="TDP7" s="72"/>
      <c r="TDW7" s="74"/>
      <c r="TDX7" s="72"/>
      <c r="TEE7" s="74"/>
      <c r="TEF7" s="72"/>
      <c r="TEM7" s="74"/>
      <c r="TEN7" s="72"/>
      <c r="TEU7" s="74"/>
      <c r="TEV7" s="72"/>
      <c r="TFC7" s="74"/>
      <c r="TFD7" s="72"/>
      <c r="TFK7" s="74"/>
      <c r="TFL7" s="72"/>
      <c r="TFS7" s="74"/>
      <c r="TFT7" s="72"/>
      <c r="TGA7" s="74"/>
      <c r="TGB7" s="72"/>
      <c r="TGI7" s="74"/>
      <c r="TGJ7" s="72"/>
      <c r="TGQ7" s="74"/>
      <c r="TGR7" s="72"/>
      <c r="TGY7" s="74"/>
      <c r="TGZ7" s="72"/>
      <c r="THG7" s="74"/>
      <c r="THH7" s="72"/>
      <c r="THO7" s="74"/>
      <c r="THP7" s="72"/>
      <c r="THW7" s="74"/>
      <c r="THX7" s="72"/>
      <c r="TIE7" s="74"/>
      <c r="TIF7" s="72"/>
      <c r="TIM7" s="74"/>
      <c r="TIN7" s="72"/>
      <c r="TIU7" s="74"/>
      <c r="TIV7" s="72"/>
      <c r="TJC7" s="74"/>
      <c r="TJD7" s="72"/>
      <c r="TJK7" s="74"/>
      <c r="TJL7" s="72"/>
      <c r="TJS7" s="74"/>
      <c r="TJT7" s="72"/>
      <c r="TKA7" s="74"/>
      <c r="TKB7" s="72"/>
      <c r="TKI7" s="74"/>
      <c r="TKJ7" s="72"/>
      <c r="TKQ7" s="74"/>
      <c r="TKR7" s="72"/>
      <c r="TKY7" s="74"/>
      <c r="TKZ7" s="72"/>
      <c r="TLG7" s="74"/>
      <c r="TLH7" s="72"/>
      <c r="TLO7" s="74"/>
      <c r="TLP7" s="72"/>
      <c r="TLW7" s="74"/>
      <c r="TLX7" s="72"/>
      <c r="TME7" s="74"/>
      <c r="TMF7" s="72"/>
      <c r="TMM7" s="74"/>
      <c r="TMN7" s="72"/>
      <c r="TMU7" s="74"/>
      <c r="TMV7" s="72"/>
      <c r="TNC7" s="74"/>
      <c r="TND7" s="72"/>
      <c r="TNK7" s="74"/>
      <c r="TNL7" s="72"/>
      <c r="TNS7" s="74"/>
      <c r="TNT7" s="72"/>
      <c r="TOA7" s="74"/>
      <c r="TOB7" s="72"/>
      <c r="TOI7" s="74"/>
      <c r="TOJ7" s="72"/>
      <c r="TOQ7" s="74"/>
      <c r="TOR7" s="72"/>
      <c r="TOY7" s="74"/>
      <c r="TOZ7" s="72"/>
      <c r="TPG7" s="74"/>
      <c r="TPH7" s="72"/>
      <c r="TPO7" s="74"/>
      <c r="TPP7" s="72"/>
      <c r="TPW7" s="74"/>
      <c r="TPX7" s="72"/>
      <c r="TQE7" s="74"/>
      <c r="TQF7" s="72"/>
      <c r="TQM7" s="74"/>
      <c r="TQN7" s="72"/>
      <c r="TQU7" s="74"/>
      <c r="TQV7" s="72"/>
      <c r="TRC7" s="74"/>
      <c r="TRD7" s="72"/>
      <c r="TRK7" s="74"/>
      <c r="TRL7" s="72"/>
      <c r="TRS7" s="74"/>
      <c r="TRT7" s="72"/>
      <c r="TSA7" s="74"/>
      <c r="TSB7" s="72"/>
      <c r="TSI7" s="74"/>
      <c r="TSJ7" s="72"/>
      <c r="TSQ7" s="74"/>
      <c r="TSR7" s="72"/>
      <c r="TSY7" s="74"/>
      <c r="TSZ7" s="72"/>
      <c r="TTG7" s="74"/>
      <c r="TTH7" s="72"/>
      <c r="TTO7" s="74"/>
      <c r="TTP7" s="72"/>
      <c r="TTW7" s="74"/>
      <c r="TTX7" s="72"/>
      <c r="TUE7" s="74"/>
      <c r="TUF7" s="72"/>
      <c r="TUM7" s="74"/>
      <c r="TUN7" s="72"/>
      <c r="TUU7" s="74"/>
      <c r="TUV7" s="72"/>
      <c r="TVC7" s="74"/>
      <c r="TVD7" s="72"/>
      <c r="TVK7" s="74"/>
      <c r="TVL7" s="72"/>
      <c r="TVS7" s="74"/>
      <c r="TVT7" s="72"/>
      <c r="TWA7" s="74"/>
      <c r="TWB7" s="72"/>
      <c r="TWI7" s="74"/>
      <c r="TWJ7" s="72"/>
      <c r="TWQ7" s="74"/>
      <c r="TWR7" s="72"/>
      <c r="TWY7" s="74"/>
      <c r="TWZ7" s="72"/>
      <c r="TXG7" s="74"/>
      <c r="TXH7" s="72"/>
      <c r="TXO7" s="74"/>
      <c r="TXP7" s="72"/>
      <c r="TXW7" s="74"/>
      <c r="TXX7" s="72"/>
      <c r="TYE7" s="74"/>
      <c r="TYF7" s="72"/>
      <c r="TYM7" s="74"/>
      <c r="TYN7" s="72"/>
      <c r="TYU7" s="74"/>
      <c r="TYV7" s="72"/>
      <c r="TZC7" s="74"/>
      <c r="TZD7" s="72"/>
      <c r="TZK7" s="74"/>
      <c r="TZL7" s="72"/>
      <c r="TZS7" s="74"/>
      <c r="TZT7" s="72"/>
      <c r="UAA7" s="74"/>
      <c r="UAB7" s="72"/>
      <c r="UAI7" s="74"/>
      <c r="UAJ7" s="72"/>
      <c r="UAQ7" s="74"/>
      <c r="UAR7" s="72"/>
      <c r="UAY7" s="74"/>
      <c r="UAZ7" s="72"/>
      <c r="UBG7" s="74"/>
      <c r="UBH7" s="72"/>
      <c r="UBO7" s="74"/>
      <c r="UBP7" s="72"/>
      <c r="UBW7" s="74"/>
      <c r="UBX7" s="72"/>
      <c r="UCE7" s="74"/>
      <c r="UCF7" s="72"/>
      <c r="UCM7" s="74"/>
      <c r="UCN7" s="72"/>
      <c r="UCU7" s="74"/>
      <c r="UCV7" s="72"/>
      <c r="UDC7" s="74"/>
      <c r="UDD7" s="72"/>
      <c r="UDK7" s="74"/>
      <c r="UDL7" s="72"/>
      <c r="UDS7" s="74"/>
      <c r="UDT7" s="72"/>
      <c r="UEA7" s="74"/>
      <c r="UEB7" s="72"/>
      <c r="UEI7" s="74"/>
      <c r="UEJ7" s="72"/>
      <c r="UEQ7" s="74"/>
      <c r="UER7" s="72"/>
      <c r="UEY7" s="74"/>
      <c r="UEZ7" s="72"/>
      <c r="UFG7" s="74"/>
      <c r="UFH7" s="72"/>
      <c r="UFO7" s="74"/>
      <c r="UFP7" s="72"/>
      <c r="UFW7" s="74"/>
      <c r="UFX7" s="72"/>
      <c r="UGE7" s="74"/>
      <c r="UGF7" s="72"/>
      <c r="UGM7" s="74"/>
      <c r="UGN7" s="72"/>
      <c r="UGU7" s="74"/>
      <c r="UGV7" s="72"/>
      <c r="UHC7" s="74"/>
      <c r="UHD7" s="72"/>
      <c r="UHK7" s="74"/>
      <c r="UHL7" s="72"/>
      <c r="UHS7" s="74"/>
      <c r="UHT7" s="72"/>
      <c r="UIA7" s="74"/>
      <c r="UIB7" s="72"/>
      <c r="UII7" s="74"/>
      <c r="UIJ7" s="72"/>
      <c r="UIQ7" s="74"/>
      <c r="UIR7" s="72"/>
      <c r="UIY7" s="74"/>
      <c r="UIZ7" s="72"/>
      <c r="UJG7" s="74"/>
      <c r="UJH7" s="72"/>
      <c r="UJO7" s="74"/>
      <c r="UJP7" s="72"/>
      <c r="UJW7" s="74"/>
      <c r="UJX7" s="72"/>
      <c r="UKE7" s="74"/>
      <c r="UKF7" s="72"/>
      <c r="UKM7" s="74"/>
      <c r="UKN7" s="72"/>
      <c r="UKU7" s="74"/>
      <c r="UKV7" s="72"/>
      <c r="ULC7" s="74"/>
      <c r="ULD7" s="72"/>
      <c r="ULK7" s="74"/>
      <c r="ULL7" s="72"/>
      <c r="ULS7" s="74"/>
      <c r="ULT7" s="72"/>
      <c r="UMA7" s="74"/>
      <c r="UMB7" s="72"/>
      <c r="UMI7" s="74"/>
      <c r="UMJ7" s="72"/>
      <c r="UMQ7" s="74"/>
      <c r="UMR7" s="72"/>
      <c r="UMY7" s="74"/>
      <c r="UMZ7" s="72"/>
      <c r="UNG7" s="74"/>
      <c r="UNH7" s="72"/>
      <c r="UNO7" s="74"/>
      <c r="UNP7" s="72"/>
      <c r="UNW7" s="74"/>
      <c r="UNX7" s="72"/>
      <c r="UOE7" s="74"/>
      <c r="UOF7" s="72"/>
      <c r="UOM7" s="74"/>
      <c r="UON7" s="72"/>
      <c r="UOU7" s="74"/>
      <c r="UOV7" s="72"/>
      <c r="UPC7" s="74"/>
      <c r="UPD7" s="72"/>
      <c r="UPK7" s="74"/>
      <c r="UPL7" s="72"/>
      <c r="UPS7" s="74"/>
      <c r="UPT7" s="72"/>
      <c r="UQA7" s="74"/>
      <c r="UQB7" s="72"/>
      <c r="UQI7" s="74"/>
      <c r="UQJ7" s="72"/>
      <c r="UQQ7" s="74"/>
      <c r="UQR7" s="72"/>
      <c r="UQY7" s="74"/>
      <c r="UQZ7" s="72"/>
      <c r="URG7" s="74"/>
      <c r="URH7" s="72"/>
      <c r="URO7" s="74"/>
      <c r="URP7" s="72"/>
      <c r="URW7" s="74"/>
      <c r="URX7" s="72"/>
      <c r="USE7" s="74"/>
      <c r="USF7" s="72"/>
      <c r="USM7" s="74"/>
      <c r="USN7" s="72"/>
      <c r="USU7" s="74"/>
      <c r="USV7" s="72"/>
      <c r="UTC7" s="74"/>
      <c r="UTD7" s="72"/>
      <c r="UTK7" s="74"/>
      <c r="UTL7" s="72"/>
      <c r="UTS7" s="74"/>
      <c r="UTT7" s="72"/>
      <c r="UUA7" s="74"/>
      <c r="UUB7" s="72"/>
      <c r="UUI7" s="74"/>
      <c r="UUJ7" s="72"/>
      <c r="UUQ7" s="74"/>
      <c r="UUR7" s="72"/>
      <c r="UUY7" s="74"/>
      <c r="UUZ7" s="72"/>
      <c r="UVG7" s="74"/>
      <c r="UVH7" s="72"/>
      <c r="UVO7" s="74"/>
      <c r="UVP7" s="72"/>
      <c r="UVW7" s="74"/>
      <c r="UVX7" s="72"/>
      <c r="UWE7" s="74"/>
      <c r="UWF7" s="72"/>
      <c r="UWM7" s="74"/>
      <c r="UWN7" s="72"/>
      <c r="UWU7" s="74"/>
      <c r="UWV7" s="72"/>
      <c r="UXC7" s="74"/>
      <c r="UXD7" s="72"/>
      <c r="UXK7" s="74"/>
      <c r="UXL7" s="72"/>
      <c r="UXS7" s="74"/>
      <c r="UXT7" s="72"/>
      <c r="UYA7" s="74"/>
      <c r="UYB7" s="72"/>
      <c r="UYI7" s="74"/>
      <c r="UYJ7" s="72"/>
      <c r="UYQ7" s="74"/>
      <c r="UYR7" s="72"/>
      <c r="UYY7" s="74"/>
      <c r="UYZ7" s="72"/>
      <c r="UZG7" s="74"/>
      <c r="UZH7" s="72"/>
      <c r="UZO7" s="74"/>
      <c r="UZP7" s="72"/>
      <c r="UZW7" s="74"/>
      <c r="UZX7" s="72"/>
      <c r="VAE7" s="74"/>
      <c r="VAF7" s="72"/>
      <c r="VAM7" s="74"/>
      <c r="VAN7" s="72"/>
      <c r="VAU7" s="74"/>
      <c r="VAV7" s="72"/>
      <c r="VBC7" s="74"/>
      <c r="VBD7" s="72"/>
      <c r="VBK7" s="74"/>
      <c r="VBL7" s="72"/>
      <c r="VBS7" s="74"/>
      <c r="VBT7" s="72"/>
      <c r="VCA7" s="74"/>
      <c r="VCB7" s="72"/>
      <c r="VCI7" s="74"/>
      <c r="VCJ7" s="72"/>
      <c r="VCQ7" s="74"/>
      <c r="VCR7" s="72"/>
      <c r="VCY7" s="74"/>
      <c r="VCZ7" s="72"/>
      <c r="VDG7" s="74"/>
      <c r="VDH7" s="72"/>
      <c r="VDO7" s="74"/>
      <c r="VDP7" s="72"/>
      <c r="VDW7" s="74"/>
      <c r="VDX7" s="72"/>
      <c r="VEE7" s="74"/>
      <c r="VEF7" s="72"/>
      <c r="VEM7" s="74"/>
      <c r="VEN7" s="72"/>
      <c r="VEU7" s="74"/>
      <c r="VEV7" s="72"/>
      <c r="VFC7" s="74"/>
      <c r="VFD7" s="72"/>
      <c r="VFK7" s="74"/>
      <c r="VFL7" s="72"/>
      <c r="VFS7" s="74"/>
      <c r="VFT7" s="72"/>
      <c r="VGA7" s="74"/>
      <c r="VGB7" s="72"/>
      <c r="VGI7" s="74"/>
      <c r="VGJ7" s="72"/>
      <c r="VGQ7" s="74"/>
      <c r="VGR7" s="72"/>
      <c r="VGY7" s="74"/>
      <c r="VGZ7" s="72"/>
      <c r="VHG7" s="74"/>
      <c r="VHH7" s="72"/>
      <c r="VHO7" s="74"/>
      <c r="VHP7" s="72"/>
      <c r="VHW7" s="74"/>
      <c r="VHX7" s="72"/>
      <c r="VIE7" s="74"/>
      <c r="VIF7" s="72"/>
      <c r="VIM7" s="74"/>
      <c r="VIN7" s="72"/>
      <c r="VIU7" s="74"/>
      <c r="VIV7" s="72"/>
      <c r="VJC7" s="74"/>
      <c r="VJD7" s="72"/>
      <c r="VJK7" s="74"/>
      <c r="VJL7" s="72"/>
      <c r="VJS7" s="74"/>
      <c r="VJT7" s="72"/>
      <c r="VKA7" s="74"/>
      <c r="VKB7" s="72"/>
      <c r="VKI7" s="74"/>
      <c r="VKJ7" s="72"/>
      <c r="VKQ7" s="74"/>
      <c r="VKR7" s="72"/>
      <c r="VKY7" s="74"/>
      <c r="VKZ7" s="72"/>
      <c r="VLG7" s="74"/>
      <c r="VLH7" s="72"/>
      <c r="VLO7" s="74"/>
      <c r="VLP7" s="72"/>
      <c r="VLW7" s="74"/>
      <c r="VLX7" s="72"/>
      <c r="VME7" s="74"/>
      <c r="VMF7" s="72"/>
      <c r="VMM7" s="74"/>
      <c r="VMN7" s="72"/>
      <c r="VMU7" s="74"/>
      <c r="VMV7" s="72"/>
      <c r="VNC7" s="74"/>
      <c r="VND7" s="72"/>
      <c r="VNK7" s="74"/>
      <c r="VNL7" s="72"/>
      <c r="VNS7" s="74"/>
      <c r="VNT7" s="72"/>
      <c r="VOA7" s="74"/>
      <c r="VOB7" s="72"/>
      <c r="VOI7" s="74"/>
      <c r="VOJ7" s="72"/>
      <c r="VOQ7" s="74"/>
      <c r="VOR7" s="72"/>
      <c r="VOY7" s="74"/>
      <c r="VOZ7" s="72"/>
      <c r="VPG7" s="74"/>
      <c r="VPH7" s="72"/>
      <c r="VPO7" s="74"/>
      <c r="VPP7" s="72"/>
      <c r="VPW7" s="74"/>
      <c r="VPX7" s="72"/>
      <c r="VQE7" s="74"/>
      <c r="VQF7" s="72"/>
      <c r="VQM7" s="74"/>
      <c r="VQN7" s="72"/>
      <c r="VQU7" s="74"/>
      <c r="VQV7" s="72"/>
      <c r="VRC7" s="74"/>
      <c r="VRD7" s="72"/>
      <c r="VRK7" s="74"/>
      <c r="VRL7" s="72"/>
      <c r="VRS7" s="74"/>
      <c r="VRT7" s="72"/>
      <c r="VSA7" s="74"/>
      <c r="VSB7" s="72"/>
      <c r="VSI7" s="74"/>
      <c r="VSJ7" s="72"/>
      <c r="VSQ7" s="74"/>
      <c r="VSR7" s="72"/>
      <c r="VSY7" s="74"/>
      <c r="VSZ7" s="72"/>
      <c r="VTG7" s="74"/>
      <c r="VTH7" s="72"/>
      <c r="VTO7" s="74"/>
      <c r="VTP7" s="72"/>
      <c r="VTW7" s="74"/>
      <c r="VTX7" s="72"/>
      <c r="VUE7" s="74"/>
      <c r="VUF7" s="72"/>
      <c r="VUM7" s="74"/>
      <c r="VUN7" s="72"/>
      <c r="VUU7" s="74"/>
      <c r="VUV7" s="72"/>
      <c r="VVC7" s="74"/>
      <c r="VVD7" s="72"/>
      <c r="VVK7" s="74"/>
      <c r="VVL7" s="72"/>
      <c r="VVS7" s="74"/>
      <c r="VVT7" s="72"/>
      <c r="VWA7" s="74"/>
      <c r="VWB7" s="72"/>
      <c r="VWI7" s="74"/>
      <c r="VWJ7" s="72"/>
      <c r="VWQ7" s="74"/>
      <c r="VWR7" s="72"/>
      <c r="VWY7" s="74"/>
      <c r="VWZ7" s="72"/>
      <c r="VXG7" s="74"/>
      <c r="VXH7" s="72"/>
      <c r="VXO7" s="74"/>
      <c r="VXP7" s="72"/>
      <c r="VXW7" s="74"/>
      <c r="VXX7" s="72"/>
      <c r="VYE7" s="74"/>
      <c r="VYF7" s="72"/>
      <c r="VYM7" s="74"/>
      <c r="VYN7" s="72"/>
      <c r="VYU7" s="74"/>
      <c r="VYV7" s="72"/>
      <c r="VZC7" s="74"/>
      <c r="VZD7" s="72"/>
      <c r="VZK7" s="74"/>
      <c r="VZL7" s="72"/>
      <c r="VZS7" s="74"/>
      <c r="VZT7" s="72"/>
      <c r="WAA7" s="74"/>
      <c r="WAB7" s="72"/>
      <c r="WAI7" s="74"/>
      <c r="WAJ7" s="72"/>
      <c r="WAQ7" s="74"/>
      <c r="WAR7" s="72"/>
      <c r="WAY7" s="74"/>
      <c r="WAZ7" s="72"/>
      <c r="WBG7" s="74"/>
      <c r="WBH7" s="72"/>
      <c r="WBO7" s="74"/>
      <c r="WBP7" s="72"/>
      <c r="WBW7" s="74"/>
      <c r="WBX7" s="72"/>
      <c r="WCE7" s="74"/>
      <c r="WCF7" s="72"/>
      <c r="WCM7" s="74"/>
      <c r="WCN7" s="72"/>
      <c r="WCU7" s="74"/>
      <c r="WCV7" s="72"/>
      <c r="WDC7" s="74"/>
      <c r="WDD7" s="72"/>
      <c r="WDK7" s="74"/>
      <c r="WDL7" s="72"/>
      <c r="WDS7" s="74"/>
      <c r="WDT7" s="72"/>
      <c r="WEA7" s="74"/>
      <c r="WEB7" s="72"/>
      <c r="WEI7" s="74"/>
      <c r="WEJ7" s="72"/>
      <c r="WEQ7" s="74"/>
      <c r="WER7" s="72"/>
      <c r="WEY7" s="74"/>
      <c r="WEZ7" s="72"/>
      <c r="WFG7" s="74"/>
      <c r="WFH7" s="72"/>
      <c r="WFO7" s="74"/>
      <c r="WFP7" s="72"/>
      <c r="WFW7" s="74"/>
      <c r="WFX7" s="72"/>
      <c r="WGE7" s="74"/>
      <c r="WGF7" s="72"/>
      <c r="WGM7" s="74"/>
      <c r="WGN7" s="72"/>
      <c r="WGU7" s="74"/>
      <c r="WGV7" s="72"/>
      <c r="WHC7" s="74"/>
      <c r="WHD7" s="72"/>
      <c r="WHK7" s="74"/>
      <c r="WHL7" s="72"/>
      <c r="WHS7" s="74"/>
      <c r="WHT7" s="72"/>
      <c r="WIA7" s="74"/>
      <c r="WIB7" s="72"/>
      <c r="WII7" s="74"/>
      <c r="WIJ7" s="72"/>
      <c r="WIQ7" s="74"/>
      <c r="WIR7" s="72"/>
      <c r="WIY7" s="74"/>
      <c r="WIZ7" s="72"/>
      <c r="WJG7" s="74"/>
      <c r="WJH7" s="72"/>
      <c r="WJO7" s="74"/>
      <c r="WJP7" s="72"/>
      <c r="WJW7" s="74"/>
      <c r="WJX7" s="72"/>
      <c r="WKE7" s="74"/>
      <c r="WKF7" s="72"/>
      <c r="WKM7" s="74"/>
      <c r="WKN7" s="72"/>
      <c r="WKU7" s="74"/>
      <c r="WKV7" s="72"/>
      <c r="WLC7" s="74"/>
      <c r="WLD7" s="72"/>
      <c r="WLK7" s="74"/>
      <c r="WLL7" s="72"/>
      <c r="WLS7" s="74"/>
      <c r="WLT7" s="72"/>
      <c r="WMA7" s="74"/>
      <c r="WMB7" s="72"/>
      <c r="WMI7" s="74"/>
      <c r="WMJ7" s="72"/>
      <c r="WMQ7" s="74"/>
      <c r="WMR7" s="72"/>
      <c r="WMY7" s="74"/>
      <c r="WMZ7" s="72"/>
      <c r="WNG7" s="74"/>
      <c r="WNH7" s="72"/>
      <c r="WNO7" s="74"/>
      <c r="WNP7" s="72"/>
      <c r="WNW7" s="74"/>
      <c r="WNX7" s="72"/>
      <c r="WOE7" s="74"/>
      <c r="WOF7" s="72"/>
      <c r="WOM7" s="74"/>
      <c r="WON7" s="72"/>
      <c r="WOU7" s="74"/>
      <c r="WOV7" s="72"/>
      <c r="WPC7" s="74"/>
      <c r="WPD7" s="72"/>
      <c r="WPK7" s="74"/>
      <c r="WPL7" s="72"/>
      <c r="WPS7" s="74"/>
      <c r="WPT7" s="72"/>
      <c r="WQA7" s="74"/>
      <c r="WQB7" s="72"/>
      <c r="WQI7" s="74"/>
      <c r="WQJ7" s="72"/>
      <c r="WQQ7" s="74"/>
      <c r="WQR7" s="72"/>
      <c r="WQY7" s="74"/>
      <c r="WQZ7" s="72"/>
      <c r="WRG7" s="74"/>
      <c r="WRH7" s="72"/>
      <c r="WRO7" s="74"/>
      <c r="WRP7" s="72"/>
      <c r="WRW7" s="74"/>
      <c r="WRX7" s="72"/>
      <c r="WSE7" s="74"/>
      <c r="WSF7" s="72"/>
      <c r="WSM7" s="74"/>
      <c r="WSN7" s="72"/>
      <c r="WSU7" s="74"/>
      <c r="WSV7" s="72"/>
      <c r="WTC7" s="74"/>
      <c r="WTD7" s="72"/>
      <c r="WTK7" s="74"/>
      <c r="WTL7" s="72"/>
      <c r="WTS7" s="74"/>
      <c r="WTT7" s="72"/>
      <c r="WUA7" s="74"/>
      <c r="WUB7" s="72"/>
      <c r="WUI7" s="74"/>
      <c r="WUJ7" s="72"/>
      <c r="WUQ7" s="74"/>
      <c r="WUR7" s="72"/>
      <c r="WUY7" s="74"/>
      <c r="WUZ7" s="72"/>
      <c r="WVG7" s="74"/>
      <c r="WVH7" s="72"/>
      <c r="WVO7" s="74"/>
      <c r="WVP7" s="72"/>
      <c r="WVW7" s="74"/>
      <c r="WVX7" s="72"/>
      <c r="WWE7" s="74"/>
      <c r="WWF7" s="72"/>
      <c r="WWM7" s="74"/>
      <c r="WWN7" s="72"/>
      <c r="WWU7" s="74"/>
      <c r="WWV7" s="72"/>
      <c r="WXC7" s="74"/>
      <c r="WXD7" s="72"/>
      <c r="WXK7" s="74"/>
      <c r="WXL7" s="72"/>
      <c r="WXS7" s="74"/>
      <c r="WXT7" s="72"/>
      <c r="WYA7" s="74"/>
      <c r="WYB7" s="72"/>
      <c r="WYI7" s="74"/>
      <c r="WYJ7" s="72"/>
      <c r="WYQ7" s="74"/>
      <c r="WYR7" s="72"/>
      <c r="WYY7" s="74"/>
      <c r="WYZ7" s="72"/>
      <c r="WZG7" s="74"/>
      <c r="WZH7" s="72"/>
      <c r="WZO7" s="74"/>
      <c r="WZP7" s="72"/>
      <c r="WZW7" s="74"/>
      <c r="WZX7" s="72"/>
      <c r="XAE7" s="74"/>
      <c r="XAF7" s="72"/>
      <c r="XAM7" s="74"/>
      <c r="XAN7" s="72"/>
      <c r="XAU7" s="74"/>
      <c r="XAV7" s="72"/>
      <c r="XBC7" s="74"/>
      <c r="XBD7" s="72"/>
      <c r="XBK7" s="74"/>
      <c r="XBL7" s="72"/>
      <c r="XBS7" s="74"/>
      <c r="XBT7" s="72"/>
      <c r="XCA7" s="74"/>
      <c r="XCB7" s="72"/>
      <c r="XCI7" s="74"/>
      <c r="XCJ7" s="72"/>
      <c r="XCQ7" s="74"/>
      <c r="XCR7" s="72"/>
      <c r="XCY7" s="74"/>
      <c r="XCZ7" s="72"/>
      <c r="XDG7" s="74"/>
      <c r="XDH7" s="72"/>
      <c r="XDO7" s="74"/>
      <c r="XDP7" s="72"/>
      <c r="XDW7" s="74"/>
      <c r="XDX7" s="72"/>
      <c r="XEE7" s="74"/>
      <c r="XEF7" s="72"/>
      <c r="XEM7" s="74"/>
      <c r="XEN7" s="72"/>
      <c r="XEU7" s="74"/>
      <c r="XEV7" s="72"/>
      <c r="XFC7" s="74"/>
      <c r="XFD7" s="72"/>
    </row>
    <row r="8" spans="1:1024 1031:2048 2055:3072 3079:4096 4103:5120 5127:6144 6151:7168 7175:8192 8199:9216 9223:10240 10247:11264 11271:12288 12295:13312 13319:14336 14343:15360 15367:16384" s="73" customFormat="1" ht="15" customHeight="1" thickBot="1">
      <c r="A8" s="4"/>
      <c r="B8" s="145" t="s">
        <v>110</v>
      </c>
      <c r="C8" s="147">
        <f t="shared" ref="C8:M8" si="0">SUM(C9:C11)</f>
        <v>78593.940185873071</v>
      </c>
      <c r="D8" s="147">
        <f t="shared" ref="D8:D15" si="1">SUM(E8:H8)</f>
        <v>340198.25088982459</v>
      </c>
      <c r="E8" s="147">
        <f t="shared" si="0"/>
        <v>132872.5</v>
      </c>
      <c r="F8" s="147">
        <f t="shared" si="0"/>
        <v>92534.3023309985</v>
      </c>
      <c r="G8" s="147">
        <f t="shared" si="0"/>
        <v>60609.309905187838</v>
      </c>
      <c r="H8" s="147">
        <f>SUM(H9:H11)</f>
        <v>54182.138653638249</v>
      </c>
      <c r="I8" s="147">
        <f t="shared" si="0"/>
        <v>419880</v>
      </c>
      <c r="J8" s="147">
        <f t="shared" si="0"/>
        <v>150836</v>
      </c>
      <c r="K8" s="147">
        <f t="shared" si="0"/>
        <v>93208</v>
      </c>
      <c r="L8" s="147">
        <f t="shared" si="0"/>
        <v>83691</v>
      </c>
      <c r="M8" s="147">
        <f t="shared" si="0"/>
        <v>92145</v>
      </c>
      <c r="N8" s="147">
        <f t="shared" ref="N8:AA8" si="2">SUM(N9:N11)</f>
        <v>308148</v>
      </c>
      <c r="O8" s="146">
        <f t="shared" si="2"/>
        <v>122200</v>
      </c>
      <c r="P8" s="146">
        <f t="shared" si="2"/>
        <v>82790</v>
      </c>
      <c r="Q8" s="146">
        <f t="shared" si="2"/>
        <v>57343</v>
      </c>
      <c r="R8" s="146">
        <f t="shared" si="2"/>
        <v>45815</v>
      </c>
      <c r="S8" s="146">
        <f t="shared" si="2"/>
        <v>215593</v>
      </c>
      <c r="T8" s="146">
        <f t="shared" si="2"/>
        <v>90240</v>
      </c>
      <c r="U8" s="146">
        <f t="shared" si="2"/>
        <v>56057</v>
      </c>
      <c r="V8" s="146">
        <f t="shared" si="2"/>
        <v>38488</v>
      </c>
      <c r="W8" s="146">
        <f t="shared" si="2"/>
        <v>30808</v>
      </c>
      <c r="X8" s="146">
        <f t="shared" si="2"/>
        <v>197548</v>
      </c>
      <c r="Y8" s="146">
        <f t="shared" si="2"/>
        <v>134526</v>
      </c>
      <c r="Z8" s="146">
        <f t="shared" si="2"/>
        <v>63022</v>
      </c>
      <c r="AA8" s="146">
        <f t="shared" si="2"/>
        <v>119228</v>
      </c>
      <c r="AE8" s="74"/>
      <c r="AF8" s="72"/>
      <c r="AM8" s="74"/>
      <c r="AN8" s="72"/>
      <c r="AU8" s="74"/>
      <c r="AV8" s="72"/>
      <c r="BC8" s="74"/>
      <c r="BD8" s="72"/>
      <c r="BK8" s="74"/>
      <c r="BL8" s="72"/>
      <c r="BS8" s="74"/>
      <c r="BT8" s="72"/>
      <c r="CA8" s="74"/>
      <c r="CB8" s="72"/>
      <c r="CI8" s="74"/>
      <c r="CJ8" s="72"/>
      <c r="CQ8" s="74"/>
      <c r="CR8" s="72"/>
      <c r="CY8" s="74"/>
      <c r="CZ8" s="72"/>
      <c r="DG8" s="74"/>
      <c r="DH8" s="72"/>
      <c r="DO8" s="74"/>
      <c r="DP8" s="72"/>
      <c r="DW8" s="74"/>
      <c r="DX8" s="72"/>
      <c r="EE8" s="74"/>
      <c r="EF8" s="72"/>
      <c r="EM8" s="74"/>
      <c r="EN8" s="72"/>
      <c r="EU8" s="74"/>
      <c r="EV8" s="72"/>
      <c r="FC8" s="74"/>
      <c r="FD8" s="72"/>
      <c r="FK8" s="74"/>
      <c r="FL8" s="72"/>
      <c r="FS8" s="74"/>
      <c r="FT8" s="72"/>
      <c r="GA8" s="74"/>
      <c r="GB8" s="72"/>
      <c r="GI8" s="74"/>
      <c r="GJ8" s="72"/>
      <c r="GQ8" s="74"/>
      <c r="GR8" s="72"/>
      <c r="GY8" s="74"/>
      <c r="GZ8" s="72"/>
      <c r="HG8" s="74"/>
      <c r="HH8" s="72"/>
      <c r="HO8" s="74"/>
      <c r="HP8" s="72"/>
      <c r="HW8" s="74"/>
      <c r="HX8" s="72"/>
      <c r="IE8" s="74"/>
      <c r="IF8" s="72"/>
      <c r="IM8" s="74"/>
      <c r="IN8" s="72"/>
      <c r="IU8" s="74"/>
      <c r="IV8" s="72"/>
      <c r="JC8" s="74"/>
      <c r="JD8" s="72"/>
      <c r="JK8" s="74"/>
      <c r="JL8" s="72"/>
      <c r="JS8" s="74"/>
      <c r="JT8" s="72"/>
      <c r="KA8" s="74"/>
      <c r="KB8" s="72"/>
      <c r="KI8" s="74"/>
      <c r="KJ8" s="72"/>
      <c r="KQ8" s="74"/>
      <c r="KR8" s="72"/>
      <c r="KY8" s="74"/>
      <c r="KZ8" s="72"/>
      <c r="LG8" s="74"/>
      <c r="LH8" s="72"/>
      <c r="LO8" s="74"/>
      <c r="LP8" s="72"/>
      <c r="LW8" s="74"/>
      <c r="LX8" s="72"/>
      <c r="ME8" s="74"/>
      <c r="MF8" s="72"/>
      <c r="MM8" s="74"/>
      <c r="MN8" s="72"/>
      <c r="MU8" s="74"/>
      <c r="MV8" s="72"/>
      <c r="NC8" s="74"/>
      <c r="ND8" s="72"/>
      <c r="NK8" s="74"/>
      <c r="NL8" s="72"/>
      <c r="NS8" s="74"/>
      <c r="NT8" s="72"/>
      <c r="OA8" s="74"/>
      <c r="OB8" s="72"/>
      <c r="OI8" s="74"/>
      <c r="OJ8" s="72"/>
      <c r="OQ8" s="74"/>
      <c r="OR8" s="72"/>
      <c r="OY8" s="74"/>
      <c r="OZ8" s="72"/>
      <c r="PG8" s="74"/>
      <c r="PH8" s="72"/>
      <c r="PO8" s="74"/>
      <c r="PP8" s="72"/>
      <c r="PW8" s="74"/>
      <c r="PX8" s="72"/>
      <c r="QE8" s="74"/>
      <c r="QF8" s="72"/>
      <c r="QM8" s="74"/>
      <c r="QN8" s="72"/>
      <c r="QU8" s="74"/>
      <c r="QV8" s="72"/>
      <c r="RC8" s="74"/>
      <c r="RD8" s="72"/>
      <c r="RK8" s="74"/>
      <c r="RL8" s="72"/>
      <c r="RS8" s="74"/>
      <c r="RT8" s="72"/>
      <c r="SA8" s="74"/>
      <c r="SB8" s="72"/>
      <c r="SI8" s="74"/>
      <c r="SJ8" s="72"/>
      <c r="SQ8" s="74"/>
      <c r="SR8" s="72"/>
      <c r="SY8" s="74"/>
      <c r="SZ8" s="72"/>
      <c r="TG8" s="74"/>
      <c r="TH8" s="72"/>
      <c r="TO8" s="74"/>
      <c r="TP8" s="72"/>
      <c r="TW8" s="74"/>
      <c r="TX8" s="72"/>
      <c r="UE8" s="74"/>
      <c r="UF8" s="72"/>
      <c r="UM8" s="74"/>
      <c r="UN8" s="72"/>
      <c r="UU8" s="74"/>
      <c r="UV8" s="72"/>
      <c r="VC8" s="74"/>
      <c r="VD8" s="72"/>
      <c r="VK8" s="74"/>
      <c r="VL8" s="72"/>
      <c r="VS8" s="74"/>
      <c r="VT8" s="72"/>
      <c r="WA8" s="74"/>
      <c r="WB8" s="72"/>
      <c r="WI8" s="74"/>
      <c r="WJ8" s="72"/>
      <c r="WQ8" s="74"/>
      <c r="WR8" s="72"/>
      <c r="WY8" s="74"/>
      <c r="WZ8" s="72"/>
      <c r="XG8" s="74"/>
      <c r="XH8" s="72"/>
      <c r="XO8" s="74"/>
      <c r="XP8" s="72"/>
      <c r="XW8" s="74"/>
      <c r="XX8" s="72"/>
      <c r="YE8" s="74"/>
      <c r="YF8" s="72"/>
      <c r="YM8" s="74"/>
      <c r="YN8" s="72"/>
      <c r="YU8" s="74"/>
      <c r="YV8" s="72"/>
      <c r="ZC8" s="74"/>
      <c r="ZD8" s="72"/>
      <c r="ZK8" s="74"/>
      <c r="ZL8" s="72"/>
      <c r="ZS8" s="74"/>
      <c r="ZT8" s="72"/>
      <c r="AAA8" s="74"/>
      <c r="AAB8" s="72"/>
      <c r="AAI8" s="74"/>
      <c r="AAJ8" s="72"/>
      <c r="AAQ8" s="74"/>
      <c r="AAR8" s="72"/>
      <c r="AAY8" s="74"/>
      <c r="AAZ8" s="72"/>
      <c r="ABG8" s="74"/>
      <c r="ABH8" s="72"/>
      <c r="ABO8" s="74"/>
      <c r="ABP8" s="72"/>
      <c r="ABW8" s="74"/>
      <c r="ABX8" s="72"/>
      <c r="ACE8" s="74"/>
      <c r="ACF8" s="72"/>
      <c r="ACM8" s="74"/>
      <c r="ACN8" s="72"/>
      <c r="ACU8" s="74"/>
      <c r="ACV8" s="72"/>
      <c r="ADC8" s="74"/>
      <c r="ADD8" s="72"/>
      <c r="ADK8" s="74"/>
      <c r="ADL8" s="72"/>
      <c r="ADS8" s="74"/>
      <c r="ADT8" s="72"/>
      <c r="AEA8" s="74"/>
      <c r="AEB8" s="72"/>
      <c r="AEI8" s="74"/>
      <c r="AEJ8" s="72"/>
      <c r="AEQ8" s="74"/>
      <c r="AER8" s="72"/>
      <c r="AEY8" s="74"/>
      <c r="AEZ8" s="72"/>
      <c r="AFG8" s="74"/>
      <c r="AFH8" s="72"/>
      <c r="AFO8" s="74"/>
      <c r="AFP8" s="72"/>
      <c r="AFW8" s="74"/>
      <c r="AFX8" s="72"/>
      <c r="AGE8" s="74"/>
      <c r="AGF8" s="72"/>
      <c r="AGM8" s="74"/>
      <c r="AGN8" s="72"/>
      <c r="AGU8" s="74"/>
      <c r="AGV8" s="72"/>
      <c r="AHC8" s="74"/>
      <c r="AHD8" s="72"/>
      <c r="AHK8" s="74"/>
      <c r="AHL8" s="72"/>
      <c r="AHS8" s="74"/>
      <c r="AHT8" s="72"/>
      <c r="AIA8" s="74"/>
      <c r="AIB8" s="72"/>
      <c r="AII8" s="74"/>
      <c r="AIJ8" s="72"/>
      <c r="AIQ8" s="74"/>
      <c r="AIR8" s="72"/>
      <c r="AIY8" s="74"/>
      <c r="AIZ8" s="72"/>
      <c r="AJG8" s="74"/>
      <c r="AJH8" s="72"/>
      <c r="AJO8" s="74"/>
      <c r="AJP8" s="72"/>
      <c r="AJW8" s="74"/>
      <c r="AJX8" s="72"/>
      <c r="AKE8" s="74"/>
      <c r="AKF8" s="72"/>
      <c r="AKM8" s="74"/>
      <c r="AKN8" s="72"/>
      <c r="AKU8" s="74"/>
      <c r="AKV8" s="72"/>
      <c r="ALC8" s="74"/>
      <c r="ALD8" s="72"/>
      <c r="ALK8" s="74"/>
      <c r="ALL8" s="72"/>
      <c r="ALS8" s="74"/>
      <c r="ALT8" s="72"/>
      <c r="AMA8" s="74"/>
      <c r="AMB8" s="72"/>
      <c r="AMI8" s="74"/>
      <c r="AMJ8" s="72"/>
      <c r="AMQ8" s="74"/>
      <c r="AMR8" s="72"/>
      <c r="AMY8" s="74"/>
      <c r="AMZ8" s="72"/>
      <c r="ANG8" s="74"/>
      <c r="ANH8" s="72"/>
      <c r="ANO8" s="74"/>
      <c r="ANP8" s="72"/>
      <c r="ANW8" s="74"/>
      <c r="ANX8" s="72"/>
      <c r="AOE8" s="74"/>
      <c r="AOF8" s="72"/>
      <c r="AOM8" s="74"/>
      <c r="AON8" s="72"/>
      <c r="AOU8" s="74"/>
      <c r="AOV8" s="72"/>
      <c r="APC8" s="74"/>
      <c r="APD8" s="72"/>
      <c r="APK8" s="74"/>
      <c r="APL8" s="72"/>
      <c r="APS8" s="74"/>
      <c r="APT8" s="72"/>
      <c r="AQA8" s="74"/>
      <c r="AQB8" s="72"/>
      <c r="AQI8" s="74"/>
      <c r="AQJ8" s="72"/>
      <c r="AQQ8" s="74"/>
      <c r="AQR8" s="72"/>
      <c r="AQY8" s="74"/>
      <c r="AQZ8" s="72"/>
      <c r="ARG8" s="74"/>
      <c r="ARH8" s="72"/>
      <c r="ARO8" s="74"/>
      <c r="ARP8" s="72"/>
      <c r="ARW8" s="74"/>
      <c r="ARX8" s="72"/>
      <c r="ASE8" s="74"/>
      <c r="ASF8" s="72"/>
      <c r="ASM8" s="74"/>
      <c r="ASN8" s="72"/>
      <c r="ASU8" s="74"/>
      <c r="ASV8" s="72"/>
      <c r="ATC8" s="74"/>
      <c r="ATD8" s="72"/>
      <c r="ATK8" s="74"/>
      <c r="ATL8" s="72"/>
      <c r="ATS8" s="74"/>
      <c r="ATT8" s="72"/>
      <c r="AUA8" s="74"/>
      <c r="AUB8" s="72"/>
      <c r="AUI8" s="74"/>
      <c r="AUJ8" s="72"/>
      <c r="AUQ8" s="74"/>
      <c r="AUR8" s="72"/>
      <c r="AUY8" s="74"/>
      <c r="AUZ8" s="72"/>
      <c r="AVG8" s="74"/>
      <c r="AVH8" s="72"/>
      <c r="AVO8" s="74"/>
      <c r="AVP8" s="72"/>
      <c r="AVW8" s="74"/>
      <c r="AVX8" s="72"/>
      <c r="AWE8" s="74"/>
      <c r="AWF8" s="72"/>
      <c r="AWM8" s="74"/>
      <c r="AWN8" s="72"/>
      <c r="AWU8" s="74"/>
      <c r="AWV8" s="72"/>
      <c r="AXC8" s="74"/>
      <c r="AXD8" s="72"/>
      <c r="AXK8" s="74"/>
      <c r="AXL8" s="72"/>
      <c r="AXS8" s="74"/>
      <c r="AXT8" s="72"/>
      <c r="AYA8" s="74"/>
      <c r="AYB8" s="72"/>
      <c r="AYI8" s="74"/>
      <c r="AYJ8" s="72"/>
      <c r="AYQ8" s="74"/>
      <c r="AYR8" s="72"/>
      <c r="AYY8" s="74"/>
      <c r="AYZ8" s="72"/>
      <c r="AZG8" s="74"/>
      <c r="AZH8" s="72"/>
      <c r="AZO8" s="74"/>
      <c r="AZP8" s="72"/>
      <c r="AZW8" s="74"/>
      <c r="AZX8" s="72"/>
      <c r="BAE8" s="74"/>
      <c r="BAF8" s="72"/>
      <c r="BAM8" s="74"/>
      <c r="BAN8" s="72"/>
      <c r="BAU8" s="74"/>
      <c r="BAV8" s="72"/>
      <c r="BBC8" s="74"/>
      <c r="BBD8" s="72"/>
      <c r="BBK8" s="74"/>
      <c r="BBL8" s="72"/>
      <c r="BBS8" s="74"/>
      <c r="BBT8" s="72"/>
      <c r="BCA8" s="74"/>
      <c r="BCB8" s="72"/>
      <c r="BCI8" s="74"/>
      <c r="BCJ8" s="72"/>
      <c r="BCQ8" s="74"/>
      <c r="BCR8" s="72"/>
      <c r="BCY8" s="74"/>
      <c r="BCZ8" s="72"/>
      <c r="BDG8" s="74"/>
      <c r="BDH8" s="72"/>
      <c r="BDO8" s="74"/>
      <c r="BDP8" s="72"/>
      <c r="BDW8" s="74"/>
      <c r="BDX8" s="72"/>
      <c r="BEE8" s="74"/>
      <c r="BEF8" s="72"/>
      <c r="BEM8" s="74"/>
      <c r="BEN8" s="72"/>
      <c r="BEU8" s="74"/>
      <c r="BEV8" s="72"/>
      <c r="BFC8" s="74"/>
      <c r="BFD8" s="72"/>
      <c r="BFK8" s="74"/>
      <c r="BFL8" s="72"/>
      <c r="BFS8" s="74"/>
      <c r="BFT8" s="72"/>
      <c r="BGA8" s="74"/>
      <c r="BGB8" s="72"/>
      <c r="BGI8" s="74"/>
      <c r="BGJ8" s="72"/>
      <c r="BGQ8" s="74"/>
      <c r="BGR8" s="72"/>
      <c r="BGY8" s="74"/>
      <c r="BGZ8" s="72"/>
      <c r="BHG8" s="74"/>
      <c r="BHH8" s="72"/>
      <c r="BHO8" s="74"/>
      <c r="BHP8" s="72"/>
      <c r="BHW8" s="74"/>
      <c r="BHX8" s="72"/>
      <c r="BIE8" s="74"/>
      <c r="BIF8" s="72"/>
      <c r="BIM8" s="74"/>
      <c r="BIN8" s="72"/>
      <c r="BIU8" s="74"/>
      <c r="BIV8" s="72"/>
      <c r="BJC8" s="74"/>
      <c r="BJD8" s="72"/>
      <c r="BJK8" s="74"/>
      <c r="BJL8" s="72"/>
      <c r="BJS8" s="74"/>
      <c r="BJT8" s="72"/>
      <c r="BKA8" s="74"/>
      <c r="BKB8" s="72"/>
      <c r="BKI8" s="74"/>
      <c r="BKJ8" s="72"/>
      <c r="BKQ8" s="74"/>
      <c r="BKR8" s="72"/>
      <c r="BKY8" s="74"/>
      <c r="BKZ8" s="72"/>
      <c r="BLG8" s="74"/>
      <c r="BLH8" s="72"/>
      <c r="BLO8" s="74"/>
      <c r="BLP8" s="72"/>
      <c r="BLW8" s="74"/>
      <c r="BLX8" s="72"/>
      <c r="BME8" s="74"/>
      <c r="BMF8" s="72"/>
      <c r="BMM8" s="74"/>
      <c r="BMN8" s="72"/>
      <c r="BMU8" s="74"/>
      <c r="BMV8" s="72"/>
      <c r="BNC8" s="74"/>
      <c r="BND8" s="72"/>
      <c r="BNK8" s="74"/>
      <c r="BNL8" s="72"/>
      <c r="BNS8" s="74"/>
      <c r="BNT8" s="72"/>
      <c r="BOA8" s="74"/>
      <c r="BOB8" s="72"/>
      <c r="BOI8" s="74"/>
      <c r="BOJ8" s="72"/>
      <c r="BOQ8" s="74"/>
      <c r="BOR8" s="72"/>
      <c r="BOY8" s="74"/>
      <c r="BOZ8" s="72"/>
      <c r="BPG8" s="74"/>
      <c r="BPH8" s="72"/>
      <c r="BPO8" s="74"/>
      <c r="BPP8" s="72"/>
      <c r="BPW8" s="74"/>
      <c r="BPX8" s="72"/>
      <c r="BQE8" s="74"/>
      <c r="BQF8" s="72"/>
      <c r="BQM8" s="74"/>
      <c r="BQN8" s="72"/>
      <c r="BQU8" s="74"/>
      <c r="BQV8" s="72"/>
      <c r="BRC8" s="74"/>
      <c r="BRD8" s="72"/>
      <c r="BRK8" s="74"/>
      <c r="BRL8" s="72"/>
      <c r="BRS8" s="74"/>
      <c r="BRT8" s="72"/>
      <c r="BSA8" s="74"/>
      <c r="BSB8" s="72"/>
      <c r="BSI8" s="74"/>
      <c r="BSJ8" s="72"/>
      <c r="BSQ8" s="74"/>
      <c r="BSR8" s="72"/>
      <c r="BSY8" s="74"/>
      <c r="BSZ8" s="72"/>
      <c r="BTG8" s="74"/>
      <c r="BTH8" s="72"/>
      <c r="BTO8" s="74"/>
      <c r="BTP8" s="72"/>
      <c r="BTW8" s="74"/>
      <c r="BTX8" s="72"/>
      <c r="BUE8" s="74"/>
      <c r="BUF8" s="72"/>
      <c r="BUM8" s="74"/>
      <c r="BUN8" s="72"/>
      <c r="BUU8" s="74"/>
      <c r="BUV8" s="72"/>
      <c r="BVC8" s="74"/>
      <c r="BVD8" s="72"/>
      <c r="BVK8" s="74"/>
      <c r="BVL8" s="72"/>
      <c r="BVS8" s="74"/>
      <c r="BVT8" s="72"/>
      <c r="BWA8" s="74"/>
      <c r="BWB8" s="72"/>
      <c r="BWI8" s="74"/>
      <c r="BWJ8" s="72"/>
      <c r="BWQ8" s="74"/>
      <c r="BWR8" s="72"/>
      <c r="BWY8" s="74"/>
      <c r="BWZ8" s="72"/>
      <c r="BXG8" s="74"/>
      <c r="BXH8" s="72"/>
      <c r="BXO8" s="74"/>
      <c r="BXP8" s="72"/>
      <c r="BXW8" s="74"/>
      <c r="BXX8" s="72"/>
      <c r="BYE8" s="74"/>
      <c r="BYF8" s="72"/>
      <c r="BYM8" s="74"/>
      <c r="BYN8" s="72"/>
      <c r="BYU8" s="74"/>
      <c r="BYV8" s="72"/>
      <c r="BZC8" s="74"/>
      <c r="BZD8" s="72"/>
      <c r="BZK8" s="74"/>
      <c r="BZL8" s="72"/>
      <c r="BZS8" s="74"/>
      <c r="BZT8" s="72"/>
      <c r="CAA8" s="74"/>
      <c r="CAB8" s="72"/>
      <c r="CAI8" s="74"/>
      <c r="CAJ8" s="72"/>
      <c r="CAQ8" s="74"/>
      <c r="CAR8" s="72"/>
      <c r="CAY8" s="74"/>
      <c r="CAZ8" s="72"/>
      <c r="CBG8" s="74"/>
      <c r="CBH8" s="72"/>
      <c r="CBO8" s="74"/>
      <c r="CBP8" s="72"/>
      <c r="CBW8" s="74"/>
      <c r="CBX8" s="72"/>
      <c r="CCE8" s="74"/>
      <c r="CCF8" s="72"/>
      <c r="CCM8" s="74"/>
      <c r="CCN8" s="72"/>
      <c r="CCU8" s="74"/>
      <c r="CCV8" s="72"/>
      <c r="CDC8" s="74"/>
      <c r="CDD8" s="72"/>
      <c r="CDK8" s="74"/>
      <c r="CDL8" s="72"/>
      <c r="CDS8" s="74"/>
      <c r="CDT8" s="72"/>
      <c r="CEA8" s="74"/>
      <c r="CEB8" s="72"/>
      <c r="CEI8" s="74"/>
      <c r="CEJ8" s="72"/>
      <c r="CEQ8" s="74"/>
      <c r="CER8" s="72"/>
      <c r="CEY8" s="74"/>
      <c r="CEZ8" s="72"/>
      <c r="CFG8" s="74"/>
      <c r="CFH8" s="72"/>
      <c r="CFO8" s="74"/>
      <c r="CFP8" s="72"/>
      <c r="CFW8" s="74"/>
      <c r="CFX8" s="72"/>
      <c r="CGE8" s="74"/>
      <c r="CGF8" s="72"/>
      <c r="CGM8" s="74"/>
      <c r="CGN8" s="72"/>
      <c r="CGU8" s="74"/>
      <c r="CGV8" s="72"/>
      <c r="CHC8" s="74"/>
      <c r="CHD8" s="72"/>
      <c r="CHK8" s="74"/>
      <c r="CHL8" s="72"/>
      <c r="CHS8" s="74"/>
      <c r="CHT8" s="72"/>
      <c r="CIA8" s="74"/>
      <c r="CIB8" s="72"/>
      <c r="CII8" s="74"/>
      <c r="CIJ8" s="72"/>
      <c r="CIQ8" s="74"/>
      <c r="CIR8" s="72"/>
      <c r="CIY8" s="74"/>
      <c r="CIZ8" s="72"/>
      <c r="CJG8" s="74"/>
      <c r="CJH8" s="72"/>
      <c r="CJO8" s="74"/>
      <c r="CJP8" s="72"/>
      <c r="CJW8" s="74"/>
      <c r="CJX8" s="72"/>
      <c r="CKE8" s="74"/>
      <c r="CKF8" s="72"/>
      <c r="CKM8" s="74"/>
      <c r="CKN8" s="72"/>
      <c r="CKU8" s="74"/>
      <c r="CKV8" s="72"/>
      <c r="CLC8" s="74"/>
      <c r="CLD8" s="72"/>
      <c r="CLK8" s="74"/>
      <c r="CLL8" s="72"/>
      <c r="CLS8" s="74"/>
      <c r="CLT8" s="72"/>
      <c r="CMA8" s="74"/>
      <c r="CMB8" s="72"/>
      <c r="CMI8" s="74"/>
      <c r="CMJ8" s="72"/>
      <c r="CMQ8" s="74"/>
      <c r="CMR8" s="72"/>
      <c r="CMY8" s="74"/>
      <c r="CMZ8" s="72"/>
      <c r="CNG8" s="74"/>
      <c r="CNH8" s="72"/>
      <c r="CNO8" s="74"/>
      <c r="CNP8" s="72"/>
      <c r="CNW8" s="74"/>
      <c r="CNX8" s="72"/>
      <c r="COE8" s="74"/>
      <c r="COF8" s="72"/>
      <c r="COM8" s="74"/>
      <c r="CON8" s="72"/>
      <c r="COU8" s="74"/>
      <c r="COV8" s="72"/>
      <c r="CPC8" s="74"/>
      <c r="CPD8" s="72"/>
      <c r="CPK8" s="74"/>
      <c r="CPL8" s="72"/>
      <c r="CPS8" s="74"/>
      <c r="CPT8" s="72"/>
      <c r="CQA8" s="74"/>
      <c r="CQB8" s="72"/>
      <c r="CQI8" s="74"/>
      <c r="CQJ8" s="72"/>
      <c r="CQQ8" s="74"/>
      <c r="CQR8" s="72"/>
      <c r="CQY8" s="74"/>
      <c r="CQZ8" s="72"/>
      <c r="CRG8" s="74"/>
      <c r="CRH8" s="72"/>
      <c r="CRO8" s="74"/>
      <c r="CRP8" s="72"/>
      <c r="CRW8" s="74"/>
      <c r="CRX8" s="72"/>
      <c r="CSE8" s="74"/>
      <c r="CSF8" s="72"/>
      <c r="CSM8" s="74"/>
      <c r="CSN8" s="72"/>
      <c r="CSU8" s="74"/>
      <c r="CSV8" s="72"/>
      <c r="CTC8" s="74"/>
      <c r="CTD8" s="72"/>
      <c r="CTK8" s="74"/>
      <c r="CTL8" s="72"/>
      <c r="CTS8" s="74"/>
      <c r="CTT8" s="72"/>
      <c r="CUA8" s="74"/>
      <c r="CUB8" s="72"/>
      <c r="CUI8" s="74"/>
      <c r="CUJ8" s="72"/>
      <c r="CUQ8" s="74"/>
      <c r="CUR8" s="72"/>
      <c r="CUY8" s="74"/>
      <c r="CUZ8" s="72"/>
      <c r="CVG8" s="74"/>
      <c r="CVH8" s="72"/>
      <c r="CVO8" s="74"/>
      <c r="CVP8" s="72"/>
      <c r="CVW8" s="74"/>
      <c r="CVX8" s="72"/>
      <c r="CWE8" s="74"/>
      <c r="CWF8" s="72"/>
      <c r="CWM8" s="74"/>
      <c r="CWN8" s="72"/>
      <c r="CWU8" s="74"/>
      <c r="CWV8" s="72"/>
      <c r="CXC8" s="74"/>
      <c r="CXD8" s="72"/>
      <c r="CXK8" s="74"/>
      <c r="CXL8" s="72"/>
      <c r="CXS8" s="74"/>
      <c r="CXT8" s="72"/>
      <c r="CYA8" s="74"/>
      <c r="CYB8" s="72"/>
      <c r="CYI8" s="74"/>
      <c r="CYJ8" s="72"/>
      <c r="CYQ8" s="74"/>
      <c r="CYR8" s="72"/>
      <c r="CYY8" s="74"/>
      <c r="CYZ8" s="72"/>
      <c r="CZG8" s="74"/>
      <c r="CZH8" s="72"/>
      <c r="CZO8" s="74"/>
      <c r="CZP8" s="72"/>
      <c r="CZW8" s="74"/>
      <c r="CZX8" s="72"/>
      <c r="DAE8" s="74"/>
      <c r="DAF8" s="72"/>
      <c r="DAM8" s="74"/>
      <c r="DAN8" s="72"/>
      <c r="DAU8" s="74"/>
      <c r="DAV8" s="72"/>
      <c r="DBC8" s="74"/>
      <c r="DBD8" s="72"/>
      <c r="DBK8" s="74"/>
      <c r="DBL8" s="72"/>
      <c r="DBS8" s="74"/>
      <c r="DBT8" s="72"/>
      <c r="DCA8" s="74"/>
      <c r="DCB8" s="72"/>
      <c r="DCI8" s="74"/>
      <c r="DCJ8" s="72"/>
      <c r="DCQ8" s="74"/>
      <c r="DCR8" s="72"/>
      <c r="DCY8" s="74"/>
      <c r="DCZ8" s="72"/>
      <c r="DDG8" s="74"/>
      <c r="DDH8" s="72"/>
      <c r="DDO8" s="74"/>
      <c r="DDP8" s="72"/>
      <c r="DDW8" s="74"/>
      <c r="DDX8" s="72"/>
      <c r="DEE8" s="74"/>
      <c r="DEF8" s="72"/>
      <c r="DEM8" s="74"/>
      <c r="DEN8" s="72"/>
      <c r="DEU8" s="74"/>
      <c r="DEV8" s="72"/>
      <c r="DFC8" s="74"/>
      <c r="DFD8" s="72"/>
      <c r="DFK8" s="74"/>
      <c r="DFL8" s="72"/>
      <c r="DFS8" s="74"/>
      <c r="DFT8" s="72"/>
      <c r="DGA8" s="74"/>
      <c r="DGB8" s="72"/>
      <c r="DGI8" s="74"/>
      <c r="DGJ8" s="72"/>
      <c r="DGQ8" s="74"/>
      <c r="DGR8" s="72"/>
      <c r="DGY8" s="74"/>
      <c r="DGZ8" s="72"/>
      <c r="DHG8" s="74"/>
      <c r="DHH8" s="72"/>
      <c r="DHO8" s="74"/>
      <c r="DHP8" s="72"/>
      <c r="DHW8" s="74"/>
      <c r="DHX8" s="72"/>
      <c r="DIE8" s="74"/>
      <c r="DIF8" s="72"/>
      <c r="DIM8" s="74"/>
      <c r="DIN8" s="72"/>
      <c r="DIU8" s="74"/>
      <c r="DIV8" s="72"/>
      <c r="DJC8" s="74"/>
      <c r="DJD8" s="72"/>
      <c r="DJK8" s="74"/>
      <c r="DJL8" s="72"/>
      <c r="DJS8" s="74"/>
      <c r="DJT8" s="72"/>
      <c r="DKA8" s="74"/>
      <c r="DKB8" s="72"/>
      <c r="DKI8" s="74"/>
      <c r="DKJ8" s="72"/>
      <c r="DKQ8" s="74"/>
      <c r="DKR8" s="72"/>
      <c r="DKY8" s="74"/>
      <c r="DKZ8" s="72"/>
      <c r="DLG8" s="74"/>
      <c r="DLH8" s="72"/>
      <c r="DLO8" s="74"/>
      <c r="DLP8" s="72"/>
      <c r="DLW8" s="74"/>
      <c r="DLX8" s="72"/>
      <c r="DME8" s="74"/>
      <c r="DMF8" s="72"/>
      <c r="DMM8" s="74"/>
      <c r="DMN8" s="72"/>
      <c r="DMU8" s="74"/>
      <c r="DMV8" s="72"/>
      <c r="DNC8" s="74"/>
      <c r="DND8" s="72"/>
      <c r="DNK8" s="74"/>
      <c r="DNL8" s="72"/>
      <c r="DNS8" s="74"/>
      <c r="DNT8" s="72"/>
      <c r="DOA8" s="74"/>
      <c r="DOB8" s="72"/>
      <c r="DOI8" s="74"/>
      <c r="DOJ8" s="72"/>
      <c r="DOQ8" s="74"/>
      <c r="DOR8" s="72"/>
      <c r="DOY8" s="74"/>
      <c r="DOZ8" s="72"/>
      <c r="DPG8" s="74"/>
      <c r="DPH8" s="72"/>
      <c r="DPO8" s="74"/>
      <c r="DPP8" s="72"/>
      <c r="DPW8" s="74"/>
      <c r="DPX8" s="72"/>
      <c r="DQE8" s="74"/>
      <c r="DQF8" s="72"/>
      <c r="DQM8" s="74"/>
      <c r="DQN8" s="72"/>
      <c r="DQU8" s="74"/>
      <c r="DQV8" s="72"/>
      <c r="DRC8" s="74"/>
      <c r="DRD8" s="72"/>
      <c r="DRK8" s="74"/>
      <c r="DRL8" s="72"/>
      <c r="DRS8" s="74"/>
      <c r="DRT8" s="72"/>
      <c r="DSA8" s="74"/>
      <c r="DSB8" s="72"/>
      <c r="DSI8" s="74"/>
      <c r="DSJ8" s="72"/>
      <c r="DSQ8" s="74"/>
      <c r="DSR8" s="72"/>
      <c r="DSY8" s="74"/>
      <c r="DSZ8" s="72"/>
      <c r="DTG8" s="74"/>
      <c r="DTH8" s="72"/>
      <c r="DTO8" s="74"/>
      <c r="DTP8" s="72"/>
      <c r="DTW8" s="74"/>
      <c r="DTX8" s="72"/>
      <c r="DUE8" s="74"/>
      <c r="DUF8" s="72"/>
      <c r="DUM8" s="74"/>
      <c r="DUN8" s="72"/>
      <c r="DUU8" s="74"/>
      <c r="DUV8" s="72"/>
      <c r="DVC8" s="74"/>
      <c r="DVD8" s="72"/>
      <c r="DVK8" s="74"/>
      <c r="DVL8" s="72"/>
      <c r="DVS8" s="74"/>
      <c r="DVT8" s="72"/>
      <c r="DWA8" s="74"/>
      <c r="DWB8" s="72"/>
      <c r="DWI8" s="74"/>
      <c r="DWJ8" s="72"/>
      <c r="DWQ8" s="74"/>
      <c r="DWR8" s="72"/>
      <c r="DWY8" s="74"/>
      <c r="DWZ8" s="72"/>
      <c r="DXG8" s="74"/>
      <c r="DXH8" s="72"/>
      <c r="DXO8" s="74"/>
      <c r="DXP8" s="72"/>
      <c r="DXW8" s="74"/>
      <c r="DXX8" s="72"/>
      <c r="DYE8" s="74"/>
      <c r="DYF8" s="72"/>
      <c r="DYM8" s="74"/>
      <c r="DYN8" s="72"/>
      <c r="DYU8" s="74"/>
      <c r="DYV8" s="72"/>
      <c r="DZC8" s="74"/>
      <c r="DZD8" s="72"/>
      <c r="DZK8" s="74"/>
      <c r="DZL8" s="72"/>
      <c r="DZS8" s="74"/>
      <c r="DZT8" s="72"/>
      <c r="EAA8" s="74"/>
      <c r="EAB8" s="72"/>
      <c r="EAI8" s="74"/>
      <c r="EAJ8" s="72"/>
      <c r="EAQ8" s="74"/>
      <c r="EAR8" s="72"/>
      <c r="EAY8" s="74"/>
      <c r="EAZ8" s="72"/>
      <c r="EBG8" s="74"/>
      <c r="EBH8" s="72"/>
      <c r="EBO8" s="74"/>
      <c r="EBP8" s="72"/>
      <c r="EBW8" s="74"/>
      <c r="EBX8" s="72"/>
      <c r="ECE8" s="74"/>
      <c r="ECF8" s="72"/>
      <c r="ECM8" s="74"/>
      <c r="ECN8" s="72"/>
      <c r="ECU8" s="74"/>
      <c r="ECV8" s="72"/>
      <c r="EDC8" s="74"/>
      <c r="EDD8" s="72"/>
      <c r="EDK8" s="74"/>
      <c r="EDL8" s="72"/>
      <c r="EDS8" s="74"/>
      <c r="EDT8" s="72"/>
      <c r="EEA8" s="74"/>
      <c r="EEB8" s="72"/>
      <c r="EEI8" s="74"/>
      <c r="EEJ8" s="72"/>
      <c r="EEQ8" s="74"/>
      <c r="EER8" s="72"/>
      <c r="EEY8" s="74"/>
      <c r="EEZ8" s="72"/>
      <c r="EFG8" s="74"/>
      <c r="EFH8" s="72"/>
      <c r="EFO8" s="74"/>
      <c r="EFP8" s="72"/>
      <c r="EFW8" s="74"/>
      <c r="EFX8" s="72"/>
      <c r="EGE8" s="74"/>
      <c r="EGF8" s="72"/>
      <c r="EGM8" s="74"/>
      <c r="EGN8" s="72"/>
      <c r="EGU8" s="74"/>
      <c r="EGV8" s="72"/>
      <c r="EHC8" s="74"/>
      <c r="EHD8" s="72"/>
      <c r="EHK8" s="74"/>
      <c r="EHL8" s="72"/>
      <c r="EHS8" s="74"/>
      <c r="EHT8" s="72"/>
      <c r="EIA8" s="74"/>
      <c r="EIB8" s="72"/>
      <c r="EII8" s="74"/>
      <c r="EIJ8" s="72"/>
      <c r="EIQ8" s="74"/>
      <c r="EIR8" s="72"/>
      <c r="EIY8" s="74"/>
      <c r="EIZ8" s="72"/>
      <c r="EJG8" s="74"/>
      <c r="EJH8" s="72"/>
      <c r="EJO8" s="74"/>
      <c r="EJP8" s="72"/>
      <c r="EJW8" s="74"/>
      <c r="EJX8" s="72"/>
      <c r="EKE8" s="74"/>
      <c r="EKF8" s="72"/>
      <c r="EKM8" s="74"/>
      <c r="EKN8" s="72"/>
      <c r="EKU8" s="74"/>
      <c r="EKV8" s="72"/>
      <c r="ELC8" s="74"/>
      <c r="ELD8" s="72"/>
      <c r="ELK8" s="74"/>
      <c r="ELL8" s="72"/>
      <c r="ELS8" s="74"/>
      <c r="ELT8" s="72"/>
      <c r="EMA8" s="74"/>
      <c r="EMB8" s="72"/>
      <c r="EMI8" s="74"/>
      <c r="EMJ8" s="72"/>
      <c r="EMQ8" s="74"/>
      <c r="EMR8" s="72"/>
      <c r="EMY8" s="74"/>
      <c r="EMZ8" s="72"/>
      <c r="ENG8" s="74"/>
      <c r="ENH8" s="72"/>
      <c r="ENO8" s="74"/>
      <c r="ENP8" s="72"/>
      <c r="ENW8" s="74"/>
      <c r="ENX8" s="72"/>
      <c r="EOE8" s="74"/>
      <c r="EOF8" s="72"/>
      <c r="EOM8" s="74"/>
      <c r="EON8" s="72"/>
      <c r="EOU8" s="74"/>
      <c r="EOV8" s="72"/>
      <c r="EPC8" s="74"/>
      <c r="EPD8" s="72"/>
      <c r="EPK8" s="74"/>
      <c r="EPL8" s="72"/>
      <c r="EPS8" s="74"/>
      <c r="EPT8" s="72"/>
      <c r="EQA8" s="74"/>
      <c r="EQB8" s="72"/>
      <c r="EQI8" s="74"/>
      <c r="EQJ8" s="72"/>
      <c r="EQQ8" s="74"/>
      <c r="EQR8" s="72"/>
      <c r="EQY8" s="74"/>
      <c r="EQZ8" s="72"/>
      <c r="ERG8" s="74"/>
      <c r="ERH8" s="72"/>
      <c r="ERO8" s="74"/>
      <c r="ERP8" s="72"/>
      <c r="ERW8" s="74"/>
      <c r="ERX8" s="72"/>
      <c r="ESE8" s="74"/>
      <c r="ESF8" s="72"/>
      <c r="ESM8" s="74"/>
      <c r="ESN8" s="72"/>
      <c r="ESU8" s="74"/>
      <c r="ESV8" s="72"/>
      <c r="ETC8" s="74"/>
      <c r="ETD8" s="72"/>
      <c r="ETK8" s="74"/>
      <c r="ETL8" s="72"/>
      <c r="ETS8" s="74"/>
      <c r="ETT8" s="72"/>
      <c r="EUA8" s="74"/>
      <c r="EUB8" s="72"/>
      <c r="EUI8" s="74"/>
      <c r="EUJ8" s="72"/>
      <c r="EUQ8" s="74"/>
      <c r="EUR8" s="72"/>
      <c r="EUY8" s="74"/>
      <c r="EUZ8" s="72"/>
      <c r="EVG8" s="74"/>
      <c r="EVH8" s="72"/>
      <c r="EVO8" s="74"/>
      <c r="EVP8" s="72"/>
      <c r="EVW8" s="74"/>
      <c r="EVX8" s="72"/>
      <c r="EWE8" s="74"/>
      <c r="EWF8" s="72"/>
      <c r="EWM8" s="74"/>
      <c r="EWN8" s="72"/>
      <c r="EWU8" s="74"/>
      <c r="EWV8" s="72"/>
      <c r="EXC8" s="74"/>
      <c r="EXD8" s="72"/>
      <c r="EXK8" s="74"/>
      <c r="EXL8" s="72"/>
      <c r="EXS8" s="74"/>
      <c r="EXT8" s="72"/>
      <c r="EYA8" s="74"/>
      <c r="EYB8" s="72"/>
      <c r="EYI8" s="74"/>
      <c r="EYJ8" s="72"/>
      <c r="EYQ8" s="74"/>
      <c r="EYR8" s="72"/>
      <c r="EYY8" s="74"/>
      <c r="EYZ8" s="72"/>
      <c r="EZG8" s="74"/>
      <c r="EZH8" s="72"/>
      <c r="EZO8" s="74"/>
      <c r="EZP8" s="72"/>
      <c r="EZW8" s="74"/>
      <c r="EZX8" s="72"/>
      <c r="FAE8" s="74"/>
      <c r="FAF8" s="72"/>
      <c r="FAM8" s="74"/>
      <c r="FAN8" s="72"/>
      <c r="FAU8" s="74"/>
      <c r="FAV8" s="72"/>
      <c r="FBC8" s="74"/>
      <c r="FBD8" s="72"/>
      <c r="FBK8" s="74"/>
      <c r="FBL8" s="72"/>
      <c r="FBS8" s="74"/>
      <c r="FBT8" s="72"/>
      <c r="FCA8" s="74"/>
      <c r="FCB8" s="72"/>
      <c r="FCI8" s="74"/>
      <c r="FCJ8" s="72"/>
      <c r="FCQ8" s="74"/>
      <c r="FCR8" s="72"/>
      <c r="FCY8" s="74"/>
      <c r="FCZ8" s="72"/>
      <c r="FDG8" s="74"/>
      <c r="FDH8" s="72"/>
      <c r="FDO8" s="74"/>
      <c r="FDP8" s="72"/>
      <c r="FDW8" s="74"/>
      <c r="FDX8" s="72"/>
      <c r="FEE8" s="74"/>
      <c r="FEF8" s="72"/>
      <c r="FEM8" s="74"/>
      <c r="FEN8" s="72"/>
      <c r="FEU8" s="74"/>
      <c r="FEV8" s="72"/>
      <c r="FFC8" s="74"/>
      <c r="FFD8" s="72"/>
      <c r="FFK8" s="74"/>
      <c r="FFL8" s="72"/>
      <c r="FFS8" s="74"/>
      <c r="FFT8" s="72"/>
      <c r="FGA8" s="74"/>
      <c r="FGB8" s="72"/>
      <c r="FGI8" s="74"/>
      <c r="FGJ8" s="72"/>
      <c r="FGQ8" s="74"/>
      <c r="FGR8" s="72"/>
      <c r="FGY8" s="74"/>
      <c r="FGZ8" s="72"/>
      <c r="FHG8" s="74"/>
      <c r="FHH8" s="72"/>
      <c r="FHO8" s="74"/>
      <c r="FHP8" s="72"/>
      <c r="FHW8" s="74"/>
      <c r="FHX8" s="72"/>
      <c r="FIE8" s="74"/>
      <c r="FIF8" s="72"/>
      <c r="FIM8" s="74"/>
      <c r="FIN8" s="72"/>
      <c r="FIU8" s="74"/>
      <c r="FIV8" s="72"/>
      <c r="FJC8" s="74"/>
      <c r="FJD8" s="72"/>
      <c r="FJK8" s="74"/>
      <c r="FJL8" s="72"/>
      <c r="FJS8" s="74"/>
      <c r="FJT8" s="72"/>
      <c r="FKA8" s="74"/>
      <c r="FKB8" s="72"/>
      <c r="FKI8" s="74"/>
      <c r="FKJ8" s="72"/>
      <c r="FKQ8" s="74"/>
      <c r="FKR8" s="72"/>
      <c r="FKY8" s="74"/>
      <c r="FKZ8" s="72"/>
      <c r="FLG8" s="74"/>
      <c r="FLH8" s="72"/>
      <c r="FLO8" s="74"/>
      <c r="FLP8" s="72"/>
      <c r="FLW8" s="74"/>
      <c r="FLX8" s="72"/>
      <c r="FME8" s="74"/>
      <c r="FMF8" s="72"/>
      <c r="FMM8" s="74"/>
      <c r="FMN8" s="72"/>
      <c r="FMU8" s="74"/>
      <c r="FMV8" s="72"/>
      <c r="FNC8" s="74"/>
      <c r="FND8" s="72"/>
      <c r="FNK8" s="74"/>
      <c r="FNL8" s="72"/>
      <c r="FNS8" s="74"/>
      <c r="FNT8" s="72"/>
      <c r="FOA8" s="74"/>
      <c r="FOB8" s="72"/>
      <c r="FOI8" s="74"/>
      <c r="FOJ8" s="72"/>
      <c r="FOQ8" s="74"/>
      <c r="FOR8" s="72"/>
      <c r="FOY8" s="74"/>
      <c r="FOZ8" s="72"/>
      <c r="FPG8" s="74"/>
      <c r="FPH8" s="72"/>
      <c r="FPO8" s="74"/>
      <c r="FPP8" s="72"/>
      <c r="FPW8" s="74"/>
      <c r="FPX8" s="72"/>
      <c r="FQE8" s="74"/>
      <c r="FQF8" s="72"/>
      <c r="FQM8" s="74"/>
      <c r="FQN8" s="72"/>
      <c r="FQU8" s="74"/>
      <c r="FQV8" s="72"/>
      <c r="FRC8" s="74"/>
      <c r="FRD8" s="72"/>
      <c r="FRK8" s="74"/>
      <c r="FRL8" s="72"/>
      <c r="FRS8" s="74"/>
      <c r="FRT8" s="72"/>
      <c r="FSA8" s="74"/>
      <c r="FSB8" s="72"/>
      <c r="FSI8" s="74"/>
      <c r="FSJ8" s="72"/>
      <c r="FSQ8" s="74"/>
      <c r="FSR8" s="72"/>
      <c r="FSY8" s="74"/>
      <c r="FSZ8" s="72"/>
      <c r="FTG8" s="74"/>
      <c r="FTH8" s="72"/>
      <c r="FTO8" s="74"/>
      <c r="FTP8" s="72"/>
      <c r="FTW8" s="74"/>
      <c r="FTX8" s="72"/>
      <c r="FUE8" s="74"/>
      <c r="FUF8" s="72"/>
      <c r="FUM8" s="74"/>
      <c r="FUN8" s="72"/>
      <c r="FUU8" s="74"/>
      <c r="FUV8" s="72"/>
      <c r="FVC8" s="74"/>
      <c r="FVD8" s="72"/>
      <c r="FVK8" s="74"/>
      <c r="FVL8" s="72"/>
      <c r="FVS8" s="74"/>
      <c r="FVT8" s="72"/>
      <c r="FWA8" s="74"/>
      <c r="FWB8" s="72"/>
      <c r="FWI8" s="74"/>
      <c r="FWJ8" s="72"/>
      <c r="FWQ8" s="74"/>
      <c r="FWR8" s="72"/>
      <c r="FWY8" s="74"/>
      <c r="FWZ8" s="72"/>
      <c r="FXG8" s="74"/>
      <c r="FXH8" s="72"/>
      <c r="FXO8" s="74"/>
      <c r="FXP8" s="72"/>
      <c r="FXW8" s="74"/>
      <c r="FXX8" s="72"/>
      <c r="FYE8" s="74"/>
      <c r="FYF8" s="72"/>
      <c r="FYM8" s="74"/>
      <c r="FYN8" s="72"/>
      <c r="FYU8" s="74"/>
      <c r="FYV8" s="72"/>
      <c r="FZC8" s="74"/>
      <c r="FZD8" s="72"/>
      <c r="FZK8" s="74"/>
      <c r="FZL8" s="72"/>
      <c r="FZS8" s="74"/>
      <c r="FZT8" s="72"/>
      <c r="GAA8" s="74"/>
      <c r="GAB8" s="72"/>
      <c r="GAI8" s="74"/>
      <c r="GAJ8" s="72"/>
      <c r="GAQ8" s="74"/>
      <c r="GAR8" s="72"/>
      <c r="GAY8" s="74"/>
      <c r="GAZ8" s="72"/>
      <c r="GBG8" s="74"/>
      <c r="GBH8" s="72"/>
      <c r="GBO8" s="74"/>
      <c r="GBP8" s="72"/>
      <c r="GBW8" s="74"/>
      <c r="GBX8" s="72"/>
      <c r="GCE8" s="74"/>
      <c r="GCF8" s="72"/>
      <c r="GCM8" s="74"/>
      <c r="GCN8" s="72"/>
      <c r="GCU8" s="74"/>
      <c r="GCV8" s="72"/>
      <c r="GDC8" s="74"/>
      <c r="GDD8" s="72"/>
      <c r="GDK8" s="74"/>
      <c r="GDL8" s="72"/>
      <c r="GDS8" s="74"/>
      <c r="GDT8" s="72"/>
      <c r="GEA8" s="74"/>
      <c r="GEB8" s="72"/>
      <c r="GEI8" s="74"/>
      <c r="GEJ8" s="72"/>
      <c r="GEQ8" s="74"/>
      <c r="GER8" s="72"/>
      <c r="GEY8" s="74"/>
      <c r="GEZ8" s="72"/>
      <c r="GFG8" s="74"/>
      <c r="GFH8" s="72"/>
      <c r="GFO8" s="74"/>
      <c r="GFP8" s="72"/>
      <c r="GFW8" s="74"/>
      <c r="GFX8" s="72"/>
      <c r="GGE8" s="74"/>
      <c r="GGF8" s="72"/>
      <c r="GGM8" s="74"/>
      <c r="GGN8" s="72"/>
      <c r="GGU8" s="74"/>
      <c r="GGV8" s="72"/>
      <c r="GHC8" s="74"/>
      <c r="GHD8" s="72"/>
      <c r="GHK8" s="74"/>
      <c r="GHL8" s="72"/>
      <c r="GHS8" s="74"/>
      <c r="GHT8" s="72"/>
      <c r="GIA8" s="74"/>
      <c r="GIB8" s="72"/>
      <c r="GII8" s="74"/>
      <c r="GIJ8" s="72"/>
      <c r="GIQ8" s="74"/>
      <c r="GIR8" s="72"/>
      <c r="GIY8" s="74"/>
      <c r="GIZ8" s="72"/>
      <c r="GJG8" s="74"/>
      <c r="GJH8" s="72"/>
      <c r="GJO8" s="74"/>
      <c r="GJP8" s="72"/>
      <c r="GJW8" s="74"/>
      <c r="GJX8" s="72"/>
      <c r="GKE8" s="74"/>
      <c r="GKF8" s="72"/>
      <c r="GKM8" s="74"/>
      <c r="GKN8" s="72"/>
      <c r="GKU8" s="74"/>
      <c r="GKV8" s="72"/>
      <c r="GLC8" s="74"/>
      <c r="GLD8" s="72"/>
      <c r="GLK8" s="74"/>
      <c r="GLL8" s="72"/>
      <c r="GLS8" s="74"/>
      <c r="GLT8" s="72"/>
      <c r="GMA8" s="74"/>
      <c r="GMB8" s="72"/>
      <c r="GMI8" s="74"/>
      <c r="GMJ8" s="72"/>
      <c r="GMQ8" s="74"/>
      <c r="GMR8" s="72"/>
      <c r="GMY8" s="74"/>
      <c r="GMZ8" s="72"/>
      <c r="GNG8" s="74"/>
      <c r="GNH8" s="72"/>
      <c r="GNO8" s="74"/>
      <c r="GNP8" s="72"/>
      <c r="GNW8" s="74"/>
      <c r="GNX8" s="72"/>
      <c r="GOE8" s="74"/>
      <c r="GOF8" s="72"/>
      <c r="GOM8" s="74"/>
      <c r="GON8" s="72"/>
      <c r="GOU8" s="74"/>
      <c r="GOV8" s="72"/>
      <c r="GPC8" s="74"/>
      <c r="GPD8" s="72"/>
      <c r="GPK8" s="74"/>
      <c r="GPL8" s="72"/>
      <c r="GPS8" s="74"/>
      <c r="GPT8" s="72"/>
      <c r="GQA8" s="74"/>
      <c r="GQB8" s="72"/>
      <c r="GQI8" s="74"/>
      <c r="GQJ8" s="72"/>
      <c r="GQQ8" s="74"/>
      <c r="GQR8" s="72"/>
      <c r="GQY8" s="74"/>
      <c r="GQZ8" s="72"/>
      <c r="GRG8" s="74"/>
      <c r="GRH8" s="72"/>
      <c r="GRO8" s="74"/>
      <c r="GRP8" s="72"/>
      <c r="GRW8" s="74"/>
      <c r="GRX8" s="72"/>
      <c r="GSE8" s="74"/>
      <c r="GSF8" s="72"/>
      <c r="GSM8" s="74"/>
      <c r="GSN8" s="72"/>
      <c r="GSU8" s="74"/>
      <c r="GSV8" s="72"/>
      <c r="GTC8" s="74"/>
      <c r="GTD8" s="72"/>
      <c r="GTK8" s="74"/>
      <c r="GTL8" s="72"/>
      <c r="GTS8" s="74"/>
      <c r="GTT8" s="72"/>
      <c r="GUA8" s="74"/>
      <c r="GUB8" s="72"/>
      <c r="GUI8" s="74"/>
      <c r="GUJ8" s="72"/>
      <c r="GUQ8" s="74"/>
      <c r="GUR8" s="72"/>
      <c r="GUY8" s="74"/>
      <c r="GUZ8" s="72"/>
      <c r="GVG8" s="74"/>
      <c r="GVH8" s="72"/>
      <c r="GVO8" s="74"/>
      <c r="GVP8" s="72"/>
      <c r="GVW8" s="74"/>
      <c r="GVX8" s="72"/>
      <c r="GWE8" s="74"/>
      <c r="GWF8" s="72"/>
      <c r="GWM8" s="74"/>
      <c r="GWN8" s="72"/>
      <c r="GWU8" s="74"/>
      <c r="GWV8" s="72"/>
      <c r="GXC8" s="74"/>
      <c r="GXD8" s="72"/>
      <c r="GXK8" s="74"/>
      <c r="GXL8" s="72"/>
      <c r="GXS8" s="74"/>
      <c r="GXT8" s="72"/>
      <c r="GYA8" s="74"/>
      <c r="GYB8" s="72"/>
      <c r="GYI8" s="74"/>
      <c r="GYJ8" s="72"/>
      <c r="GYQ8" s="74"/>
      <c r="GYR8" s="72"/>
      <c r="GYY8" s="74"/>
      <c r="GYZ8" s="72"/>
      <c r="GZG8" s="74"/>
      <c r="GZH8" s="72"/>
      <c r="GZO8" s="74"/>
      <c r="GZP8" s="72"/>
      <c r="GZW8" s="74"/>
      <c r="GZX8" s="72"/>
      <c r="HAE8" s="74"/>
      <c r="HAF8" s="72"/>
      <c r="HAM8" s="74"/>
      <c r="HAN8" s="72"/>
      <c r="HAU8" s="74"/>
      <c r="HAV8" s="72"/>
      <c r="HBC8" s="74"/>
      <c r="HBD8" s="72"/>
      <c r="HBK8" s="74"/>
      <c r="HBL8" s="72"/>
      <c r="HBS8" s="74"/>
      <c r="HBT8" s="72"/>
      <c r="HCA8" s="74"/>
      <c r="HCB8" s="72"/>
      <c r="HCI8" s="74"/>
      <c r="HCJ8" s="72"/>
      <c r="HCQ8" s="74"/>
      <c r="HCR8" s="72"/>
      <c r="HCY8" s="74"/>
      <c r="HCZ8" s="72"/>
      <c r="HDG8" s="74"/>
      <c r="HDH8" s="72"/>
      <c r="HDO8" s="74"/>
      <c r="HDP8" s="72"/>
      <c r="HDW8" s="74"/>
      <c r="HDX8" s="72"/>
      <c r="HEE8" s="74"/>
      <c r="HEF8" s="72"/>
      <c r="HEM8" s="74"/>
      <c r="HEN8" s="72"/>
      <c r="HEU8" s="74"/>
      <c r="HEV8" s="72"/>
      <c r="HFC8" s="74"/>
      <c r="HFD8" s="72"/>
      <c r="HFK8" s="74"/>
      <c r="HFL8" s="72"/>
      <c r="HFS8" s="74"/>
      <c r="HFT8" s="72"/>
      <c r="HGA8" s="74"/>
      <c r="HGB8" s="72"/>
      <c r="HGI8" s="74"/>
      <c r="HGJ8" s="72"/>
      <c r="HGQ8" s="74"/>
      <c r="HGR8" s="72"/>
      <c r="HGY8" s="74"/>
      <c r="HGZ8" s="72"/>
      <c r="HHG8" s="74"/>
      <c r="HHH8" s="72"/>
      <c r="HHO8" s="74"/>
      <c r="HHP8" s="72"/>
      <c r="HHW8" s="74"/>
      <c r="HHX8" s="72"/>
      <c r="HIE8" s="74"/>
      <c r="HIF8" s="72"/>
      <c r="HIM8" s="74"/>
      <c r="HIN8" s="72"/>
      <c r="HIU8" s="74"/>
      <c r="HIV8" s="72"/>
      <c r="HJC8" s="74"/>
      <c r="HJD8" s="72"/>
      <c r="HJK8" s="74"/>
      <c r="HJL8" s="72"/>
      <c r="HJS8" s="74"/>
      <c r="HJT8" s="72"/>
      <c r="HKA8" s="74"/>
      <c r="HKB8" s="72"/>
      <c r="HKI8" s="74"/>
      <c r="HKJ8" s="72"/>
      <c r="HKQ8" s="74"/>
      <c r="HKR8" s="72"/>
      <c r="HKY8" s="74"/>
      <c r="HKZ8" s="72"/>
      <c r="HLG8" s="74"/>
      <c r="HLH8" s="72"/>
      <c r="HLO8" s="74"/>
      <c r="HLP8" s="72"/>
      <c r="HLW8" s="74"/>
      <c r="HLX8" s="72"/>
      <c r="HME8" s="74"/>
      <c r="HMF8" s="72"/>
      <c r="HMM8" s="74"/>
      <c r="HMN8" s="72"/>
      <c r="HMU8" s="74"/>
      <c r="HMV8" s="72"/>
      <c r="HNC8" s="74"/>
      <c r="HND8" s="72"/>
      <c r="HNK8" s="74"/>
      <c r="HNL8" s="72"/>
      <c r="HNS8" s="74"/>
      <c r="HNT8" s="72"/>
      <c r="HOA8" s="74"/>
      <c r="HOB8" s="72"/>
      <c r="HOI8" s="74"/>
      <c r="HOJ8" s="72"/>
      <c r="HOQ8" s="74"/>
      <c r="HOR8" s="72"/>
      <c r="HOY8" s="74"/>
      <c r="HOZ8" s="72"/>
      <c r="HPG8" s="74"/>
      <c r="HPH8" s="72"/>
      <c r="HPO8" s="74"/>
      <c r="HPP8" s="72"/>
      <c r="HPW8" s="74"/>
      <c r="HPX8" s="72"/>
      <c r="HQE8" s="74"/>
      <c r="HQF8" s="72"/>
      <c r="HQM8" s="74"/>
      <c r="HQN8" s="72"/>
      <c r="HQU8" s="74"/>
      <c r="HQV8" s="72"/>
      <c r="HRC8" s="74"/>
      <c r="HRD8" s="72"/>
      <c r="HRK8" s="74"/>
      <c r="HRL8" s="72"/>
      <c r="HRS8" s="74"/>
      <c r="HRT8" s="72"/>
      <c r="HSA8" s="74"/>
      <c r="HSB8" s="72"/>
      <c r="HSI8" s="74"/>
      <c r="HSJ8" s="72"/>
      <c r="HSQ8" s="74"/>
      <c r="HSR8" s="72"/>
      <c r="HSY8" s="74"/>
      <c r="HSZ8" s="72"/>
      <c r="HTG8" s="74"/>
      <c r="HTH8" s="72"/>
      <c r="HTO8" s="74"/>
      <c r="HTP8" s="72"/>
      <c r="HTW8" s="74"/>
      <c r="HTX8" s="72"/>
      <c r="HUE8" s="74"/>
      <c r="HUF8" s="72"/>
      <c r="HUM8" s="74"/>
      <c r="HUN8" s="72"/>
      <c r="HUU8" s="74"/>
      <c r="HUV8" s="72"/>
      <c r="HVC8" s="74"/>
      <c r="HVD8" s="72"/>
      <c r="HVK8" s="74"/>
      <c r="HVL8" s="72"/>
      <c r="HVS8" s="74"/>
      <c r="HVT8" s="72"/>
      <c r="HWA8" s="74"/>
      <c r="HWB8" s="72"/>
      <c r="HWI8" s="74"/>
      <c r="HWJ8" s="72"/>
      <c r="HWQ8" s="74"/>
      <c r="HWR8" s="72"/>
      <c r="HWY8" s="74"/>
      <c r="HWZ8" s="72"/>
      <c r="HXG8" s="74"/>
      <c r="HXH8" s="72"/>
      <c r="HXO8" s="74"/>
      <c r="HXP8" s="72"/>
      <c r="HXW8" s="74"/>
      <c r="HXX8" s="72"/>
      <c r="HYE8" s="74"/>
      <c r="HYF8" s="72"/>
      <c r="HYM8" s="74"/>
      <c r="HYN8" s="72"/>
      <c r="HYU8" s="74"/>
      <c r="HYV8" s="72"/>
      <c r="HZC8" s="74"/>
      <c r="HZD8" s="72"/>
      <c r="HZK8" s="74"/>
      <c r="HZL8" s="72"/>
      <c r="HZS8" s="74"/>
      <c r="HZT8" s="72"/>
      <c r="IAA8" s="74"/>
      <c r="IAB8" s="72"/>
      <c r="IAI8" s="74"/>
      <c r="IAJ8" s="72"/>
      <c r="IAQ8" s="74"/>
      <c r="IAR8" s="72"/>
      <c r="IAY8" s="74"/>
      <c r="IAZ8" s="72"/>
      <c r="IBG8" s="74"/>
      <c r="IBH8" s="72"/>
      <c r="IBO8" s="74"/>
      <c r="IBP8" s="72"/>
      <c r="IBW8" s="74"/>
      <c r="IBX8" s="72"/>
      <c r="ICE8" s="74"/>
      <c r="ICF8" s="72"/>
      <c r="ICM8" s="74"/>
      <c r="ICN8" s="72"/>
      <c r="ICU8" s="74"/>
      <c r="ICV8" s="72"/>
      <c r="IDC8" s="74"/>
      <c r="IDD8" s="72"/>
      <c r="IDK8" s="74"/>
      <c r="IDL8" s="72"/>
      <c r="IDS8" s="74"/>
      <c r="IDT8" s="72"/>
      <c r="IEA8" s="74"/>
      <c r="IEB8" s="72"/>
      <c r="IEI8" s="74"/>
      <c r="IEJ8" s="72"/>
      <c r="IEQ8" s="74"/>
      <c r="IER8" s="72"/>
      <c r="IEY8" s="74"/>
      <c r="IEZ8" s="72"/>
      <c r="IFG8" s="74"/>
      <c r="IFH8" s="72"/>
      <c r="IFO8" s="74"/>
      <c r="IFP8" s="72"/>
      <c r="IFW8" s="74"/>
      <c r="IFX8" s="72"/>
      <c r="IGE8" s="74"/>
      <c r="IGF8" s="72"/>
      <c r="IGM8" s="74"/>
      <c r="IGN8" s="72"/>
      <c r="IGU8" s="74"/>
      <c r="IGV8" s="72"/>
      <c r="IHC8" s="74"/>
      <c r="IHD8" s="72"/>
      <c r="IHK8" s="74"/>
      <c r="IHL8" s="72"/>
      <c r="IHS8" s="74"/>
      <c r="IHT8" s="72"/>
      <c r="IIA8" s="74"/>
      <c r="IIB8" s="72"/>
      <c r="III8" s="74"/>
      <c r="IIJ8" s="72"/>
      <c r="IIQ8" s="74"/>
      <c r="IIR8" s="72"/>
      <c r="IIY8" s="74"/>
      <c r="IIZ8" s="72"/>
      <c r="IJG8" s="74"/>
      <c r="IJH8" s="72"/>
      <c r="IJO8" s="74"/>
      <c r="IJP8" s="72"/>
      <c r="IJW8" s="74"/>
      <c r="IJX8" s="72"/>
      <c r="IKE8" s="74"/>
      <c r="IKF8" s="72"/>
      <c r="IKM8" s="74"/>
      <c r="IKN8" s="72"/>
      <c r="IKU8" s="74"/>
      <c r="IKV8" s="72"/>
      <c r="ILC8" s="74"/>
      <c r="ILD8" s="72"/>
      <c r="ILK8" s="74"/>
      <c r="ILL8" s="72"/>
      <c r="ILS8" s="74"/>
      <c r="ILT8" s="72"/>
      <c r="IMA8" s="74"/>
      <c r="IMB8" s="72"/>
      <c r="IMI8" s="74"/>
      <c r="IMJ8" s="72"/>
      <c r="IMQ8" s="74"/>
      <c r="IMR8" s="72"/>
      <c r="IMY8" s="74"/>
      <c r="IMZ8" s="72"/>
      <c r="ING8" s="74"/>
      <c r="INH8" s="72"/>
      <c r="INO8" s="74"/>
      <c r="INP8" s="72"/>
      <c r="INW8" s="74"/>
      <c r="INX8" s="72"/>
      <c r="IOE8" s="74"/>
      <c r="IOF8" s="72"/>
      <c r="IOM8" s="74"/>
      <c r="ION8" s="72"/>
      <c r="IOU8" s="74"/>
      <c r="IOV8" s="72"/>
      <c r="IPC8" s="74"/>
      <c r="IPD8" s="72"/>
      <c r="IPK8" s="74"/>
      <c r="IPL8" s="72"/>
      <c r="IPS8" s="74"/>
      <c r="IPT8" s="72"/>
      <c r="IQA8" s="74"/>
      <c r="IQB8" s="72"/>
      <c r="IQI8" s="74"/>
      <c r="IQJ8" s="72"/>
      <c r="IQQ8" s="74"/>
      <c r="IQR8" s="72"/>
      <c r="IQY8" s="74"/>
      <c r="IQZ8" s="72"/>
      <c r="IRG8" s="74"/>
      <c r="IRH8" s="72"/>
      <c r="IRO8" s="74"/>
      <c r="IRP8" s="72"/>
      <c r="IRW8" s="74"/>
      <c r="IRX8" s="72"/>
      <c r="ISE8" s="74"/>
      <c r="ISF8" s="72"/>
      <c r="ISM8" s="74"/>
      <c r="ISN8" s="72"/>
      <c r="ISU8" s="74"/>
      <c r="ISV8" s="72"/>
      <c r="ITC8" s="74"/>
      <c r="ITD8" s="72"/>
      <c r="ITK8" s="74"/>
      <c r="ITL8" s="72"/>
      <c r="ITS8" s="74"/>
      <c r="ITT8" s="72"/>
      <c r="IUA8" s="74"/>
      <c r="IUB8" s="72"/>
      <c r="IUI8" s="74"/>
      <c r="IUJ8" s="72"/>
      <c r="IUQ8" s="74"/>
      <c r="IUR8" s="72"/>
      <c r="IUY8" s="74"/>
      <c r="IUZ8" s="72"/>
      <c r="IVG8" s="74"/>
      <c r="IVH8" s="72"/>
      <c r="IVO8" s="74"/>
      <c r="IVP8" s="72"/>
      <c r="IVW8" s="74"/>
      <c r="IVX8" s="72"/>
      <c r="IWE8" s="74"/>
      <c r="IWF8" s="72"/>
      <c r="IWM8" s="74"/>
      <c r="IWN8" s="72"/>
      <c r="IWU8" s="74"/>
      <c r="IWV8" s="72"/>
      <c r="IXC8" s="74"/>
      <c r="IXD8" s="72"/>
      <c r="IXK8" s="74"/>
      <c r="IXL8" s="72"/>
      <c r="IXS8" s="74"/>
      <c r="IXT8" s="72"/>
      <c r="IYA8" s="74"/>
      <c r="IYB8" s="72"/>
      <c r="IYI8" s="74"/>
      <c r="IYJ8" s="72"/>
      <c r="IYQ8" s="74"/>
      <c r="IYR8" s="72"/>
      <c r="IYY8" s="74"/>
      <c r="IYZ8" s="72"/>
      <c r="IZG8" s="74"/>
      <c r="IZH8" s="72"/>
      <c r="IZO8" s="74"/>
      <c r="IZP8" s="72"/>
      <c r="IZW8" s="74"/>
      <c r="IZX8" s="72"/>
      <c r="JAE8" s="74"/>
      <c r="JAF8" s="72"/>
      <c r="JAM8" s="74"/>
      <c r="JAN8" s="72"/>
      <c r="JAU8" s="74"/>
      <c r="JAV8" s="72"/>
      <c r="JBC8" s="74"/>
      <c r="JBD8" s="72"/>
      <c r="JBK8" s="74"/>
      <c r="JBL8" s="72"/>
      <c r="JBS8" s="74"/>
      <c r="JBT8" s="72"/>
      <c r="JCA8" s="74"/>
      <c r="JCB8" s="72"/>
      <c r="JCI8" s="74"/>
      <c r="JCJ8" s="72"/>
      <c r="JCQ8" s="74"/>
      <c r="JCR8" s="72"/>
      <c r="JCY8" s="74"/>
      <c r="JCZ8" s="72"/>
      <c r="JDG8" s="74"/>
      <c r="JDH8" s="72"/>
      <c r="JDO8" s="74"/>
      <c r="JDP8" s="72"/>
      <c r="JDW8" s="74"/>
      <c r="JDX8" s="72"/>
      <c r="JEE8" s="74"/>
      <c r="JEF8" s="72"/>
      <c r="JEM8" s="74"/>
      <c r="JEN8" s="72"/>
      <c r="JEU8" s="74"/>
      <c r="JEV8" s="72"/>
      <c r="JFC8" s="74"/>
      <c r="JFD8" s="72"/>
      <c r="JFK8" s="74"/>
      <c r="JFL8" s="72"/>
      <c r="JFS8" s="74"/>
      <c r="JFT8" s="72"/>
      <c r="JGA8" s="74"/>
      <c r="JGB8" s="72"/>
      <c r="JGI8" s="74"/>
      <c r="JGJ8" s="72"/>
      <c r="JGQ8" s="74"/>
      <c r="JGR8" s="72"/>
      <c r="JGY8" s="74"/>
      <c r="JGZ8" s="72"/>
      <c r="JHG8" s="74"/>
      <c r="JHH8" s="72"/>
      <c r="JHO8" s="74"/>
      <c r="JHP8" s="72"/>
      <c r="JHW8" s="74"/>
      <c r="JHX8" s="72"/>
      <c r="JIE8" s="74"/>
      <c r="JIF8" s="72"/>
      <c r="JIM8" s="74"/>
      <c r="JIN8" s="72"/>
      <c r="JIU8" s="74"/>
      <c r="JIV8" s="72"/>
      <c r="JJC8" s="74"/>
      <c r="JJD8" s="72"/>
      <c r="JJK8" s="74"/>
      <c r="JJL8" s="72"/>
      <c r="JJS8" s="74"/>
      <c r="JJT8" s="72"/>
      <c r="JKA8" s="74"/>
      <c r="JKB8" s="72"/>
      <c r="JKI8" s="74"/>
      <c r="JKJ8" s="72"/>
      <c r="JKQ8" s="74"/>
      <c r="JKR8" s="72"/>
      <c r="JKY8" s="74"/>
      <c r="JKZ8" s="72"/>
      <c r="JLG8" s="74"/>
      <c r="JLH8" s="72"/>
      <c r="JLO8" s="74"/>
      <c r="JLP8" s="72"/>
      <c r="JLW8" s="74"/>
      <c r="JLX8" s="72"/>
      <c r="JME8" s="74"/>
      <c r="JMF8" s="72"/>
      <c r="JMM8" s="74"/>
      <c r="JMN8" s="72"/>
      <c r="JMU8" s="74"/>
      <c r="JMV8" s="72"/>
      <c r="JNC8" s="74"/>
      <c r="JND8" s="72"/>
      <c r="JNK8" s="74"/>
      <c r="JNL8" s="72"/>
      <c r="JNS8" s="74"/>
      <c r="JNT8" s="72"/>
      <c r="JOA8" s="74"/>
      <c r="JOB8" s="72"/>
      <c r="JOI8" s="74"/>
      <c r="JOJ8" s="72"/>
      <c r="JOQ8" s="74"/>
      <c r="JOR8" s="72"/>
      <c r="JOY8" s="74"/>
      <c r="JOZ8" s="72"/>
      <c r="JPG8" s="74"/>
      <c r="JPH8" s="72"/>
      <c r="JPO8" s="74"/>
      <c r="JPP8" s="72"/>
      <c r="JPW8" s="74"/>
      <c r="JPX8" s="72"/>
      <c r="JQE8" s="74"/>
      <c r="JQF8" s="72"/>
      <c r="JQM8" s="74"/>
      <c r="JQN8" s="72"/>
      <c r="JQU8" s="74"/>
      <c r="JQV8" s="72"/>
      <c r="JRC8" s="74"/>
      <c r="JRD8" s="72"/>
      <c r="JRK8" s="74"/>
      <c r="JRL8" s="72"/>
      <c r="JRS8" s="74"/>
      <c r="JRT8" s="72"/>
      <c r="JSA8" s="74"/>
      <c r="JSB8" s="72"/>
      <c r="JSI8" s="74"/>
      <c r="JSJ8" s="72"/>
      <c r="JSQ8" s="74"/>
      <c r="JSR8" s="72"/>
      <c r="JSY8" s="74"/>
      <c r="JSZ8" s="72"/>
      <c r="JTG8" s="74"/>
      <c r="JTH8" s="72"/>
      <c r="JTO8" s="74"/>
      <c r="JTP8" s="72"/>
      <c r="JTW8" s="74"/>
      <c r="JTX8" s="72"/>
      <c r="JUE8" s="74"/>
      <c r="JUF8" s="72"/>
      <c r="JUM8" s="74"/>
      <c r="JUN8" s="72"/>
      <c r="JUU8" s="74"/>
      <c r="JUV8" s="72"/>
      <c r="JVC8" s="74"/>
      <c r="JVD8" s="72"/>
      <c r="JVK8" s="74"/>
      <c r="JVL8" s="72"/>
      <c r="JVS8" s="74"/>
      <c r="JVT8" s="72"/>
      <c r="JWA8" s="74"/>
      <c r="JWB8" s="72"/>
      <c r="JWI8" s="74"/>
      <c r="JWJ8" s="72"/>
      <c r="JWQ8" s="74"/>
      <c r="JWR8" s="72"/>
      <c r="JWY8" s="74"/>
      <c r="JWZ8" s="72"/>
      <c r="JXG8" s="74"/>
      <c r="JXH8" s="72"/>
      <c r="JXO8" s="74"/>
      <c r="JXP8" s="72"/>
      <c r="JXW8" s="74"/>
      <c r="JXX8" s="72"/>
      <c r="JYE8" s="74"/>
      <c r="JYF8" s="72"/>
      <c r="JYM8" s="74"/>
      <c r="JYN8" s="72"/>
      <c r="JYU8" s="74"/>
      <c r="JYV8" s="72"/>
      <c r="JZC8" s="74"/>
      <c r="JZD8" s="72"/>
      <c r="JZK8" s="74"/>
      <c r="JZL8" s="72"/>
      <c r="JZS8" s="74"/>
      <c r="JZT8" s="72"/>
      <c r="KAA8" s="74"/>
      <c r="KAB8" s="72"/>
      <c r="KAI8" s="74"/>
      <c r="KAJ8" s="72"/>
      <c r="KAQ8" s="74"/>
      <c r="KAR8" s="72"/>
      <c r="KAY8" s="74"/>
      <c r="KAZ8" s="72"/>
      <c r="KBG8" s="74"/>
      <c r="KBH8" s="72"/>
      <c r="KBO8" s="74"/>
      <c r="KBP8" s="72"/>
      <c r="KBW8" s="74"/>
      <c r="KBX8" s="72"/>
      <c r="KCE8" s="74"/>
      <c r="KCF8" s="72"/>
      <c r="KCM8" s="74"/>
      <c r="KCN8" s="72"/>
      <c r="KCU8" s="74"/>
      <c r="KCV8" s="72"/>
      <c r="KDC8" s="74"/>
      <c r="KDD8" s="72"/>
      <c r="KDK8" s="74"/>
      <c r="KDL8" s="72"/>
      <c r="KDS8" s="74"/>
      <c r="KDT8" s="72"/>
      <c r="KEA8" s="74"/>
      <c r="KEB8" s="72"/>
      <c r="KEI8" s="74"/>
      <c r="KEJ8" s="72"/>
      <c r="KEQ8" s="74"/>
      <c r="KER8" s="72"/>
      <c r="KEY8" s="74"/>
      <c r="KEZ8" s="72"/>
      <c r="KFG8" s="74"/>
      <c r="KFH8" s="72"/>
      <c r="KFO8" s="74"/>
      <c r="KFP8" s="72"/>
      <c r="KFW8" s="74"/>
      <c r="KFX8" s="72"/>
      <c r="KGE8" s="74"/>
      <c r="KGF8" s="72"/>
      <c r="KGM8" s="74"/>
      <c r="KGN8" s="72"/>
      <c r="KGU8" s="74"/>
      <c r="KGV8" s="72"/>
      <c r="KHC8" s="74"/>
      <c r="KHD8" s="72"/>
      <c r="KHK8" s="74"/>
      <c r="KHL8" s="72"/>
      <c r="KHS8" s="74"/>
      <c r="KHT8" s="72"/>
      <c r="KIA8" s="74"/>
      <c r="KIB8" s="72"/>
      <c r="KII8" s="74"/>
      <c r="KIJ8" s="72"/>
      <c r="KIQ8" s="74"/>
      <c r="KIR8" s="72"/>
      <c r="KIY8" s="74"/>
      <c r="KIZ8" s="72"/>
      <c r="KJG8" s="74"/>
      <c r="KJH8" s="72"/>
      <c r="KJO8" s="74"/>
      <c r="KJP8" s="72"/>
      <c r="KJW8" s="74"/>
      <c r="KJX8" s="72"/>
      <c r="KKE8" s="74"/>
      <c r="KKF8" s="72"/>
      <c r="KKM8" s="74"/>
      <c r="KKN8" s="72"/>
      <c r="KKU8" s="74"/>
      <c r="KKV8" s="72"/>
      <c r="KLC8" s="74"/>
      <c r="KLD8" s="72"/>
      <c r="KLK8" s="74"/>
      <c r="KLL8" s="72"/>
      <c r="KLS8" s="74"/>
      <c r="KLT8" s="72"/>
      <c r="KMA8" s="74"/>
      <c r="KMB8" s="72"/>
      <c r="KMI8" s="74"/>
      <c r="KMJ8" s="72"/>
      <c r="KMQ8" s="74"/>
      <c r="KMR8" s="72"/>
      <c r="KMY8" s="74"/>
      <c r="KMZ8" s="72"/>
      <c r="KNG8" s="74"/>
      <c r="KNH8" s="72"/>
      <c r="KNO8" s="74"/>
      <c r="KNP8" s="72"/>
      <c r="KNW8" s="74"/>
      <c r="KNX8" s="72"/>
      <c r="KOE8" s="74"/>
      <c r="KOF8" s="72"/>
      <c r="KOM8" s="74"/>
      <c r="KON8" s="72"/>
      <c r="KOU8" s="74"/>
      <c r="KOV8" s="72"/>
      <c r="KPC8" s="74"/>
      <c r="KPD8" s="72"/>
      <c r="KPK8" s="74"/>
      <c r="KPL8" s="72"/>
      <c r="KPS8" s="74"/>
      <c r="KPT8" s="72"/>
      <c r="KQA8" s="74"/>
      <c r="KQB8" s="72"/>
      <c r="KQI8" s="74"/>
      <c r="KQJ8" s="72"/>
      <c r="KQQ8" s="74"/>
      <c r="KQR8" s="72"/>
      <c r="KQY8" s="74"/>
      <c r="KQZ8" s="72"/>
      <c r="KRG8" s="74"/>
      <c r="KRH8" s="72"/>
      <c r="KRO8" s="74"/>
      <c r="KRP8" s="72"/>
      <c r="KRW8" s="74"/>
      <c r="KRX8" s="72"/>
      <c r="KSE8" s="74"/>
      <c r="KSF8" s="72"/>
      <c r="KSM8" s="74"/>
      <c r="KSN8" s="72"/>
      <c r="KSU8" s="74"/>
      <c r="KSV8" s="72"/>
      <c r="KTC8" s="74"/>
      <c r="KTD8" s="72"/>
      <c r="KTK8" s="74"/>
      <c r="KTL8" s="72"/>
      <c r="KTS8" s="74"/>
      <c r="KTT8" s="72"/>
      <c r="KUA8" s="74"/>
      <c r="KUB8" s="72"/>
      <c r="KUI8" s="74"/>
      <c r="KUJ8" s="72"/>
      <c r="KUQ8" s="74"/>
      <c r="KUR8" s="72"/>
      <c r="KUY8" s="74"/>
      <c r="KUZ8" s="72"/>
      <c r="KVG8" s="74"/>
      <c r="KVH8" s="72"/>
      <c r="KVO8" s="74"/>
      <c r="KVP8" s="72"/>
      <c r="KVW8" s="74"/>
      <c r="KVX8" s="72"/>
      <c r="KWE8" s="74"/>
      <c r="KWF8" s="72"/>
      <c r="KWM8" s="74"/>
      <c r="KWN8" s="72"/>
      <c r="KWU8" s="74"/>
      <c r="KWV8" s="72"/>
      <c r="KXC8" s="74"/>
      <c r="KXD8" s="72"/>
      <c r="KXK8" s="74"/>
      <c r="KXL8" s="72"/>
      <c r="KXS8" s="74"/>
      <c r="KXT8" s="72"/>
      <c r="KYA8" s="74"/>
      <c r="KYB8" s="72"/>
      <c r="KYI8" s="74"/>
      <c r="KYJ8" s="72"/>
      <c r="KYQ8" s="74"/>
      <c r="KYR8" s="72"/>
      <c r="KYY8" s="74"/>
      <c r="KYZ8" s="72"/>
      <c r="KZG8" s="74"/>
      <c r="KZH8" s="72"/>
      <c r="KZO8" s="74"/>
      <c r="KZP8" s="72"/>
      <c r="KZW8" s="74"/>
      <c r="KZX8" s="72"/>
      <c r="LAE8" s="74"/>
      <c r="LAF8" s="72"/>
      <c r="LAM8" s="74"/>
      <c r="LAN8" s="72"/>
      <c r="LAU8" s="74"/>
      <c r="LAV8" s="72"/>
      <c r="LBC8" s="74"/>
      <c r="LBD8" s="72"/>
      <c r="LBK8" s="74"/>
      <c r="LBL8" s="72"/>
      <c r="LBS8" s="74"/>
      <c r="LBT8" s="72"/>
      <c r="LCA8" s="74"/>
      <c r="LCB8" s="72"/>
      <c r="LCI8" s="74"/>
      <c r="LCJ8" s="72"/>
      <c r="LCQ8" s="74"/>
      <c r="LCR8" s="72"/>
      <c r="LCY8" s="74"/>
      <c r="LCZ8" s="72"/>
      <c r="LDG8" s="74"/>
      <c r="LDH8" s="72"/>
      <c r="LDO8" s="74"/>
      <c r="LDP8" s="72"/>
      <c r="LDW8" s="74"/>
      <c r="LDX8" s="72"/>
      <c r="LEE8" s="74"/>
      <c r="LEF8" s="72"/>
      <c r="LEM8" s="74"/>
      <c r="LEN8" s="72"/>
      <c r="LEU8" s="74"/>
      <c r="LEV8" s="72"/>
      <c r="LFC8" s="74"/>
      <c r="LFD8" s="72"/>
      <c r="LFK8" s="74"/>
      <c r="LFL8" s="72"/>
      <c r="LFS8" s="74"/>
      <c r="LFT8" s="72"/>
      <c r="LGA8" s="74"/>
      <c r="LGB8" s="72"/>
      <c r="LGI8" s="74"/>
      <c r="LGJ8" s="72"/>
      <c r="LGQ8" s="74"/>
      <c r="LGR8" s="72"/>
      <c r="LGY8" s="74"/>
      <c r="LGZ8" s="72"/>
      <c r="LHG8" s="74"/>
      <c r="LHH8" s="72"/>
      <c r="LHO8" s="74"/>
      <c r="LHP8" s="72"/>
      <c r="LHW8" s="74"/>
      <c r="LHX8" s="72"/>
      <c r="LIE8" s="74"/>
      <c r="LIF8" s="72"/>
      <c r="LIM8" s="74"/>
      <c r="LIN8" s="72"/>
      <c r="LIU8" s="74"/>
      <c r="LIV8" s="72"/>
      <c r="LJC8" s="74"/>
      <c r="LJD8" s="72"/>
      <c r="LJK8" s="74"/>
      <c r="LJL8" s="72"/>
      <c r="LJS8" s="74"/>
      <c r="LJT8" s="72"/>
      <c r="LKA8" s="74"/>
      <c r="LKB8" s="72"/>
      <c r="LKI8" s="74"/>
      <c r="LKJ8" s="72"/>
      <c r="LKQ8" s="74"/>
      <c r="LKR8" s="72"/>
      <c r="LKY8" s="74"/>
      <c r="LKZ8" s="72"/>
      <c r="LLG8" s="74"/>
      <c r="LLH8" s="72"/>
      <c r="LLO8" s="74"/>
      <c r="LLP8" s="72"/>
      <c r="LLW8" s="74"/>
      <c r="LLX8" s="72"/>
      <c r="LME8" s="74"/>
      <c r="LMF8" s="72"/>
      <c r="LMM8" s="74"/>
      <c r="LMN8" s="72"/>
      <c r="LMU8" s="74"/>
      <c r="LMV8" s="72"/>
      <c r="LNC8" s="74"/>
      <c r="LND8" s="72"/>
      <c r="LNK8" s="74"/>
      <c r="LNL8" s="72"/>
      <c r="LNS8" s="74"/>
      <c r="LNT8" s="72"/>
      <c r="LOA8" s="74"/>
      <c r="LOB8" s="72"/>
      <c r="LOI8" s="74"/>
      <c r="LOJ8" s="72"/>
      <c r="LOQ8" s="74"/>
      <c r="LOR8" s="72"/>
      <c r="LOY8" s="74"/>
      <c r="LOZ8" s="72"/>
      <c r="LPG8" s="74"/>
      <c r="LPH8" s="72"/>
      <c r="LPO8" s="74"/>
      <c r="LPP8" s="72"/>
      <c r="LPW8" s="74"/>
      <c r="LPX8" s="72"/>
      <c r="LQE8" s="74"/>
      <c r="LQF8" s="72"/>
      <c r="LQM8" s="74"/>
      <c r="LQN8" s="72"/>
      <c r="LQU8" s="74"/>
      <c r="LQV8" s="72"/>
      <c r="LRC8" s="74"/>
      <c r="LRD8" s="72"/>
      <c r="LRK8" s="74"/>
      <c r="LRL8" s="72"/>
      <c r="LRS8" s="74"/>
      <c r="LRT8" s="72"/>
      <c r="LSA8" s="74"/>
      <c r="LSB8" s="72"/>
      <c r="LSI8" s="74"/>
      <c r="LSJ8" s="72"/>
      <c r="LSQ8" s="74"/>
      <c r="LSR8" s="72"/>
      <c r="LSY8" s="74"/>
      <c r="LSZ8" s="72"/>
      <c r="LTG8" s="74"/>
      <c r="LTH8" s="72"/>
      <c r="LTO8" s="74"/>
      <c r="LTP8" s="72"/>
      <c r="LTW8" s="74"/>
      <c r="LTX8" s="72"/>
      <c r="LUE8" s="74"/>
      <c r="LUF8" s="72"/>
      <c r="LUM8" s="74"/>
      <c r="LUN8" s="72"/>
      <c r="LUU8" s="74"/>
      <c r="LUV8" s="72"/>
      <c r="LVC8" s="74"/>
      <c r="LVD8" s="72"/>
      <c r="LVK8" s="74"/>
      <c r="LVL8" s="72"/>
      <c r="LVS8" s="74"/>
      <c r="LVT8" s="72"/>
      <c r="LWA8" s="74"/>
      <c r="LWB8" s="72"/>
      <c r="LWI8" s="74"/>
      <c r="LWJ8" s="72"/>
      <c r="LWQ8" s="74"/>
      <c r="LWR8" s="72"/>
      <c r="LWY8" s="74"/>
      <c r="LWZ8" s="72"/>
      <c r="LXG8" s="74"/>
      <c r="LXH8" s="72"/>
      <c r="LXO8" s="74"/>
      <c r="LXP8" s="72"/>
      <c r="LXW8" s="74"/>
      <c r="LXX8" s="72"/>
      <c r="LYE8" s="74"/>
      <c r="LYF8" s="72"/>
      <c r="LYM8" s="74"/>
      <c r="LYN8" s="72"/>
      <c r="LYU8" s="74"/>
      <c r="LYV8" s="72"/>
      <c r="LZC8" s="74"/>
      <c r="LZD8" s="72"/>
      <c r="LZK8" s="74"/>
      <c r="LZL8" s="72"/>
      <c r="LZS8" s="74"/>
      <c r="LZT8" s="72"/>
      <c r="MAA8" s="74"/>
      <c r="MAB8" s="72"/>
      <c r="MAI8" s="74"/>
      <c r="MAJ8" s="72"/>
      <c r="MAQ8" s="74"/>
      <c r="MAR8" s="72"/>
      <c r="MAY8" s="74"/>
      <c r="MAZ8" s="72"/>
      <c r="MBG8" s="74"/>
      <c r="MBH8" s="72"/>
      <c r="MBO8" s="74"/>
      <c r="MBP8" s="72"/>
      <c r="MBW8" s="74"/>
      <c r="MBX8" s="72"/>
      <c r="MCE8" s="74"/>
      <c r="MCF8" s="72"/>
      <c r="MCM8" s="74"/>
      <c r="MCN8" s="72"/>
      <c r="MCU8" s="74"/>
      <c r="MCV8" s="72"/>
      <c r="MDC8" s="74"/>
      <c r="MDD8" s="72"/>
      <c r="MDK8" s="74"/>
      <c r="MDL8" s="72"/>
      <c r="MDS8" s="74"/>
      <c r="MDT8" s="72"/>
      <c r="MEA8" s="74"/>
      <c r="MEB8" s="72"/>
      <c r="MEI8" s="74"/>
      <c r="MEJ8" s="72"/>
      <c r="MEQ8" s="74"/>
      <c r="MER8" s="72"/>
      <c r="MEY8" s="74"/>
      <c r="MEZ8" s="72"/>
      <c r="MFG8" s="74"/>
      <c r="MFH8" s="72"/>
      <c r="MFO8" s="74"/>
      <c r="MFP8" s="72"/>
      <c r="MFW8" s="74"/>
      <c r="MFX8" s="72"/>
      <c r="MGE8" s="74"/>
      <c r="MGF8" s="72"/>
      <c r="MGM8" s="74"/>
      <c r="MGN8" s="72"/>
      <c r="MGU8" s="74"/>
      <c r="MGV8" s="72"/>
      <c r="MHC8" s="74"/>
      <c r="MHD8" s="72"/>
      <c r="MHK8" s="74"/>
      <c r="MHL8" s="72"/>
      <c r="MHS8" s="74"/>
      <c r="MHT8" s="72"/>
      <c r="MIA8" s="74"/>
      <c r="MIB8" s="72"/>
      <c r="MII8" s="74"/>
      <c r="MIJ8" s="72"/>
      <c r="MIQ8" s="74"/>
      <c r="MIR8" s="72"/>
      <c r="MIY8" s="74"/>
      <c r="MIZ8" s="72"/>
      <c r="MJG8" s="74"/>
      <c r="MJH8" s="72"/>
      <c r="MJO8" s="74"/>
      <c r="MJP8" s="72"/>
      <c r="MJW8" s="74"/>
      <c r="MJX8" s="72"/>
      <c r="MKE8" s="74"/>
      <c r="MKF8" s="72"/>
      <c r="MKM8" s="74"/>
      <c r="MKN8" s="72"/>
      <c r="MKU8" s="74"/>
      <c r="MKV8" s="72"/>
      <c r="MLC8" s="74"/>
      <c r="MLD8" s="72"/>
      <c r="MLK8" s="74"/>
      <c r="MLL8" s="72"/>
      <c r="MLS8" s="74"/>
      <c r="MLT8" s="72"/>
      <c r="MMA8" s="74"/>
      <c r="MMB8" s="72"/>
      <c r="MMI8" s="74"/>
      <c r="MMJ8" s="72"/>
      <c r="MMQ8" s="74"/>
      <c r="MMR8" s="72"/>
      <c r="MMY8" s="74"/>
      <c r="MMZ8" s="72"/>
      <c r="MNG8" s="74"/>
      <c r="MNH8" s="72"/>
      <c r="MNO8" s="74"/>
      <c r="MNP8" s="72"/>
      <c r="MNW8" s="74"/>
      <c r="MNX8" s="72"/>
      <c r="MOE8" s="74"/>
      <c r="MOF8" s="72"/>
      <c r="MOM8" s="74"/>
      <c r="MON8" s="72"/>
      <c r="MOU8" s="74"/>
      <c r="MOV8" s="72"/>
      <c r="MPC8" s="74"/>
      <c r="MPD8" s="72"/>
      <c r="MPK8" s="74"/>
      <c r="MPL8" s="72"/>
      <c r="MPS8" s="74"/>
      <c r="MPT8" s="72"/>
      <c r="MQA8" s="74"/>
      <c r="MQB8" s="72"/>
      <c r="MQI8" s="74"/>
      <c r="MQJ8" s="72"/>
      <c r="MQQ8" s="74"/>
      <c r="MQR8" s="72"/>
      <c r="MQY8" s="74"/>
      <c r="MQZ8" s="72"/>
      <c r="MRG8" s="74"/>
      <c r="MRH8" s="72"/>
      <c r="MRO8" s="74"/>
      <c r="MRP8" s="72"/>
      <c r="MRW8" s="74"/>
      <c r="MRX8" s="72"/>
      <c r="MSE8" s="74"/>
      <c r="MSF8" s="72"/>
      <c r="MSM8" s="74"/>
      <c r="MSN8" s="72"/>
      <c r="MSU8" s="74"/>
      <c r="MSV8" s="72"/>
      <c r="MTC8" s="74"/>
      <c r="MTD8" s="72"/>
      <c r="MTK8" s="74"/>
      <c r="MTL8" s="72"/>
      <c r="MTS8" s="74"/>
      <c r="MTT8" s="72"/>
      <c r="MUA8" s="74"/>
      <c r="MUB8" s="72"/>
      <c r="MUI8" s="74"/>
      <c r="MUJ8" s="72"/>
      <c r="MUQ8" s="74"/>
      <c r="MUR8" s="72"/>
      <c r="MUY8" s="74"/>
      <c r="MUZ8" s="72"/>
      <c r="MVG8" s="74"/>
      <c r="MVH8" s="72"/>
      <c r="MVO8" s="74"/>
      <c r="MVP8" s="72"/>
      <c r="MVW8" s="74"/>
      <c r="MVX8" s="72"/>
      <c r="MWE8" s="74"/>
      <c r="MWF8" s="72"/>
      <c r="MWM8" s="74"/>
      <c r="MWN8" s="72"/>
      <c r="MWU8" s="74"/>
      <c r="MWV8" s="72"/>
      <c r="MXC8" s="74"/>
      <c r="MXD8" s="72"/>
      <c r="MXK8" s="74"/>
      <c r="MXL8" s="72"/>
      <c r="MXS8" s="74"/>
      <c r="MXT8" s="72"/>
      <c r="MYA8" s="74"/>
      <c r="MYB8" s="72"/>
      <c r="MYI8" s="74"/>
      <c r="MYJ8" s="72"/>
      <c r="MYQ8" s="74"/>
      <c r="MYR8" s="72"/>
      <c r="MYY8" s="74"/>
      <c r="MYZ8" s="72"/>
      <c r="MZG8" s="74"/>
      <c r="MZH8" s="72"/>
      <c r="MZO8" s="74"/>
      <c r="MZP8" s="72"/>
      <c r="MZW8" s="74"/>
      <c r="MZX8" s="72"/>
      <c r="NAE8" s="74"/>
      <c r="NAF8" s="72"/>
      <c r="NAM8" s="74"/>
      <c r="NAN8" s="72"/>
      <c r="NAU8" s="74"/>
      <c r="NAV8" s="72"/>
      <c r="NBC8" s="74"/>
      <c r="NBD8" s="72"/>
      <c r="NBK8" s="74"/>
      <c r="NBL8" s="72"/>
      <c r="NBS8" s="74"/>
      <c r="NBT8" s="72"/>
      <c r="NCA8" s="74"/>
      <c r="NCB8" s="72"/>
      <c r="NCI8" s="74"/>
      <c r="NCJ8" s="72"/>
      <c r="NCQ8" s="74"/>
      <c r="NCR8" s="72"/>
      <c r="NCY8" s="74"/>
      <c r="NCZ8" s="72"/>
      <c r="NDG8" s="74"/>
      <c r="NDH8" s="72"/>
      <c r="NDO8" s="74"/>
      <c r="NDP8" s="72"/>
      <c r="NDW8" s="74"/>
      <c r="NDX8" s="72"/>
      <c r="NEE8" s="74"/>
      <c r="NEF8" s="72"/>
      <c r="NEM8" s="74"/>
      <c r="NEN8" s="72"/>
      <c r="NEU8" s="74"/>
      <c r="NEV8" s="72"/>
      <c r="NFC8" s="74"/>
      <c r="NFD8" s="72"/>
      <c r="NFK8" s="74"/>
      <c r="NFL8" s="72"/>
      <c r="NFS8" s="74"/>
      <c r="NFT8" s="72"/>
      <c r="NGA8" s="74"/>
      <c r="NGB8" s="72"/>
      <c r="NGI8" s="74"/>
      <c r="NGJ8" s="72"/>
      <c r="NGQ8" s="74"/>
      <c r="NGR8" s="72"/>
      <c r="NGY8" s="74"/>
      <c r="NGZ8" s="72"/>
      <c r="NHG8" s="74"/>
      <c r="NHH8" s="72"/>
      <c r="NHO8" s="74"/>
      <c r="NHP8" s="72"/>
      <c r="NHW8" s="74"/>
      <c r="NHX8" s="72"/>
      <c r="NIE8" s="74"/>
      <c r="NIF8" s="72"/>
      <c r="NIM8" s="74"/>
      <c r="NIN8" s="72"/>
      <c r="NIU8" s="74"/>
      <c r="NIV8" s="72"/>
      <c r="NJC8" s="74"/>
      <c r="NJD8" s="72"/>
      <c r="NJK8" s="74"/>
      <c r="NJL8" s="72"/>
      <c r="NJS8" s="74"/>
      <c r="NJT8" s="72"/>
      <c r="NKA8" s="74"/>
      <c r="NKB8" s="72"/>
      <c r="NKI8" s="74"/>
      <c r="NKJ8" s="72"/>
      <c r="NKQ8" s="74"/>
      <c r="NKR8" s="72"/>
      <c r="NKY8" s="74"/>
      <c r="NKZ8" s="72"/>
      <c r="NLG8" s="74"/>
      <c r="NLH8" s="72"/>
      <c r="NLO8" s="74"/>
      <c r="NLP8" s="72"/>
      <c r="NLW8" s="74"/>
      <c r="NLX8" s="72"/>
      <c r="NME8" s="74"/>
      <c r="NMF8" s="72"/>
      <c r="NMM8" s="74"/>
      <c r="NMN8" s="72"/>
      <c r="NMU8" s="74"/>
      <c r="NMV8" s="72"/>
      <c r="NNC8" s="74"/>
      <c r="NND8" s="72"/>
      <c r="NNK8" s="74"/>
      <c r="NNL8" s="72"/>
      <c r="NNS8" s="74"/>
      <c r="NNT8" s="72"/>
      <c r="NOA8" s="74"/>
      <c r="NOB8" s="72"/>
      <c r="NOI8" s="74"/>
      <c r="NOJ8" s="72"/>
      <c r="NOQ8" s="74"/>
      <c r="NOR8" s="72"/>
      <c r="NOY8" s="74"/>
      <c r="NOZ8" s="72"/>
      <c r="NPG8" s="74"/>
      <c r="NPH8" s="72"/>
      <c r="NPO8" s="74"/>
      <c r="NPP8" s="72"/>
      <c r="NPW8" s="74"/>
      <c r="NPX8" s="72"/>
      <c r="NQE8" s="74"/>
      <c r="NQF8" s="72"/>
      <c r="NQM8" s="74"/>
      <c r="NQN8" s="72"/>
      <c r="NQU8" s="74"/>
      <c r="NQV8" s="72"/>
      <c r="NRC8" s="74"/>
      <c r="NRD8" s="72"/>
      <c r="NRK8" s="74"/>
      <c r="NRL8" s="72"/>
      <c r="NRS8" s="74"/>
      <c r="NRT8" s="72"/>
      <c r="NSA8" s="74"/>
      <c r="NSB8" s="72"/>
      <c r="NSI8" s="74"/>
      <c r="NSJ8" s="72"/>
      <c r="NSQ8" s="74"/>
      <c r="NSR8" s="72"/>
      <c r="NSY8" s="74"/>
      <c r="NSZ8" s="72"/>
      <c r="NTG8" s="74"/>
      <c r="NTH8" s="72"/>
      <c r="NTO8" s="74"/>
      <c r="NTP8" s="72"/>
      <c r="NTW8" s="74"/>
      <c r="NTX8" s="72"/>
      <c r="NUE8" s="74"/>
      <c r="NUF8" s="72"/>
      <c r="NUM8" s="74"/>
      <c r="NUN8" s="72"/>
      <c r="NUU8" s="74"/>
      <c r="NUV8" s="72"/>
      <c r="NVC8" s="74"/>
      <c r="NVD8" s="72"/>
      <c r="NVK8" s="74"/>
      <c r="NVL8" s="72"/>
      <c r="NVS8" s="74"/>
      <c r="NVT8" s="72"/>
      <c r="NWA8" s="74"/>
      <c r="NWB8" s="72"/>
      <c r="NWI8" s="74"/>
      <c r="NWJ8" s="72"/>
      <c r="NWQ8" s="74"/>
      <c r="NWR8" s="72"/>
      <c r="NWY8" s="74"/>
      <c r="NWZ8" s="72"/>
      <c r="NXG8" s="74"/>
      <c r="NXH8" s="72"/>
      <c r="NXO8" s="74"/>
      <c r="NXP8" s="72"/>
      <c r="NXW8" s="74"/>
      <c r="NXX8" s="72"/>
      <c r="NYE8" s="74"/>
      <c r="NYF8" s="72"/>
      <c r="NYM8" s="74"/>
      <c r="NYN8" s="72"/>
      <c r="NYU8" s="74"/>
      <c r="NYV8" s="72"/>
      <c r="NZC8" s="74"/>
      <c r="NZD8" s="72"/>
      <c r="NZK8" s="74"/>
      <c r="NZL8" s="72"/>
      <c r="NZS8" s="74"/>
      <c r="NZT8" s="72"/>
      <c r="OAA8" s="74"/>
      <c r="OAB8" s="72"/>
      <c r="OAI8" s="74"/>
      <c r="OAJ8" s="72"/>
      <c r="OAQ8" s="74"/>
      <c r="OAR8" s="72"/>
      <c r="OAY8" s="74"/>
      <c r="OAZ8" s="72"/>
      <c r="OBG8" s="74"/>
      <c r="OBH8" s="72"/>
      <c r="OBO8" s="74"/>
      <c r="OBP8" s="72"/>
      <c r="OBW8" s="74"/>
      <c r="OBX8" s="72"/>
      <c r="OCE8" s="74"/>
      <c r="OCF8" s="72"/>
      <c r="OCM8" s="74"/>
      <c r="OCN8" s="72"/>
      <c r="OCU8" s="74"/>
      <c r="OCV8" s="72"/>
      <c r="ODC8" s="74"/>
      <c r="ODD8" s="72"/>
      <c r="ODK8" s="74"/>
      <c r="ODL8" s="72"/>
      <c r="ODS8" s="74"/>
      <c r="ODT8" s="72"/>
      <c r="OEA8" s="74"/>
      <c r="OEB8" s="72"/>
      <c r="OEI8" s="74"/>
      <c r="OEJ8" s="72"/>
      <c r="OEQ8" s="74"/>
      <c r="OER8" s="72"/>
      <c r="OEY8" s="74"/>
      <c r="OEZ8" s="72"/>
      <c r="OFG8" s="74"/>
      <c r="OFH8" s="72"/>
      <c r="OFO8" s="74"/>
      <c r="OFP8" s="72"/>
      <c r="OFW8" s="74"/>
      <c r="OFX8" s="72"/>
      <c r="OGE8" s="74"/>
      <c r="OGF8" s="72"/>
      <c r="OGM8" s="74"/>
      <c r="OGN8" s="72"/>
      <c r="OGU8" s="74"/>
      <c r="OGV8" s="72"/>
      <c r="OHC8" s="74"/>
      <c r="OHD8" s="72"/>
      <c r="OHK8" s="74"/>
      <c r="OHL8" s="72"/>
      <c r="OHS8" s="74"/>
      <c r="OHT8" s="72"/>
      <c r="OIA8" s="74"/>
      <c r="OIB8" s="72"/>
      <c r="OII8" s="74"/>
      <c r="OIJ8" s="72"/>
      <c r="OIQ8" s="74"/>
      <c r="OIR8" s="72"/>
      <c r="OIY8" s="74"/>
      <c r="OIZ8" s="72"/>
      <c r="OJG8" s="74"/>
      <c r="OJH8" s="72"/>
      <c r="OJO8" s="74"/>
      <c r="OJP8" s="72"/>
      <c r="OJW8" s="74"/>
      <c r="OJX8" s="72"/>
      <c r="OKE8" s="74"/>
      <c r="OKF8" s="72"/>
      <c r="OKM8" s="74"/>
      <c r="OKN8" s="72"/>
      <c r="OKU8" s="74"/>
      <c r="OKV8" s="72"/>
      <c r="OLC8" s="74"/>
      <c r="OLD8" s="72"/>
      <c r="OLK8" s="74"/>
      <c r="OLL8" s="72"/>
      <c r="OLS8" s="74"/>
      <c r="OLT8" s="72"/>
      <c r="OMA8" s="74"/>
      <c r="OMB8" s="72"/>
      <c r="OMI8" s="74"/>
      <c r="OMJ8" s="72"/>
      <c r="OMQ8" s="74"/>
      <c r="OMR8" s="72"/>
      <c r="OMY8" s="74"/>
      <c r="OMZ8" s="72"/>
      <c r="ONG8" s="74"/>
      <c r="ONH8" s="72"/>
      <c r="ONO8" s="74"/>
      <c r="ONP8" s="72"/>
      <c r="ONW8" s="74"/>
      <c r="ONX8" s="72"/>
      <c r="OOE8" s="74"/>
      <c r="OOF8" s="72"/>
      <c r="OOM8" s="74"/>
      <c r="OON8" s="72"/>
      <c r="OOU8" s="74"/>
      <c r="OOV8" s="72"/>
      <c r="OPC8" s="74"/>
      <c r="OPD8" s="72"/>
      <c r="OPK8" s="74"/>
      <c r="OPL8" s="72"/>
      <c r="OPS8" s="74"/>
      <c r="OPT8" s="72"/>
      <c r="OQA8" s="74"/>
      <c r="OQB8" s="72"/>
      <c r="OQI8" s="74"/>
      <c r="OQJ8" s="72"/>
      <c r="OQQ8" s="74"/>
      <c r="OQR8" s="72"/>
      <c r="OQY8" s="74"/>
      <c r="OQZ8" s="72"/>
      <c r="ORG8" s="74"/>
      <c r="ORH8" s="72"/>
      <c r="ORO8" s="74"/>
      <c r="ORP8" s="72"/>
      <c r="ORW8" s="74"/>
      <c r="ORX8" s="72"/>
      <c r="OSE8" s="74"/>
      <c r="OSF8" s="72"/>
      <c r="OSM8" s="74"/>
      <c r="OSN8" s="72"/>
      <c r="OSU8" s="74"/>
      <c r="OSV8" s="72"/>
      <c r="OTC8" s="74"/>
      <c r="OTD8" s="72"/>
      <c r="OTK8" s="74"/>
      <c r="OTL8" s="72"/>
      <c r="OTS8" s="74"/>
      <c r="OTT8" s="72"/>
      <c r="OUA8" s="74"/>
      <c r="OUB8" s="72"/>
      <c r="OUI8" s="74"/>
      <c r="OUJ8" s="72"/>
      <c r="OUQ8" s="74"/>
      <c r="OUR8" s="72"/>
      <c r="OUY8" s="74"/>
      <c r="OUZ8" s="72"/>
      <c r="OVG8" s="74"/>
      <c r="OVH8" s="72"/>
      <c r="OVO8" s="74"/>
      <c r="OVP8" s="72"/>
      <c r="OVW8" s="74"/>
      <c r="OVX8" s="72"/>
      <c r="OWE8" s="74"/>
      <c r="OWF8" s="72"/>
      <c r="OWM8" s="74"/>
      <c r="OWN8" s="72"/>
      <c r="OWU8" s="74"/>
      <c r="OWV8" s="72"/>
      <c r="OXC8" s="74"/>
      <c r="OXD8" s="72"/>
      <c r="OXK8" s="74"/>
      <c r="OXL8" s="72"/>
      <c r="OXS8" s="74"/>
      <c r="OXT8" s="72"/>
      <c r="OYA8" s="74"/>
      <c r="OYB8" s="72"/>
      <c r="OYI8" s="74"/>
      <c r="OYJ8" s="72"/>
      <c r="OYQ8" s="74"/>
      <c r="OYR8" s="72"/>
      <c r="OYY8" s="74"/>
      <c r="OYZ8" s="72"/>
      <c r="OZG8" s="74"/>
      <c r="OZH8" s="72"/>
      <c r="OZO8" s="74"/>
      <c r="OZP8" s="72"/>
      <c r="OZW8" s="74"/>
      <c r="OZX8" s="72"/>
      <c r="PAE8" s="74"/>
      <c r="PAF8" s="72"/>
      <c r="PAM8" s="74"/>
      <c r="PAN8" s="72"/>
      <c r="PAU8" s="74"/>
      <c r="PAV8" s="72"/>
      <c r="PBC8" s="74"/>
      <c r="PBD8" s="72"/>
      <c r="PBK8" s="74"/>
      <c r="PBL8" s="72"/>
      <c r="PBS8" s="74"/>
      <c r="PBT8" s="72"/>
      <c r="PCA8" s="74"/>
      <c r="PCB8" s="72"/>
      <c r="PCI8" s="74"/>
      <c r="PCJ8" s="72"/>
      <c r="PCQ8" s="74"/>
      <c r="PCR8" s="72"/>
      <c r="PCY8" s="74"/>
      <c r="PCZ8" s="72"/>
      <c r="PDG8" s="74"/>
      <c r="PDH8" s="72"/>
      <c r="PDO8" s="74"/>
      <c r="PDP8" s="72"/>
      <c r="PDW8" s="74"/>
      <c r="PDX8" s="72"/>
      <c r="PEE8" s="74"/>
      <c r="PEF8" s="72"/>
      <c r="PEM8" s="74"/>
      <c r="PEN8" s="72"/>
      <c r="PEU8" s="74"/>
      <c r="PEV8" s="72"/>
      <c r="PFC8" s="74"/>
      <c r="PFD8" s="72"/>
      <c r="PFK8" s="74"/>
      <c r="PFL8" s="72"/>
      <c r="PFS8" s="74"/>
      <c r="PFT8" s="72"/>
      <c r="PGA8" s="74"/>
      <c r="PGB8" s="72"/>
      <c r="PGI8" s="74"/>
      <c r="PGJ8" s="72"/>
      <c r="PGQ8" s="74"/>
      <c r="PGR8" s="72"/>
      <c r="PGY8" s="74"/>
      <c r="PGZ8" s="72"/>
      <c r="PHG8" s="74"/>
      <c r="PHH8" s="72"/>
      <c r="PHO8" s="74"/>
      <c r="PHP8" s="72"/>
      <c r="PHW8" s="74"/>
      <c r="PHX8" s="72"/>
      <c r="PIE8" s="74"/>
      <c r="PIF8" s="72"/>
      <c r="PIM8" s="74"/>
      <c r="PIN8" s="72"/>
      <c r="PIU8" s="74"/>
      <c r="PIV8" s="72"/>
      <c r="PJC8" s="74"/>
      <c r="PJD8" s="72"/>
      <c r="PJK8" s="74"/>
      <c r="PJL8" s="72"/>
      <c r="PJS8" s="74"/>
      <c r="PJT8" s="72"/>
      <c r="PKA8" s="74"/>
      <c r="PKB8" s="72"/>
      <c r="PKI8" s="74"/>
      <c r="PKJ8" s="72"/>
      <c r="PKQ8" s="74"/>
      <c r="PKR8" s="72"/>
      <c r="PKY8" s="74"/>
      <c r="PKZ8" s="72"/>
      <c r="PLG8" s="74"/>
      <c r="PLH8" s="72"/>
      <c r="PLO8" s="74"/>
      <c r="PLP8" s="72"/>
      <c r="PLW8" s="74"/>
      <c r="PLX8" s="72"/>
      <c r="PME8" s="74"/>
      <c r="PMF8" s="72"/>
      <c r="PMM8" s="74"/>
      <c r="PMN8" s="72"/>
      <c r="PMU8" s="74"/>
      <c r="PMV8" s="72"/>
      <c r="PNC8" s="74"/>
      <c r="PND8" s="72"/>
      <c r="PNK8" s="74"/>
      <c r="PNL8" s="72"/>
      <c r="PNS8" s="74"/>
      <c r="PNT8" s="72"/>
      <c r="POA8" s="74"/>
      <c r="POB8" s="72"/>
      <c r="POI8" s="74"/>
      <c r="POJ8" s="72"/>
      <c r="POQ8" s="74"/>
      <c r="POR8" s="72"/>
      <c r="POY8" s="74"/>
      <c r="POZ8" s="72"/>
      <c r="PPG8" s="74"/>
      <c r="PPH8" s="72"/>
      <c r="PPO8" s="74"/>
      <c r="PPP8" s="72"/>
      <c r="PPW8" s="74"/>
      <c r="PPX8" s="72"/>
      <c r="PQE8" s="74"/>
      <c r="PQF8" s="72"/>
      <c r="PQM8" s="74"/>
      <c r="PQN8" s="72"/>
      <c r="PQU8" s="74"/>
      <c r="PQV8" s="72"/>
      <c r="PRC8" s="74"/>
      <c r="PRD8" s="72"/>
      <c r="PRK8" s="74"/>
      <c r="PRL8" s="72"/>
      <c r="PRS8" s="74"/>
      <c r="PRT8" s="72"/>
      <c r="PSA8" s="74"/>
      <c r="PSB8" s="72"/>
      <c r="PSI8" s="74"/>
      <c r="PSJ8" s="72"/>
      <c r="PSQ8" s="74"/>
      <c r="PSR8" s="72"/>
      <c r="PSY8" s="74"/>
      <c r="PSZ8" s="72"/>
      <c r="PTG8" s="74"/>
      <c r="PTH8" s="72"/>
      <c r="PTO8" s="74"/>
      <c r="PTP8" s="72"/>
      <c r="PTW8" s="74"/>
      <c r="PTX8" s="72"/>
      <c r="PUE8" s="74"/>
      <c r="PUF8" s="72"/>
      <c r="PUM8" s="74"/>
      <c r="PUN8" s="72"/>
      <c r="PUU8" s="74"/>
      <c r="PUV8" s="72"/>
      <c r="PVC8" s="74"/>
      <c r="PVD8" s="72"/>
      <c r="PVK8" s="74"/>
      <c r="PVL8" s="72"/>
      <c r="PVS8" s="74"/>
      <c r="PVT8" s="72"/>
      <c r="PWA8" s="74"/>
      <c r="PWB8" s="72"/>
      <c r="PWI8" s="74"/>
      <c r="PWJ8" s="72"/>
      <c r="PWQ8" s="74"/>
      <c r="PWR8" s="72"/>
      <c r="PWY8" s="74"/>
      <c r="PWZ8" s="72"/>
      <c r="PXG8" s="74"/>
      <c r="PXH8" s="72"/>
      <c r="PXO8" s="74"/>
      <c r="PXP8" s="72"/>
      <c r="PXW8" s="74"/>
      <c r="PXX8" s="72"/>
      <c r="PYE8" s="74"/>
      <c r="PYF8" s="72"/>
      <c r="PYM8" s="74"/>
      <c r="PYN8" s="72"/>
      <c r="PYU8" s="74"/>
      <c r="PYV8" s="72"/>
      <c r="PZC8" s="74"/>
      <c r="PZD8" s="72"/>
      <c r="PZK8" s="74"/>
      <c r="PZL8" s="72"/>
      <c r="PZS8" s="74"/>
      <c r="PZT8" s="72"/>
      <c r="QAA8" s="74"/>
      <c r="QAB8" s="72"/>
      <c r="QAI8" s="74"/>
      <c r="QAJ8" s="72"/>
      <c r="QAQ8" s="74"/>
      <c r="QAR8" s="72"/>
      <c r="QAY8" s="74"/>
      <c r="QAZ8" s="72"/>
      <c r="QBG8" s="74"/>
      <c r="QBH8" s="72"/>
      <c r="QBO8" s="74"/>
      <c r="QBP8" s="72"/>
      <c r="QBW8" s="74"/>
      <c r="QBX8" s="72"/>
      <c r="QCE8" s="74"/>
      <c r="QCF8" s="72"/>
      <c r="QCM8" s="74"/>
      <c r="QCN8" s="72"/>
      <c r="QCU8" s="74"/>
      <c r="QCV8" s="72"/>
      <c r="QDC8" s="74"/>
      <c r="QDD8" s="72"/>
      <c r="QDK8" s="74"/>
      <c r="QDL8" s="72"/>
      <c r="QDS8" s="74"/>
      <c r="QDT8" s="72"/>
      <c r="QEA8" s="74"/>
      <c r="QEB8" s="72"/>
      <c r="QEI8" s="74"/>
      <c r="QEJ8" s="72"/>
      <c r="QEQ8" s="74"/>
      <c r="QER8" s="72"/>
      <c r="QEY8" s="74"/>
      <c r="QEZ8" s="72"/>
      <c r="QFG8" s="74"/>
      <c r="QFH8" s="72"/>
      <c r="QFO8" s="74"/>
      <c r="QFP8" s="72"/>
      <c r="QFW8" s="74"/>
      <c r="QFX8" s="72"/>
      <c r="QGE8" s="74"/>
      <c r="QGF8" s="72"/>
      <c r="QGM8" s="74"/>
      <c r="QGN8" s="72"/>
      <c r="QGU8" s="74"/>
      <c r="QGV8" s="72"/>
      <c r="QHC8" s="74"/>
      <c r="QHD8" s="72"/>
      <c r="QHK8" s="74"/>
      <c r="QHL8" s="72"/>
      <c r="QHS8" s="74"/>
      <c r="QHT8" s="72"/>
      <c r="QIA8" s="74"/>
      <c r="QIB8" s="72"/>
      <c r="QII8" s="74"/>
      <c r="QIJ8" s="72"/>
      <c r="QIQ8" s="74"/>
      <c r="QIR8" s="72"/>
      <c r="QIY8" s="74"/>
      <c r="QIZ8" s="72"/>
      <c r="QJG8" s="74"/>
      <c r="QJH8" s="72"/>
      <c r="QJO8" s="74"/>
      <c r="QJP8" s="72"/>
      <c r="QJW8" s="74"/>
      <c r="QJX8" s="72"/>
      <c r="QKE8" s="74"/>
      <c r="QKF8" s="72"/>
      <c r="QKM8" s="74"/>
      <c r="QKN8" s="72"/>
      <c r="QKU8" s="74"/>
      <c r="QKV8" s="72"/>
      <c r="QLC8" s="74"/>
      <c r="QLD8" s="72"/>
      <c r="QLK8" s="74"/>
      <c r="QLL8" s="72"/>
      <c r="QLS8" s="74"/>
      <c r="QLT8" s="72"/>
      <c r="QMA8" s="74"/>
      <c r="QMB8" s="72"/>
      <c r="QMI8" s="74"/>
      <c r="QMJ8" s="72"/>
      <c r="QMQ8" s="74"/>
      <c r="QMR8" s="72"/>
      <c r="QMY8" s="74"/>
      <c r="QMZ8" s="72"/>
      <c r="QNG8" s="74"/>
      <c r="QNH8" s="72"/>
      <c r="QNO8" s="74"/>
      <c r="QNP8" s="72"/>
      <c r="QNW8" s="74"/>
      <c r="QNX8" s="72"/>
      <c r="QOE8" s="74"/>
      <c r="QOF8" s="72"/>
      <c r="QOM8" s="74"/>
      <c r="QON8" s="72"/>
      <c r="QOU8" s="74"/>
      <c r="QOV8" s="72"/>
      <c r="QPC8" s="74"/>
      <c r="QPD8" s="72"/>
      <c r="QPK8" s="74"/>
      <c r="QPL8" s="72"/>
      <c r="QPS8" s="74"/>
      <c r="QPT8" s="72"/>
      <c r="QQA8" s="74"/>
      <c r="QQB8" s="72"/>
      <c r="QQI8" s="74"/>
      <c r="QQJ8" s="72"/>
      <c r="QQQ8" s="74"/>
      <c r="QQR8" s="72"/>
      <c r="QQY8" s="74"/>
      <c r="QQZ8" s="72"/>
      <c r="QRG8" s="74"/>
      <c r="QRH8" s="72"/>
      <c r="QRO8" s="74"/>
      <c r="QRP8" s="72"/>
      <c r="QRW8" s="74"/>
      <c r="QRX8" s="72"/>
      <c r="QSE8" s="74"/>
      <c r="QSF8" s="72"/>
      <c r="QSM8" s="74"/>
      <c r="QSN8" s="72"/>
      <c r="QSU8" s="74"/>
      <c r="QSV8" s="72"/>
      <c r="QTC8" s="74"/>
      <c r="QTD8" s="72"/>
      <c r="QTK8" s="74"/>
      <c r="QTL8" s="72"/>
      <c r="QTS8" s="74"/>
      <c r="QTT8" s="72"/>
      <c r="QUA8" s="74"/>
      <c r="QUB8" s="72"/>
      <c r="QUI8" s="74"/>
      <c r="QUJ8" s="72"/>
      <c r="QUQ8" s="74"/>
      <c r="QUR8" s="72"/>
      <c r="QUY8" s="74"/>
      <c r="QUZ8" s="72"/>
      <c r="QVG8" s="74"/>
      <c r="QVH8" s="72"/>
      <c r="QVO8" s="74"/>
      <c r="QVP8" s="72"/>
      <c r="QVW8" s="74"/>
      <c r="QVX8" s="72"/>
      <c r="QWE8" s="74"/>
      <c r="QWF8" s="72"/>
      <c r="QWM8" s="74"/>
      <c r="QWN8" s="72"/>
      <c r="QWU8" s="74"/>
      <c r="QWV8" s="72"/>
      <c r="QXC8" s="74"/>
      <c r="QXD8" s="72"/>
      <c r="QXK8" s="74"/>
      <c r="QXL8" s="72"/>
      <c r="QXS8" s="74"/>
      <c r="QXT8" s="72"/>
      <c r="QYA8" s="74"/>
      <c r="QYB8" s="72"/>
      <c r="QYI8" s="74"/>
      <c r="QYJ8" s="72"/>
      <c r="QYQ8" s="74"/>
      <c r="QYR8" s="72"/>
      <c r="QYY8" s="74"/>
      <c r="QYZ8" s="72"/>
      <c r="QZG8" s="74"/>
      <c r="QZH8" s="72"/>
      <c r="QZO8" s="74"/>
      <c r="QZP8" s="72"/>
      <c r="QZW8" s="74"/>
      <c r="QZX8" s="72"/>
      <c r="RAE8" s="74"/>
      <c r="RAF8" s="72"/>
      <c r="RAM8" s="74"/>
      <c r="RAN8" s="72"/>
      <c r="RAU8" s="74"/>
      <c r="RAV8" s="72"/>
      <c r="RBC8" s="74"/>
      <c r="RBD8" s="72"/>
      <c r="RBK8" s="74"/>
      <c r="RBL8" s="72"/>
      <c r="RBS8" s="74"/>
      <c r="RBT8" s="72"/>
      <c r="RCA8" s="74"/>
      <c r="RCB8" s="72"/>
      <c r="RCI8" s="74"/>
      <c r="RCJ8" s="72"/>
      <c r="RCQ8" s="74"/>
      <c r="RCR8" s="72"/>
      <c r="RCY8" s="74"/>
      <c r="RCZ8" s="72"/>
      <c r="RDG8" s="74"/>
      <c r="RDH8" s="72"/>
      <c r="RDO8" s="74"/>
      <c r="RDP8" s="72"/>
      <c r="RDW8" s="74"/>
      <c r="RDX8" s="72"/>
      <c r="REE8" s="74"/>
      <c r="REF8" s="72"/>
      <c r="REM8" s="74"/>
      <c r="REN8" s="72"/>
      <c r="REU8" s="74"/>
      <c r="REV8" s="72"/>
      <c r="RFC8" s="74"/>
      <c r="RFD8" s="72"/>
      <c r="RFK8" s="74"/>
      <c r="RFL8" s="72"/>
      <c r="RFS8" s="74"/>
      <c r="RFT8" s="72"/>
      <c r="RGA8" s="74"/>
      <c r="RGB8" s="72"/>
      <c r="RGI8" s="74"/>
      <c r="RGJ8" s="72"/>
      <c r="RGQ8" s="74"/>
      <c r="RGR8" s="72"/>
      <c r="RGY8" s="74"/>
      <c r="RGZ8" s="72"/>
      <c r="RHG8" s="74"/>
      <c r="RHH8" s="72"/>
      <c r="RHO8" s="74"/>
      <c r="RHP8" s="72"/>
      <c r="RHW8" s="74"/>
      <c r="RHX8" s="72"/>
      <c r="RIE8" s="74"/>
      <c r="RIF8" s="72"/>
      <c r="RIM8" s="74"/>
      <c r="RIN8" s="72"/>
      <c r="RIU8" s="74"/>
      <c r="RIV8" s="72"/>
      <c r="RJC8" s="74"/>
      <c r="RJD8" s="72"/>
      <c r="RJK8" s="74"/>
      <c r="RJL8" s="72"/>
      <c r="RJS8" s="74"/>
      <c r="RJT8" s="72"/>
      <c r="RKA8" s="74"/>
      <c r="RKB8" s="72"/>
      <c r="RKI8" s="74"/>
      <c r="RKJ8" s="72"/>
      <c r="RKQ8" s="74"/>
      <c r="RKR8" s="72"/>
      <c r="RKY8" s="74"/>
      <c r="RKZ8" s="72"/>
      <c r="RLG8" s="74"/>
      <c r="RLH8" s="72"/>
      <c r="RLO8" s="74"/>
      <c r="RLP8" s="72"/>
      <c r="RLW8" s="74"/>
      <c r="RLX8" s="72"/>
      <c r="RME8" s="74"/>
      <c r="RMF8" s="72"/>
      <c r="RMM8" s="74"/>
      <c r="RMN8" s="72"/>
      <c r="RMU8" s="74"/>
      <c r="RMV8" s="72"/>
      <c r="RNC8" s="74"/>
      <c r="RND8" s="72"/>
      <c r="RNK8" s="74"/>
      <c r="RNL8" s="72"/>
      <c r="RNS8" s="74"/>
      <c r="RNT8" s="72"/>
      <c r="ROA8" s="74"/>
      <c r="ROB8" s="72"/>
      <c r="ROI8" s="74"/>
      <c r="ROJ8" s="72"/>
      <c r="ROQ8" s="74"/>
      <c r="ROR8" s="72"/>
      <c r="ROY8" s="74"/>
      <c r="ROZ8" s="72"/>
      <c r="RPG8" s="74"/>
      <c r="RPH8" s="72"/>
      <c r="RPO8" s="74"/>
      <c r="RPP8" s="72"/>
      <c r="RPW8" s="74"/>
      <c r="RPX8" s="72"/>
      <c r="RQE8" s="74"/>
      <c r="RQF8" s="72"/>
      <c r="RQM8" s="74"/>
      <c r="RQN8" s="72"/>
      <c r="RQU8" s="74"/>
      <c r="RQV8" s="72"/>
      <c r="RRC8" s="74"/>
      <c r="RRD8" s="72"/>
      <c r="RRK8" s="74"/>
      <c r="RRL8" s="72"/>
      <c r="RRS8" s="74"/>
      <c r="RRT8" s="72"/>
      <c r="RSA8" s="74"/>
      <c r="RSB8" s="72"/>
      <c r="RSI8" s="74"/>
      <c r="RSJ8" s="72"/>
      <c r="RSQ8" s="74"/>
      <c r="RSR8" s="72"/>
      <c r="RSY8" s="74"/>
      <c r="RSZ8" s="72"/>
      <c r="RTG8" s="74"/>
      <c r="RTH8" s="72"/>
      <c r="RTO8" s="74"/>
      <c r="RTP8" s="72"/>
      <c r="RTW8" s="74"/>
      <c r="RTX8" s="72"/>
      <c r="RUE8" s="74"/>
      <c r="RUF8" s="72"/>
      <c r="RUM8" s="74"/>
      <c r="RUN8" s="72"/>
      <c r="RUU8" s="74"/>
      <c r="RUV8" s="72"/>
      <c r="RVC8" s="74"/>
      <c r="RVD8" s="72"/>
      <c r="RVK8" s="74"/>
      <c r="RVL8" s="72"/>
      <c r="RVS8" s="74"/>
      <c r="RVT8" s="72"/>
      <c r="RWA8" s="74"/>
      <c r="RWB8" s="72"/>
      <c r="RWI8" s="74"/>
      <c r="RWJ8" s="72"/>
      <c r="RWQ8" s="74"/>
      <c r="RWR8" s="72"/>
      <c r="RWY8" s="74"/>
      <c r="RWZ8" s="72"/>
      <c r="RXG8" s="74"/>
      <c r="RXH8" s="72"/>
      <c r="RXO8" s="74"/>
      <c r="RXP8" s="72"/>
      <c r="RXW8" s="74"/>
      <c r="RXX8" s="72"/>
      <c r="RYE8" s="74"/>
      <c r="RYF8" s="72"/>
      <c r="RYM8" s="74"/>
      <c r="RYN8" s="72"/>
      <c r="RYU8" s="74"/>
      <c r="RYV8" s="72"/>
      <c r="RZC8" s="74"/>
      <c r="RZD8" s="72"/>
      <c r="RZK8" s="74"/>
      <c r="RZL8" s="72"/>
      <c r="RZS8" s="74"/>
      <c r="RZT8" s="72"/>
      <c r="SAA8" s="74"/>
      <c r="SAB8" s="72"/>
      <c r="SAI8" s="74"/>
      <c r="SAJ8" s="72"/>
      <c r="SAQ8" s="74"/>
      <c r="SAR8" s="72"/>
      <c r="SAY8" s="74"/>
      <c r="SAZ8" s="72"/>
      <c r="SBG8" s="74"/>
      <c r="SBH8" s="72"/>
      <c r="SBO8" s="74"/>
      <c r="SBP8" s="72"/>
      <c r="SBW8" s="74"/>
      <c r="SBX8" s="72"/>
      <c r="SCE8" s="74"/>
      <c r="SCF8" s="72"/>
      <c r="SCM8" s="74"/>
      <c r="SCN8" s="72"/>
      <c r="SCU8" s="74"/>
      <c r="SCV8" s="72"/>
      <c r="SDC8" s="74"/>
      <c r="SDD8" s="72"/>
      <c r="SDK8" s="74"/>
      <c r="SDL8" s="72"/>
      <c r="SDS8" s="74"/>
      <c r="SDT8" s="72"/>
      <c r="SEA8" s="74"/>
      <c r="SEB8" s="72"/>
      <c r="SEI8" s="74"/>
      <c r="SEJ8" s="72"/>
      <c r="SEQ8" s="74"/>
      <c r="SER8" s="72"/>
      <c r="SEY8" s="74"/>
      <c r="SEZ8" s="72"/>
      <c r="SFG8" s="74"/>
      <c r="SFH8" s="72"/>
      <c r="SFO8" s="74"/>
      <c r="SFP8" s="72"/>
      <c r="SFW8" s="74"/>
      <c r="SFX8" s="72"/>
      <c r="SGE8" s="74"/>
      <c r="SGF8" s="72"/>
      <c r="SGM8" s="74"/>
      <c r="SGN8" s="72"/>
      <c r="SGU8" s="74"/>
      <c r="SGV8" s="72"/>
      <c r="SHC8" s="74"/>
      <c r="SHD8" s="72"/>
      <c r="SHK8" s="74"/>
      <c r="SHL8" s="72"/>
      <c r="SHS8" s="74"/>
      <c r="SHT8" s="72"/>
      <c r="SIA8" s="74"/>
      <c r="SIB8" s="72"/>
      <c r="SII8" s="74"/>
      <c r="SIJ8" s="72"/>
      <c r="SIQ8" s="74"/>
      <c r="SIR8" s="72"/>
      <c r="SIY8" s="74"/>
      <c r="SIZ8" s="72"/>
      <c r="SJG8" s="74"/>
      <c r="SJH8" s="72"/>
      <c r="SJO8" s="74"/>
      <c r="SJP8" s="72"/>
      <c r="SJW8" s="74"/>
      <c r="SJX8" s="72"/>
      <c r="SKE8" s="74"/>
      <c r="SKF8" s="72"/>
      <c r="SKM8" s="74"/>
      <c r="SKN8" s="72"/>
      <c r="SKU8" s="74"/>
      <c r="SKV8" s="72"/>
      <c r="SLC8" s="74"/>
      <c r="SLD8" s="72"/>
      <c r="SLK8" s="74"/>
      <c r="SLL8" s="72"/>
      <c r="SLS8" s="74"/>
      <c r="SLT8" s="72"/>
      <c r="SMA8" s="74"/>
      <c r="SMB8" s="72"/>
      <c r="SMI8" s="74"/>
      <c r="SMJ8" s="72"/>
      <c r="SMQ8" s="74"/>
      <c r="SMR8" s="72"/>
      <c r="SMY8" s="74"/>
      <c r="SMZ8" s="72"/>
      <c r="SNG8" s="74"/>
      <c r="SNH8" s="72"/>
      <c r="SNO8" s="74"/>
      <c r="SNP8" s="72"/>
      <c r="SNW8" s="74"/>
      <c r="SNX8" s="72"/>
      <c r="SOE8" s="74"/>
      <c r="SOF8" s="72"/>
      <c r="SOM8" s="74"/>
      <c r="SON8" s="72"/>
      <c r="SOU8" s="74"/>
      <c r="SOV8" s="72"/>
      <c r="SPC8" s="74"/>
      <c r="SPD8" s="72"/>
      <c r="SPK8" s="74"/>
      <c r="SPL8" s="72"/>
      <c r="SPS8" s="74"/>
      <c r="SPT8" s="72"/>
      <c r="SQA8" s="74"/>
      <c r="SQB8" s="72"/>
      <c r="SQI8" s="74"/>
      <c r="SQJ8" s="72"/>
      <c r="SQQ8" s="74"/>
      <c r="SQR8" s="72"/>
      <c r="SQY8" s="74"/>
      <c r="SQZ8" s="72"/>
      <c r="SRG8" s="74"/>
      <c r="SRH8" s="72"/>
      <c r="SRO8" s="74"/>
      <c r="SRP8" s="72"/>
      <c r="SRW8" s="74"/>
      <c r="SRX8" s="72"/>
      <c r="SSE8" s="74"/>
      <c r="SSF8" s="72"/>
      <c r="SSM8" s="74"/>
      <c r="SSN8" s="72"/>
      <c r="SSU8" s="74"/>
      <c r="SSV8" s="72"/>
      <c r="STC8" s="74"/>
      <c r="STD8" s="72"/>
      <c r="STK8" s="74"/>
      <c r="STL8" s="72"/>
      <c r="STS8" s="74"/>
      <c r="STT8" s="72"/>
      <c r="SUA8" s="74"/>
      <c r="SUB8" s="72"/>
      <c r="SUI8" s="74"/>
      <c r="SUJ8" s="72"/>
      <c r="SUQ8" s="74"/>
      <c r="SUR8" s="72"/>
      <c r="SUY8" s="74"/>
      <c r="SUZ8" s="72"/>
      <c r="SVG8" s="74"/>
      <c r="SVH8" s="72"/>
      <c r="SVO8" s="74"/>
      <c r="SVP8" s="72"/>
      <c r="SVW8" s="74"/>
      <c r="SVX8" s="72"/>
      <c r="SWE8" s="74"/>
      <c r="SWF8" s="72"/>
      <c r="SWM8" s="74"/>
      <c r="SWN8" s="72"/>
      <c r="SWU8" s="74"/>
      <c r="SWV8" s="72"/>
      <c r="SXC8" s="74"/>
      <c r="SXD8" s="72"/>
      <c r="SXK8" s="74"/>
      <c r="SXL8" s="72"/>
      <c r="SXS8" s="74"/>
      <c r="SXT8" s="72"/>
      <c r="SYA8" s="74"/>
      <c r="SYB8" s="72"/>
      <c r="SYI8" s="74"/>
      <c r="SYJ8" s="72"/>
      <c r="SYQ8" s="74"/>
      <c r="SYR8" s="72"/>
      <c r="SYY8" s="74"/>
      <c r="SYZ8" s="72"/>
      <c r="SZG8" s="74"/>
      <c r="SZH8" s="72"/>
      <c r="SZO8" s="74"/>
      <c r="SZP8" s="72"/>
      <c r="SZW8" s="74"/>
      <c r="SZX8" s="72"/>
      <c r="TAE8" s="74"/>
      <c r="TAF8" s="72"/>
      <c r="TAM8" s="74"/>
      <c r="TAN8" s="72"/>
      <c r="TAU8" s="74"/>
      <c r="TAV8" s="72"/>
      <c r="TBC8" s="74"/>
      <c r="TBD8" s="72"/>
      <c r="TBK8" s="74"/>
      <c r="TBL8" s="72"/>
      <c r="TBS8" s="74"/>
      <c r="TBT8" s="72"/>
      <c r="TCA8" s="74"/>
      <c r="TCB8" s="72"/>
      <c r="TCI8" s="74"/>
      <c r="TCJ8" s="72"/>
      <c r="TCQ8" s="74"/>
      <c r="TCR8" s="72"/>
      <c r="TCY8" s="74"/>
      <c r="TCZ8" s="72"/>
      <c r="TDG8" s="74"/>
      <c r="TDH8" s="72"/>
      <c r="TDO8" s="74"/>
      <c r="TDP8" s="72"/>
      <c r="TDW8" s="74"/>
      <c r="TDX8" s="72"/>
      <c r="TEE8" s="74"/>
      <c r="TEF8" s="72"/>
      <c r="TEM8" s="74"/>
      <c r="TEN8" s="72"/>
      <c r="TEU8" s="74"/>
      <c r="TEV8" s="72"/>
      <c r="TFC8" s="74"/>
      <c r="TFD8" s="72"/>
      <c r="TFK8" s="74"/>
      <c r="TFL8" s="72"/>
      <c r="TFS8" s="74"/>
      <c r="TFT8" s="72"/>
      <c r="TGA8" s="74"/>
      <c r="TGB8" s="72"/>
      <c r="TGI8" s="74"/>
      <c r="TGJ8" s="72"/>
      <c r="TGQ8" s="74"/>
      <c r="TGR8" s="72"/>
      <c r="TGY8" s="74"/>
      <c r="TGZ8" s="72"/>
      <c r="THG8" s="74"/>
      <c r="THH8" s="72"/>
      <c r="THO8" s="74"/>
      <c r="THP8" s="72"/>
      <c r="THW8" s="74"/>
      <c r="THX8" s="72"/>
      <c r="TIE8" s="74"/>
      <c r="TIF8" s="72"/>
      <c r="TIM8" s="74"/>
      <c r="TIN8" s="72"/>
      <c r="TIU8" s="74"/>
      <c r="TIV8" s="72"/>
      <c r="TJC8" s="74"/>
      <c r="TJD8" s="72"/>
      <c r="TJK8" s="74"/>
      <c r="TJL8" s="72"/>
      <c r="TJS8" s="74"/>
      <c r="TJT8" s="72"/>
      <c r="TKA8" s="74"/>
      <c r="TKB8" s="72"/>
      <c r="TKI8" s="74"/>
      <c r="TKJ8" s="72"/>
      <c r="TKQ8" s="74"/>
      <c r="TKR8" s="72"/>
      <c r="TKY8" s="74"/>
      <c r="TKZ8" s="72"/>
      <c r="TLG8" s="74"/>
      <c r="TLH8" s="72"/>
      <c r="TLO8" s="74"/>
      <c r="TLP8" s="72"/>
      <c r="TLW8" s="74"/>
      <c r="TLX8" s="72"/>
      <c r="TME8" s="74"/>
      <c r="TMF8" s="72"/>
      <c r="TMM8" s="74"/>
      <c r="TMN8" s="72"/>
      <c r="TMU8" s="74"/>
      <c r="TMV8" s="72"/>
      <c r="TNC8" s="74"/>
      <c r="TND8" s="72"/>
      <c r="TNK8" s="74"/>
      <c r="TNL8" s="72"/>
      <c r="TNS8" s="74"/>
      <c r="TNT8" s="72"/>
      <c r="TOA8" s="74"/>
      <c r="TOB8" s="72"/>
      <c r="TOI8" s="74"/>
      <c r="TOJ8" s="72"/>
      <c r="TOQ8" s="74"/>
      <c r="TOR8" s="72"/>
      <c r="TOY8" s="74"/>
      <c r="TOZ8" s="72"/>
      <c r="TPG8" s="74"/>
      <c r="TPH8" s="72"/>
      <c r="TPO8" s="74"/>
      <c r="TPP8" s="72"/>
      <c r="TPW8" s="74"/>
      <c r="TPX8" s="72"/>
      <c r="TQE8" s="74"/>
      <c r="TQF8" s="72"/>
      <c r="TQM8" s="74"/>
      <c r="TQN8" s="72"/>
      <c r="TQU8" s="74"/>
      <c r="TQV8" s="72"/>
      <c r="TRC8" s="74"/>
      <c r="TRD8" s="72"/>
      <c r="TRK8" s="74"/>
      <c r="TRL8" s="72"/>
      <c r="TRS8" s="74"/>
      <c r="TRT8" s="72"/>
      <c r="TSA8" s="74"/>
      <c r="TSB8" s="72"/>
      <c r="TSI8" s="74"/>
      <c r="TSJ8" s="72"/>
      <c r="TSQ8" s="74"/>
      <c r="TSR8" s="72"/>
      <c r="TSY8" s="74"/>
      <c r="TSZ8" s="72"/>
      <c r="TTG8" s="74"/>
      <c r="TTH8" s="72"/>
      <c r="TTO8" s="74"/>
      <c r="TTP8" s="72"/>
      <c r="TTW8" s="74"/>
      <c r="TTX8" s="72"/>
      <c r="TUE8" s="74"/>
      <c r="TUF8" s="72"/>
      <c r="TUM8" s="74"/>
      <c r="TUN8" s="72"/>
      <c r="TUU8" s="74"/>
      <c r="TUV8" s="72"/>
      <c r="TVC8" s="74"/>
      <c r="TVD8" s="72"/>
      <c r="TVK8" s="74"/>
      <c r="TVL8" s="72"/>
      <c r="TVS8" s="74"/>
      <c r="TVT8" s="72"/>
      <c r="TWA8" s="74"/>
      <c r="TWB8" s="72"/>
      <c r="TWI8" s="74"/>
      <c r="TWJ8" s="72"/>
      <c r="TWQ8" s="74"/>
      <c r="TWR8" s="72"/>
      <c r="TWY8" s="74"/>
      <c r="TWZ8" s="72"/>
      <c r="TXG8" s="74"/>
      <c r="TXH8" s="72"/>
      <c r="TXO8" s="74"/>
      <c r="TXP8" s="72"/>
      <c r="TXW8" s="74"/>
      <c r="TXX8" s="72"/>
      <c r="TYE8" s="74"/>
      <c r="TYF8" s="72"/>
      <c r="TYM8" s="74"/>
      <c r="TYN8" s="72"/>
      <c r="TYU8" s="74"/>
      <c r="TYV8" s="72"/>
      <c r="TZC8" s="74"/>
      <c r="TZD8" s="72"/>
      <c r="TZK8" s="74"/>
      <c r="TZL8" s="72"/>
      <c r="TZS8" s="74"/>
      <c r="TZT8" s="72"/>
      <c r="UAA8" s="74"/>
      <c r="UAB8" s="72"/>
      <c r="UAI8" s="74"/>
      <c r="UAJ8" s="72"/>
      <c r="UAQ8" s="74"/>
      <c r="UAR8" s="72"/>
      <c r="UAY8" s="74"/>
      <c r="UAZ8" s="72"/>
      <c r="UBG8" s="74"/>
      <c r="UBH8" s="72"/>
      <c r="UBO8" s="74"/>
      <c r="UBP8" s="72"/>
      <c r="UBW8" s="74"/>
      <c r="UBX8" s="72"/>
      <c r="UCE8" s="74"/>
      <c r="UCF8" s="72"/>
      <c r="UCM8" s="74"/>
      <c r="UCN8" s="72"/>
      <c r="UCU8" s="74"/>
      <c r="UCV8" s="72"/>
      <c r="UDC8" s="74"/>
      <c r="UDD8" s="72"/>
      <c r="UDK8" s="74"/>
      <c r="UDL8" s="72"/>
      <c r="UDS8" s="74"/>
      <c r="UDT8" s="72"/>
      <c r="UEA8" s="74"/>
      <c r="UEB8" s="72"/>
      <c r="UEI8" s="74"/>
      <c r="UEJ8" s="72"/>
      <c r="UEQ8" s="74"/>
      <c r="UER8" s="72"/>
      <c r="UEY8" s="74"/>
      <c r="UEZ8" s="72"/>
      <c r="UFG8" s="74"/>
      <c r="UFH8" s="72"/>
      <c r="UFO8" s="74"/>
      <c r="UFP8" s="72"/>
      <c r="UFW8" s="74"/>
      <c r="UFX8" s="72"/>
      <c r="UGE8" s="74"/>
      <c r="UGF8" s="72"/>
      <c r="UGM8" s="74"/>
      <c r="UGN8" s="72"/>
      <c r="UGU8" s="74"/>
      <c r="UGV8" s="72"/>
      <c r="UHC8" s="74"/>
      <c r="UHD8" s="72"/>
      <c r="UHK8" s="74"/>
      <c r="UHL8" s="72"/>
      <c r="UHS8" s="74"/>
      <c r="UHT8" s="72"/>
      <c r="UIA8" s="74"/>
      <c r="UIB8" s="72"/>
      <c r="UII8" s="74"/>
      <c r="UIJ8" s="72"/>
      <c r="UIQ8" s="74"/>
      <c r="UIR8" s="72"/>
      <c r="UIY8" s="74"/>
      <c r="UIZ8" s="72"/>
      <c r="UJG8" s="74"/>
      <c r="UJH8" s="72"/>
      <c r="UJO8" s="74"/>
      <c r="UJP8" s="72"/>
      <c r="UJW8" s="74"/>
      <c r="UJX8" s="72"/>
      <c r="UKE8" s="74"/>
      <c r="UKF8" s="72"/>
      <c r="UKM8" s="74"/>
      <c r="UKN8" s="72"/>
      <c r="UKU8" s="74"/>
      <c r="UKV8" s="72"/>
      <c r="ULC8" s="74"/>
      <c r="ULD8" s="72"/>
      <c r="ULK8" s="74"/>
      <c r="ULL8" s="72"/>
      <c r="ULS8" s="74"/>
      <c r="ULT8" s="72"/>
      <c r="UMA8" s="74"/>
      <c r="UMB8" s="72"/>
      <c r="UMI8" s="74"/>
      <c r="UMJ8" s="72"/>
      <c r="UMQ8" s="74"/>
      <c r="UMR8" s="72"/>
      <c r="UMY8" s="74"/>
      <c r="UMZ8" s="72"/>
      <c r="UNG8" s="74"/>
      <c r="UNH8" s="72"/>
      <c r="UNO8" s="74"/>
      <c r="UNP8" s="72"/>
      <c r="UNW8" s="74"/>
      <c r="UNX8" s="72"/>
      <c r="UOE8" s="74"/>
      <c r="UOF8" s="72"/>
      <c r="UOM8" s="74"/>
      <c r="UON8" s="72"/>
      <c r="UOU8" s="74"/>
      <c r="UOV8" s="72"/>
      <c r="UPC8" s="74"/>
      <c r="UPD8" s="72"/>
      <c r="UPK8" s="74"/>
      <c r="UPL8" s="72"/>
      <c r="UPS8" s="74"/>
      <c r="UPT8" s="72"/>
      <c r="UQA8" s="74"/>
      <c r="UQB8" s="72"/>
      <c r="UQI8" s="74"/>
      <c r="UQJ8" s="72"/>
      <c r="UQQ8" s="74"/>
      <c r="UQR8" s="72"/>
      <c r="UQY8" s="74"/>
      <c r="UQZ8" s="72"/>
      <c r="URG8" s="74"/>
      <c r="URH8" s="72"/>
      <c r="URO8" s="74"/>
      <c r="URP8" s="72"/>
      <c r="URW8" s="74"/>
      <c r="URX8" s="72"/>
      <c r="USE8" s="74"/>
      <c r="USF8" s="72"/>
      <c r="USM8" s="74"/>
      <c r="USN8" s="72"/>
      <c r="USU8" s="74"/>
      <c r="USV8" s="72"/>
      <c r="UTC8" s="74"/>
      <c r="UTD8" s="72"/>
      <c r="UTK8" s="74"/>
      <c r="UTL8" s="72"/>
      <c r="UTS8" s="74"/>
      <c r="UTT8" s="72"/>
      <c r="UUA8" s="74"/>
      <c r="UUB8" s="72"/>
      <c r="UUI8" s="74"/>
      <c r="UUJ8" s="72"/>
      <c r="UUQ8" s="74"/>
      <c r="UUR8" s="72"/>
      <c r="UUY8" s="74"/>
      <c r="UUZ8" s="72"/>
      <c r="UVG8" s="74"/>
      <c r="UVH8" s="72"/>
      <c r="UVO8" s="74"/>
      <c r="UVP8" s="72"/>
      <c r="UVW8" s="74"/>
      <c r="UVX8" s="72"/>
      <c r="UWE8" s="74"/>
      <c r="UWF8" s="72"/>
      <c r="UWM8" s="74"/>
      <c r="UWN8" s="72"/>
      <c r="UWU8" s="74"/>
      <c r="UWV8" s="72"/>
      <c r="UXC8" s="74"/>
      <c r="UXD8" s="72"/>
      <c r="UXK8" s="74"/>
      <c r="UXL8" s="72"/>
      <c r="UXS8" s="74"/>
      <c r="UXT8" s="72"/>
      <c r="UYA8" s="74"/>
      <c r="UYB8" s="72"/>
      <c r="UYI8" s="74"/>
      <c r="UYJ8" s="72"/>
      <c r="UYQ8" s="74"/>
      <c r="UYR8" s="72"/>
      <c r="UYY8" s="74"/>
      <c r="UYZ8" s="72"/>
      <c r="UZG8" s="74"/>
      <c r="UZH8" s="72"/>
      <c r="UZO8" s="74"/>
      <c r="UZP8" s="72"/>
      <c r="UZW8" s="74"/>
      <c r="UZX8" s="72"/>
      <c r="VAE8" s="74"/>
      <c r="VAF8" s="72"/>
      <c r="VAM8" s="74"/>
      <c r="VAN8" s="72"/>
      <c r="VAU8" s="74"/>
      <c r="VAV8" s="72"/>
      <c r="VBC8" s="74"/>
      <c r="VBD8" s="72"/>
      <c r="VBK8" s="74"/>
      <c r="VBL8" s="72"/>
      <c r="VBS8" s="74"/>
      <c r="VBT8" s="72"/>
      <c r="VCA8" s="74"/>
      <c r="VCB8" s="72"/>
      <c r="VCI8" s="74"/>
      <c r="VCJ8" s="72"/>
      <c r="VCQ8" s="74"/>
      <c r="VCR8" s="72"/>
      <c r="VCY8" s="74"/>
      <c r="VCZ8" s="72"/>
      <c r="VDG8" s="74"/>
      <c r="VDH8" s="72"/>
      <c r="VDO8" s="74"/>
      <c r="VDP8" s="72"/>
      <c r="VDW8" s="74"/>
      <c r="VDX8" s="72"/>
      <c r="VEE8" s="74"/>
      <c r="VEF8" s="72"/>
      <c r="VEM8" s="74"/>
      <c r="VEN8" s="72"/>
      <c r="VEU8" s="74"/>
      <c r="VEV8" s="72"/>
      <c r="VFC8" s="74"/>
      <c r="VFD8" s="72"/>
      <c r="VFK8" s="74"/>
      <c r="VFL8" s="72"/>
      <c r="VFS8" s="74"/>
      <c r="VFT8" s="72"/>
      <c r="VGA8" s="74"/>
      <c r="VGB8" s="72"/>
      <c r="VGI8" s="74"/>
      <c r="VGJ8" s="72"/>
      <c r="VGQ8" s="74"/>
      <c r="VGR8" s="72"/>
      <c r="VGY8" s="74"/>
      <c r="VGZ8" s="72"/>
      <c r="VHG8" s="74"/>
      <c r="VHH8" s="72"/>
      <c r="VHO8" s="74"/>
      <c r="VHP8" s="72"/>
      <c r="VHW8" s="74"/>
      <c r="VHX8" s="72"/>
      <c r="VIE8" s="74"/>
      <c r="VIF8" s="72"/>
      <c r="VIM8" s="74"/>
      <c r="VIN8" s="72"/>
      <c r="VIU8" s="74"/>
      <c r="VIV8" s="72"/>
      <c r="VJC8" s="74"/>
      <c r="VJD8" s="72"/>
      <c r="VJK8" s="74"/>
      <c r="VJL8" s="72"/>
      <c r="VJS8" s="74"/>
      <c r="VJT8" s="72"/>
      <c r="VKA8" s="74"/>
      <c r="VKB8" s="72"/>
      <c r="VKI8" s="74"/>
      <c r="VKJ8" s="72"/>
      <c r="VKQ8" s="74"/>
      <c r="VKR8" s="72"/>
      <c r="VKY8" s="74"/>
      <c r="VKZ8" s="72"/>
      <c r="VLG8" s="74"/>
      <c r="VLH8" s="72"/>
      <c r="VLO8" s="74"/>
      <c r="VLP8" s="72"/>
      <c r="VLW8" s="74"/>
      <c r="VLX8" s="72"/>
      <c r="VME8" s="74"/>
      <c r="VMF8" s="72"/>
      <c r="VMM8" s="74"/>
      <c r="VMN8" s="72"/>
      <c r="VMU8" s="74"/>
      <c r="VMV8" s="72"/>
      <c r="VNC8" s="74"/>
      <c r="VND8" s="72"/>
      <c r="VNK8" s="74"/>
      <c r="VNL8" s="72"/>
      <c r="VNS8" s="74"/>
      <c r="VNT8" s="72"/>
      <c r="VOA8" s="74"/>
      <c r="VOB8" s="72"/>
      <c r="VOI8" s="74"/>
      <c r="VOJ8" s="72"/>
      <c r="VOQ8" s="74"/>
      <c r="VOR8" s="72"/>
      <c r="VOY8" s="74"/>
      <c r="VOZ8" s="72"/>
      <c r="VPG8" s="74"/>
      <c r="VPH8" s="72"/>
      <c r="VPO8" s="74"/>
      <c r="VPP8" s="72"/>
      <c r="VPW8" s="74"/>
      <c r="VPX8" s="72"/>
      <c r="VQE8" s="74"/>
      <c r="VQF8" s="72"/>
      <c r="VQM8" s="74"/>
      <c r="VQN8" s="72"/>
      <c r="VQU8" s="74"/>
      <c r="VQV8" s="72"/>
      <c r="VRC8" s="74"/>
      <c r="VRD8" s="72"/>
      <c r="VRK8" s="74"/>
      <c r="VRL8" s="72"/>
      <c r="VRS8" s="74"/>
      <c r="VRT8" s="72"/>
      <c r="VSA8" s="74"/>
      <c r="VSB8" s="72"/>
      <c r="VSI8" s="74"/>
      <c r="VSJ8" s="72"/>
      <c r="VSQ8" s="74"/>
      <c r="VSR8" s="72"/>
      <c r="VSY8" s="74"/>
      <c r="VSZ8" s="72"/>
      <c r="VTG8" s="74"/>
      <c r="VTH8" s="72"/>
      <c r="VTO8" s="74"/>
      <c r="VTP8" s="72"/>
      <c r="VTW8" s="74"/>
      <c r="VTX8" s="72"/>
      <c r="VUE8" s="74"/>
      <c r="VUF8" s="72"/>
      <c r="VUM8" s="74"/>
      <c r="VUN8" s="72"/>
      <c r="VUU8" s="74"/>
      <c r="VUV8" s="72"/>
      <c r="VVC8" s="74"/>
      <c r="VVD8" s="72"/>
      <c r="VVK8" s="74"/>
      <c r="VVL8" s="72"/>
      <c r="VVS8" s="74"/>
      <c r="VVT8" s="72"/>
      <c r="VWA8" s="74"/>
      <c r="VWB8" s="72"/>
      <c r="VWI8" s="74"/>
      <c r="VWJ8" s="72"/>
      <c r="VWQ8" s="74"/>
      <c r="VWR8" s="72"/>
      <c r="VWY8" s="74"/>
      <c r="VWZ8" s="72"/>
      <c r="VXG8" s="74"/>
      <c r="VXH8" s="72"/>
      <c r="VXO8" s="74"/>
      <c r="VXP8" s="72"/>
      <c r="VXW8" s="74"/>
      <c r="VXX8" s="72"/>
      <c r="VYE8" s="74"/>
      <c r="VYF8" s="72"/>
      <c r="VYM8" s="74"/>
      <c r="VYN8" s="72"/>
      <c r="VYU8" s="74"/>
      <c r="VYV8" s="72"/>
      <c r="VZC8" s="74"/>
      <c r="VZD8" s="72"/>
      <c r="VZK8" s="74"/>
      <c r="VZL8" s="72"/>
      <c r="VZS8" s="74"/>
      <c r="VZT8" s="72"/>
      <c r="WAA8" s="74"/>
      <c r="WAB8" s="72"/>
      <c r="WAI8" s="74"/>
      <c r="WAJ8" s="72"/>
      <c r="WAQ8" s="74"/>
      <c r="WAR8" s="72"/>
      <c r="WAY8" s="74"/>
      <c r="WAZ8" s="72"/>
      <c r="WBG8" s="74"/>
      <c r="WBH8" s="72"/>
      <c r="WBO8" s="74"/>
      <c r="WBP8" s="72"/>
      <c r="WBW8" s="74"/>
      <c r="WBX8" s="72"/>
      <c r="WCE8" s="74"/>
      <c r="WCF8" s="72"/>
      <c r="WCM8" s="74"/>
      <c r="WCN8" s="72"/>
      <c r="WCU8" s="74"/>
      <c r="WCV8" s="72"/>
      <c r="WDC8" s="74"/>
      <c r="WDD8" s="72"/>
      <c r="WDK8" s="74"/>
      <c r="WDL8" s="72"/>
      <c r="WDS8" s="74"/>
      <c r="WDT8" s="72"/>
      <c r="WEA8" s="74"/>
      <c r="WEB8" s="72"/>
      <c r="WEI8" s="74"/>
      <c r="WEJ8" s="72"/>
      <c r="WEQ8" s="74"/>
      <c r="WER8" s="72"/>
      <c r="WEY8" s="74"/>
      <c r="WEZ8" s="72"/>
      <c r="WFG8" s="74"/>
      <c r="WFH8" s="72"/>
      <c r="WFO8" s="74"/>
      <c r="WFP8" s="72"/>
      <c r="WFW8" s="74"/>
      <c r="WFX8" s="72"/>
      <c r="WGE8" s="74"/>
      <c r="WGF8" s="72"/>
      <c r="WGM8" s="74"/>
      <c r="WGN8" s="72"/>
      <c r="WGU8" s="74"/>
      <c r="WGV8" s="72"/>
      <c r="WHC8" s="74"/>
      <c r="WHD8" s="72"/>
      <c r="WHK8" s="74"/>
      <c r="WHL8" s="72"/>
      <c r="WHS8" s="74"/>
      <c r="WHT8" s="72"/>
      <c r="WIA8" s="74"/>
      <c r="WIB8" s="72"/>
      <c r="WII8" s="74"/>
      <c r="WIJ8" s="72"/>
      <c r="WIQ8" s="74"/>
      <c r="WIR8" s="72"/>
      <c r="WIY8" s="74"/>
      <c r="WIZ8" s="72"/>
      <c r="WJG8" s="74"/>
      <c r="WJH8" s="72"/>
      <c r="WJO8" s="74"/>
      <c r="WJP8" s="72"/>
      <c r="WJW8" s="74"/>
      <c r="WJX8" s="72"/>
      <c r="WKE8" s="74"/>
      <c r="WKF8" s="72"/>
      <c r="WKM8" s="74"/>
      <c r="WKN8" s="72"/>
      <c r="WKU8" s="74"/>
      <c r="WKV8" s="72"/>
      <c r="WLC8" s="74"/>
      <c r="WLD8" s="72"/>
      <c r="WLK8" s="74"/>
      <c r="WLL8" s="72"/>
      <c r="WLS8" s="74"/>
      <c r="WLT8" s="72"/>
      <c r="WMA8" s="74"/>
      <c r="WMB8" s="72"/>
      <c r="WMI8" s="74"/>
      <c r="WMJ8" s="72"/>
      <c r="WMQ8" s="74"/>
      <c r="WMR8" s="72"/>
      <c r="WMY8" s="74"/>
      <c r="WMZ8" s="72"/>
      <c r="WNG8" s="74"/>
      <c r="WNH8" s="72"/>
      <c r="WNO8" s="74"/>
      <c r="WNP8" s="72"/>
      <c r="WNW8" s="74"/>
      <c r="WNX8" s="72"/>
      <c r="WOE8" s="74"/>
      <c r="WOF8" s="72"/>
      <c r="WOM8" s="74"/>
      <c r="WON8" s="72"/>
      <c r="WOU8" s="74"/>
      <c r="WOV8" s="72"/>
      <c r="WPC8" s="74"/>
      <c r="WPD8" s="72"/>
      <c r="WPK8" s="74"/>
      <c r="WPL8" s="72"/>
      <c r="WPS8" s="74"/>
      <c r="WPT8" s="72"/>
      <c r="WQA8" s="74"/>
      <c r="WQB8" s="72"/>
      <c r="WQI8" s="74"/>
      <c r="WQJ8" s="72"/>
      <c r="WQQ8" s="74"/>
      <c r="WQR8" s="72"/>
      <c r="WQY8" s="74"/>
      <c r="WQZ8" s="72"/>
      <c r="WRG8" s="74"/>
      <c r="WRH8" s="72"/>
      <c r="WRO8" s="74"/>
      <c r="WRP8" s="72"/>
      <c r="WRW8" s="74"/>
      <c r="WRX8" s="72"/>
      <c r="WSE8" s="74"/>
      <c r="WSF8" s="72"/>
      <c r="WSM8" s="74"/>
      <c r="WSN8" s="72"/>
      <c r="WSU8" s="74"/>
      <c r="WSV8" s="72"/>
      <c r="WTC8" s="74"/>
      <c r="WTD8" s="72"/>
      <c r="WTK8" s="74"/>
      <c r="WTL8" s="72"/>
      <c r="WTS8" s="74"/>
      <c r="WTT8" s="72"/>
      <c r="WUA8" s="74"/>
      <c r="WUB8" s="72"/>
      <c r="WUI8" s="74"/>
      <c r="WUJ8" s="72"/>
      <c r="WUQ8" s="74"/>
      <c r="WUR8" s="72"/>
      <c r="WUY8" s="74"/>
      <c r="WUZ8" s="72"/>
      <c r="WVG8" s="74"/>
      <c r="WVH8" s="72"/>
      <c r="WVO8" s="74"/>
      <c r="WVP8" s="72"/>
      <c r="WVW8" s="74"/>
      <c r="WVX8" s="72"/>
      <c r="WWE8" s="74"/>
      <c r="WWF8" s="72"/>
      <c r="WWM8" s="74"/>
      <c r="WWN8" s="72"/>
      <c r="WWU8" s="74"/>
      <c r="WWV8" s="72"/>
      <c r="WXC8" s="74"/>
      <c r="WXD8" s="72"/>
      <c r="WXK8" s="74"/>
      <c r="WXL8" s="72"/>
      <c r="WXS8" s="74"/>
      <c r="WXT8" s="72"/>
      <c r="WYA8" s="74"/>
      <c r="WYB8" s="72"/>
      <c r="WYI8" s="74"/>
      <c r="WYJ8" s="72"/>
      <c r="WYQ8" s="74"/>
      <c r="WYR8" s="72"/>
      <c r="WYY8" s="74"/>
      <c r="WYZ8" s="72"/>
      <c r="WZG8" s="74"/>
      <c r="WZH8" s="72"/>
      <c r="WZO8" s="74"/>
      <c r="WZP8" s="72"/>
      <c r="WZW8" s="74"/>
      <c r="WZX8" s="72"/>
      <c r="XAE8" s="74"/>
      <c r="XAF8" s="72"/>
      <c r="XAM8" s="74"/>
      <c r="XAN8" s="72"/>
      <c r="XAU8" s="74"/>
      <c r="XAV8" s="72"/>
      <c r="XBC8" s="74"/>
      <c r="XBD8" s="72"/>
      <c r="XBK8" s="74"/>
      <c r="XBL8" s="72"/>
      <c r="XBS8" s="74"/>
      <c r="XBT8" s="72"/>
      <c r="XCA8" s="74"/>
      <c r="XCB8" s="72"/>
      <c r="XCI8" s="74"/>
      <c r="XCJ8" s="72"/>
      <c r="XCQ8" s="74"/>
      <c r="XCR8" s="72"/>
      <c r="XCY8" s="74"/>
      <c r="XCZ8" s="72"/>
      <c r="XDG8" s="74"/>
      <c r="XDH8" s="72"/>
      <c r="XDO8" s="74"/>
      <c r="XDP8" s="72"/>
      <c r="XDW8" s="74"/>
      <c r="XDX8" s="72"/>
      <c r="XEE8" s="74"/>
      <c r="XEF8" s="72"/>
      <c r="XEM8" s="74"/>
      <c r="XEN8" s="72"/>
      <c r="XEU8" s="74"/>
      <c r="XEV8" s="72"/>
      <c r="XFC8" s="74"/>
      <c r="XFD8" s="72"/>
    </row>
    <row r="9" spans="1:1024 1031:2048 2055:3072 3079:4096 4103:5120 5127:6144 6151:7168 7175:8192 8199:9216 9223:10240 10247:11264 11271:12288 12295:13312 13319:14336 14343:15360 15367:16384" ht="15" customHeight="1" thickBot="1">
      <c r="A9" s="4"/>
      <c r="B9" s="59" t="s">
        <v>360</v>
      </c>
      <c r="C9" s="149">
        <v>48132.940185873078</v>
      </c>
      <c r="D9" s="149">
        <f t="shared" si="1"/>
        <v>105400.89098982458</v>
      </c>
      <c r="E9" s="149">
        <v>29473.5</v>
      </c>
      <c r="F9" s="149">
        <v>28254.8023309985</v>
      </c>
      <c r="G9" s="149">
        <v>19796.809905187838</v>
      </c>
      <c r="H9" s="149">
        <v>27875.778753638246</v>
      </c>
      <c r="I9" s="148">
        <f>SUM(J9:M9)</f>
        <v>176976</v>
      </c>
      <c r="J9" s="148">
        <v>43170</v>
      </c>
      <c r="K9" s="148">
        <v>41369</v>
      </c>
      <c r="L9" s="148">
        <v>42937</v>
      </c>
      <c r="M9" s="148">
        <v>49500</v>
      </c>
      <c r="N9" s="149">
        <f>SUM(O9:R9)</f>
        <v>125464</v>
      </c>
      <c r="O9" s="148">
        <f>31820+8407</f>
        <v>40227</v>
      </c>
      <c r="P9" s="148">
        <f>25055+1381</f>
        <v>26436</v>
      </c>
      <c r="Q9" s="148">
        <f>25826+663</f>
        <v>26489</v>
      </c>
      <c r="R9" s="148">
        <f>30454+1858</f>
        <v>32312</v>
      </c>
      <c r="S9" s="148">
        <v>74174</v>
      </c>
      <c r="T9" s="148">
        <f>S9-U9-V9-W9</f>
        <v>26784</v>
      </c>
      <c r="U9" s="148">
        <v>16370</v>
      </c>
      <c r="V9" s="148">
        <v>12483</v>
      </c>
      <c r="W9" s="148">
        <v>18537</v>
      </c>
      <c r="X9" s="148">
        <v>58656</v>
      </c>
      <c r="Y9" s="148">
        <f>X9-Z9</f>
        <v>27042</v>
      </c>
      <c r="Z9" s="148">
        <v>31614</v>
      </c>
      <c r="AA9" s="148">
        <v>47755</v>
      </c>
    </row>
    <row r="10" spans="1:1024 1031:2048 2055:3072 3079:4096 4103:5120 5127:6144 6151:7168 7175:8192 8199:9216 9223:10240 10247:11264 11271:12288 12295:13312 13319:14336 14343:15360 15367:16384" ht="15" customHeight="1" thickBot="1">
      <c r="A10" s="4"/>
      <c r="B10" s="59" t="s">
        <v>109</v>
      </c>
      <c r="C10" s="149">
        <v>30461</v>
      </c>
      <c r="D10" s="149">
        <f>SUM(E10:H10)</f>
        <v>134993.35990000001</v>
      </c>
      <c r="E10" s="149">
        <v>23998</v>
      </c>
      <c r="F10" s="149">
        <v>43876.5</v>
      </c>
      <c r="G10" s="149">
        <v>40812.5</v>
      </c>
      <c r="H10" s="149">
        <v>26306.359899999999</v>
      </c>
      <c r="I10" s="148">
        <f>SUM(J10:M10)</f>
        <v>119718</v>
      </c>
      <c r="J10" s="148">
        <v>89558</v>
      </c>
      <c r="K10" s="148">
        <v>4048</v>
      </c>
      <c r="L10" s="148">
        <v>0</v>
      </c>
      <c r="M10" s="148">
        <v>26112</v>
      </c>
      <c r="N10" s="149">
        <f>SUM(O10:R10)</f>
        <v>75211</v>
      </c>
      <c r="O10" s="148">
        <v>61785</v>
      </c>
      <c r="P10" s="148">
        <v>12603</v>
      </c>
      <c r="Q10" s="148">
        <f>80*0</f>
        <v>0</v>
      </c>
      <c r="R10" s="148">
        <v>823</v>
      </c>
      <c r="S10" s="148">
        <v>59249</v>
      </c>
      <c r="T10" s="148">
        <f>S10-U10-V10-W10</f>
        <v>49493</v>
      </c>
      <c r="U10" s="148">
        <v>9756</v>
      </c>
      <c r="V10" s="148">
        <v>0</v>
      </c>
      <c r="W10" s="148">
        <v>0</v>
      </c>
      <c r="X10" s="148">
        <v>66701</v>
      </c>
      <c r="Y10" s="148">
        <f>X10-Z10</f>
        <v>65478</v>
      </c>
      <c r="Z10" s="148">
        <v>1223</v>
      </c>
      <c r="AA10" s="148">
        <v>25954</v>
      </c>
    </row>
    <row r="11" spans="1:1024 1031:2048 2055:3072 3079:4096 4103:5120 5127:6144 6151:7168 7175:8192 8199:9216 9223:10240 10247:11264 11271:12288 12295:13312 13319:14336 14343:15360 15367:16384" ht="15" customHeight="1" thickBot="1">
      <c r="A11" s="4"/>
      <c r="B11" s="59" t="s">
        <v>195</v>
      </c>
      <c r="C11" s="149">
        <v>0</v>
      </c>
      <c r="D11" s="149">
        <f t="shared" si="1"/>
        <v>99804</v>
      </c>
      <c r="E11" s="149">
        <v>79401</v>
      </c>
      <c r="F11" s="149">
        <v>20403</v>
      </c>
      <c r="G11" s="149">
        <v>0</v>
      </c>
      <c r="H11" s="149">
        <v>0</v>
      </c>
      <c r="I11" s="148">
        <f>SUM(J11:M11)</f>
        <v>123186</v>
      </c>
      <c r="J11" s="148">
        <v>18108</v>
      </c>
      <c r="K11" s="148">
        <f>47791</f>
        <v>47791</v>
      </c>
      <c r="L11" s="148">
        <f>40754</f>
        <v>40754</v>
      </c>
      <c r="M11" s="148">
        <v>16533</v>
      </c>
      <c r="N11" s="149">
        <f>SUM(O11:R11)</f>
        <v>107473</v>
      </c>
      <c r="O11" s="148">
        <v>20188</v>
      </c>
      <c r="P11" s="148">
        <v>43751</v>
      </c>
      <c r="Q11" s="148">
        <v>30854</v>
      </c>
      <c r="R11" s="148">
        <v>12680</v>
      </c>
      <c r="S11" s="148">
        <v>82170</v>
      </c>
      <c r="T11" s="148">
        <f>S11-U11-V11-W11</f>
        <v>13963</v>
      </c>
      <c r="U11" s="148">
        <f>-(('3. Fluxo de Caixa'!Q60-'3. Fluxo de Caixa'!R60))</f>
        <v>29931</v>
      </c>
      <c r="V11" s="148">
        <v>26005</v>
      </c>
      <c r="W11" s="148">
        <v>12271</v>
      </c>
      <c r="X11" s="148">
        <v>72191</v>
      </c>
      <c r="Y11" s="148">
        <f>X11-Z11</f>
        <v>42006</v>
      </c>
      <c r="Z11" s="148">
        <v>30185</v>
      </c>
      <c r="AA11" s="148">
        <v>45519</v>
      </c>
    </row>
    <row r="12" spans="1:1024 1031:2048 2055:3072 3079:4096 4103:5120 5127:6144 6151:7168 7175:8192 8199:9216 9223:10240 10247:11264 11271:12288 12295:13312 13319:14336 14343:15360 15367:16384" s="73" customFormat="1" ht="15" customHeight="1" thickBot="1">
      <c r="A12" s="4"/>
      <c r="B12" s="145" t="s">
        <v>111</v>
      </c>
      <c r="C12" s="147">
        <f t="shared" ref="C12:M12" si="3">SUM(C13:C14)</f>
        <v>58563.874779999998</v>
      </c>
      <c r="D12" s="147">
        <f t="shared" si="1"/>
        <v>188489.70500000002</v>
      </c>
      <c r="E12" s="147">
        <f t="shared" si="3"/>
        <v>89247.45</v>
      </c>
      <c r="F12" s="147">
        <f t="shared" si="3"/>
        <v>47777.255000000005</v>
      </c>
      <c r="G12" s="147">
        <f t="shared" si="3"/>
        <v>20408.745000000006</v>
      </c>
      <c r="H12" s="147">
        <f t="shared" si="3"/>
        <v>31056.255000000005</v>
      </c>
      <c r="I12" s="147">
        <f t="shared" si="3"/>
        <v>149418</v>
      </c>
      <c r="J12" s="146">
        <f t="shared" si="3"/>
        <v>57356</v>
      </c>
      <c r="K12" s="146">
        <f t="shared" si="3"/>
        <v>36935</v>
      </c>
      <c r="L12" s="146">
        <f t="shared" si="3"/>
        <v>41300</v>
      </c>
      <c r="M12" s="146">
        <f t="shared" si="3"/>
        <v>20315</v>
      </c>
      <c r="N12" s="147">
        <f t="shared" ref="N12:AA12" si="4">SUM(N13:N14)</f>
        <v>88249.895449999996</v>
      </c>
      <c r="O12" s="146">
        <f t="shared" si="4"/>
        <v>45445</v>
      </c>
      <c r="P12" s="146">
        <f t="shared" si="4"/>
        <v>23886</v>
      </c>
      <c r="Q12" s="146">
        <f t="shared" si="4"/>
        <v>8770</v>
      </c>
      <c r="R12" s="146">
        <f t="shared" si="4"/>
        <v>10268.89545</v>
      </c>
      <c r="S12" s="146">
        <f t="shared" si="4"/>
        <v>87426</v>
      </c>
      <c r="T12" s="146">
        <f t="shared" si="4"/>
        <v>29088</v>
      </c>
      <c r="U12" s="146">
        <f t="shared" si="4"/>
        <v>39157</v>
      </c>
      <c r="V12" s="146">
        <f t="shared" si="4"/>
        <v>10394</v>
      </c>
      <c r="W12" s="146">
        <f t="shared" si="4"/>
        <v>8787</v>
      </c>
      <c r="X12" s="146">
        <f t="shared" si="4"/>
        <v>41821</v>
      </c>
      <c r="Y12" s="146">
        <f t="shared" si="4"/>
        <v>21790</v>
      </c>
      <c r="Z12" s="146">
        <f t="shared" si="4"/>
        <v>20031</v>
      </c>
      <c r="AA12" s="146">
        <f t="shared" si="4"/>
        <v>39227</v>
      </c>
      <c r="AE12" s="74"/>
      <c r="AF12" s="72"/>
      <c r="AM12" s="74"/>
      <c r="AN12" s="72"/>
      <c r="AU12" s="74"/>
      <c r="AV12" s="72"/>
      <c r="BC12" s="74"/>
      <c r="BD12" s="72"/>
      <c r="BK12" s="74"/>
      <c r="BL12" s="72"/>
      <c r="BS12" s="74"/>
      <c r="BT12" s="72"/>
      <c r="CA12" s="74"/>
      <c r="CB12" s="72"/>
      <c r="CI12" s="74"/>
      <c r="CJ12" s="72"/>
      <c r="CQ12" s="74"/>
      <c r="CR12" s="72"/>
      <c r="CY12" s="74"/>
      <c r="CZ12" s="72"/>
      <c r="DG12" s="74"/>
      <c r="DH12" s="72"/>
      <c r="DO12" s="74"/>
      <c r="DP12" s="72"/>
      <c r="DW12" s="74"/>
      <c r="DX12" s="72"/>
      <c r="EE12" s="74"/>
      <c r="EF12" s="72"/>
      <c r="EM12" s="74"/>
      <c r="EN12" s="72"/>
      <c r="EU12" s="74"/>
      <c r="EV12" s="72"/>
      <c r="FC12" s="74"/>
      <c r="FD12" s="72"/>
      <c r="FK12" s="74"/>
      <c r="FL12" s="72"/>
      <c r="FS12" s="74"/>
      <c r="FT12" s="72"/>
      <c r="GA12" s="74"/>
      <c r="GB12" s="72"/>
      <c r="GI12" s="74"/>
      <c r="GJ12" s="72"/>
      <c r="GQ12" s="74"/>
      <c r="GR12" s="72"/>
      <c r="GY12" s="74"/>
      <c r="GZ12" s="72"/>
      <c r="HG12" s="74"/>
      <c r="HH12" s="72"/>
      <c r="HO12" s="74"/>
      <c r="HP12" s="72"/>
      <c r="HW12" s="74"/>
      <c r="HX12" s="72"/>
      <c r="IE12" s="74"/>
      <c r="IF12" s="72"/>
      <c r="IM12" s="74"/>
      <c r="IN12" s="72"/>
      <c r="IU12" s="74"/>
      <c r="IV12" s="72"/>
      <c r="JC12" s="74"/>
      <c r="JD12" s="72"/>
      <c r="JK12" s="74"/>
      <c r="JL12" s="72"/>
      <c r="JS12" s="74"/>
      <c r="JT12" s="72"/>
      <c r="KA12" s="74"/>
      <c r="KB12" s="72"/>
      <c r="KI12" s="74"/>
      <c r="KJ12" s="72"/>
      <c r="KQ12" s="74"/>
      <c r="KR12" s="72"/>
      <c r="KY12" s="74"/>
      <c r="KZ12" s="72"/>
      <c r="LG12" s="74"/>
      <c r="LH12" s="72"/>
      <c r="LO12" s="74"/>
      <c r="LP12" s="72"/>
      <c r="LW12" s="74"/>
      <c r="LX12" s="72"/>
      <c r="ME12" s="74"/>
      <c r="MF12" s="72"/>
      <c r="MM12" s="74"/>
      <c r="MN12" s="72"/>
      <c r="MU12" s="74"/>
      <c r="MV12" s="72"/>
      <c r="NC12" s="74"/>
      <c r="ND12" s="72"/>
      <c r="NK12" s="74"/>
      <c r="NL12" s="72"/>
      <c r="NS12" s="74"/>
      <c r="NT12" s="72"/>
      <c r="OA12" s="74"/>
      <c r="OB12" s="72"/>
      <c r="OI12" s="74"/>
      <c r="OJ12" s="72"/>
      <c r="OQ12" s="74"/>
      <c r="OR12" s="72"/>
      <c r="OY12" s="74"/>
      <c r="OZ12" s="72"/>
      <c r="PG12" s="74"/>
      <c r="PH12" s="72"/>
      <c r="PO12" s="74"/>
      <c r="PP12" s="72"/>
      <c r="PW12" s="74"/>
      <c r="PX12" s="72"/>
      <c r="QE12" s="74"/>
      <c r="QF12" s="72"/>
      <c r="QM12" s="74"/>
      <c r="QN12" s="72"/>
      <c r="QU12" s="74"/>
      <c r="QV12" s="72"/>
      <c r="RC12" s="74"/>
      <c r="RD12" s="72"/>
      <c r="RK12" s="74"/>
      <c r="RL12" s="72"/>
      <c r="RS12" s="74"/>
      <c r="RT12" s="72"/>
      <c r="SA12" s="74"/>
      <c r="SB12" s="72"/>
      <c r="SI12" s="74"/>
      <c r="SJ12" s="72"/>
      <c r="SQ12" s="74"/>
      <c r="SR12" s="72"/>
      <c r="SY12" s="74"/>
      <c r="SZ12" s="72"/>
      <c r="TG12" s="74"/>
      <c r="TH12" s="72"/>
      <c r="TO12" s="74"/>
      <c r="TP12" s="72"/>
      <c r="TW12" s="74"/>
      <c r="TX12" s="72"/>
      <c r="UE12" s="74"/>
      <c r="UF12" s="72"/>
      <c r="UM12" s="74"/>
      <c r="UN12" s="72"/>
      <c r="UU12" s="74"/>
      <c r="UV12" s="72"/>
      <c r="VC12" s="74"/>
      <c r="VD12" s="72"/>
      <c r="VK12" s="74"/>
      <c r="VL12" s="72"/>
      <c r="VS12" s="74"/>
      <c r="VT12" s="72"/>
      <c r="WA12" s="74"/>
      <c r="WB12" s="72"/>
      <c r="WI12" s="74"/>
      <c r="WJ12" s="72"/>
      <c r="WQ12" s="74"/>
      <c r="WR12" s="72"/>
      <c r="WY12" s="74"/>
      <c r="WZ12" s="72"/>
      <c r="XG12" s="74"/>
      <c r="XH12" s="72"/>
      <c r="XO12" s="74"/>
      <c r="XP12" s="72"/>
      <c r="XW12" s="74"/>
      <c r="XX12" s="72"/>
      <c r="YE12" s="74"/>
      <c r="YF12" s="72"/>
      <c r="YM12" s="74"/>
      <c r="YN12" s="72"/>
      <c r="YU12" s="74"/>
      <c r="YV12" s="72"/>
      <c r="ZC12" s="74"/>
      <c r="ZD12" s="72"/>
      <c r="ZK12" s="74"/>
      <c r="ZL12" s="72"/>
      <c r="ZS12" s="74"/>
      <c r="ZT12" s="72"/>
      <c r="AAA12" s="74"/>
      <c r="AAB12" s="72"/>
      <c r="AAI12" s="74"/>
      <c r="AAJ12" s="72"/>
      <c r="AAQ12" s="74"/>
      <c r="AAR12" s="72"/>
      <c r="AAY12" s="74"/>
      <c r="AAZ12" s="72"/>
      <c r="ABG12" s="74"/>
      <c r="ABH12" s="72"/>
      <c r="ABO12" s="74"/>
      <c r="ABP12" s="72"/>
      <c r="ABW12" s="74"/>
      <c r="ABX12" s="72"/>
      <c r="ACE12" s="74"/>
      <c r="ACF12" s="72"/>
      <c r="ACM12" s="74"/>
      <c r="ACN12" s="72"/>
      <c r="ACU12" s="74"/>
      <c r="ACV12" s="72"/>
      <c r="ADC12" s="74"/>
      <c r="ADD12" s="72"/>
      <c r="ADK12" s="74"/>
      <c r="ADL12" s="72"/>
      <c r="ADS12" s="74"/>
      <c r="ADT12" s="72"/>
      <c r="AEA12" s="74"/>
      <c r="AEB12" s="72"/>
      <c r="AEI12" s="74"/>
      <c r="AEJ12" s="72"/>
      <c r="AEQ12" s="74"/>
      <c r="AER12" s="72"/>
      <c r="AEY12" s="74"/>
      <c r="AEZ12" s="72"/>
      <c r="AFG12" s="74"/>
      <c r="AFH12" s="72"/>
      <c r="AFO12" s="74"/>
      <c r="AFP12" s="72"/>
      <c r="AFW12" s="74"/>
      <c r="AFX12" s="72"/>
      <c r="AGE12" s="74"/>
      <c r="AGF12" s="72"/>
      <c r="AGM12" s="74"/>
      <c r="AGN12" s="72"/>
      <c r="AGU12" s="74"/>
      <c r="AGV12" s="72"/>
      <c r="AHC12" s="74"/>
      <c r="AHD12" s="72"/>
      <c r="AHK12" s="74"/>
      <c r="AHL12" s="72"/>
      <c r="AHS12" s="74"/>
      <c r="AHT12" s="72"/>
      <c r="AIA12" s="74"/>
      <c r="AIB12" s="72"/>
      <c r="AII12" s="74"/>
      <c r="AIJ12" s="72"/>
      <c r="AIQ12" s="74"/>
      <c r="AIR12" s="72"/>
      <c r="AIY12" s="74"/>
      <c r="AIZ12" s="72"/>
      <c r="AJG12" s="74"/>
      <c r="AJH12" s="72"/>
      <c r="AJO12" s="74"/>
      <c r="AJP12" s="72"/>
      <c r="AJW12" s="74"/>
      <c r="AJX12" s="72"/>
      <c r="AKE12" s="74"/>
      <c r="AKF12" s="72"/>
      <c r="AKM12" s="74"/>
      <c r="AKN12" s="72"/>
      <c r="AKU12" s="74"/>
      <c r="AKV12" s="72"/>
      <c r="ALC12" s="74"/>
      <c r="ALD12" s="72"/>
      <c r="ALK12" s="74"/>
      <c r="ALL12" s="72"/>
      <c r="ALS12" s="74"/>
      <c r="ALT12" s="72"/>
      <c r="AMA12" s="74"/>
      <c r="AMB12" s="72"/>
      <c r="AMI12" s="74"/>
      <c r="AMJ12" s="72"/>
      <c r="AMQ12" s="74"/>
      <c r="AMR12" s="72"/>
      <c r="AMY12" s="74"/>
      <c r="AMZ12" s="72"/>
      <c r="ANG12" s="74"/>
      <c r="ANH12" s="72"/>
      <c r="ANO12" s="74"/>
      <c r="ANP12" s="72"/>
      <c r="ANW12" s="74"/>
      <c r="ANX12" s="72"/>
      <c r="AOE12" s="74"/>
      <c r="AOF12" s="72"/>
      <c r="AOM12" s="74"/>
      <c r="AON12" s="72"/>
      <c r="AOU12" s="74"/>
      <c r="AOV12" s="72"/>
      <c r="APC12" s="74"/>
      <c r="APD12" s="72"/>
      <c r="APK12" s="74"/>
      <c r="APL12" s="72"/>
      <c r="APS12" s="74"/>
      <c r="APT12" s="72"/>
      <c r="AQA12" s="74"/>
      <c r="AQB12" s="72"/>
      <c r="AQI12" s="74"/>
      <c r="AQJ12" s="72"/>
      <c r="AQQ12" s="74"/>
      <c r="AQR12" s="72"/>
      <c r="AQY12" s="74"/>
      <c r="AQZ12" s="72"/>
      <c r="ARG12" s="74"/>
      <c r="ARH12" s="72"/>
      <c r="ARO12" s="74"/>
      <c r="ARP12" s="72"/>
      <c r="ARW12" s="74"/>
      <c r="ARX12" s="72"/>
      <c r="ASE12" s="74"/>
      <c r="ASF12" s="72"/>
      <c r="ASM12" s="74"/>
      <c r="ASN12" s="72"/>
      <c r="ASU12" s="74"/>
      <c r="ASV12" s="72"/>
      <c r="ATC12" s="74"/>
      <c r="ATD12" s="72"/>
      <c r="ATK12" s="74"/>
      <c r="ATL12" s="72"/>
      <c r="ATS12" s="74"/>
      <c r="ATT12" s="72"/>
      <c r="AUA12" s="74"/>
      <c r="AUB12" s="72"/>
      <c r="AUI12" s="74"/>
      <c r="AUJ12" s="72"/>
      <c r="AUQ12" s="74"/>
      <c r="AUR12" s="72"/>
      <c r="AUY12" s="74"/>
      <c r="AUZ12" s="72"/>
      <c r="AVG12" s="74"/>
      <c r="AVH12" s="72"/>
      <c r="AVO12" s="74"/>
      <c r="AVP12" s="72"/>
      <c r="AVW12" s="74"/>
      <c r="AVX12" s="72"/>
      <c r="AWE12" s="74"/>
      <c r="AWF12" s="72"/>
      <c r="AWM12" s="74"/>
      <c r="AWN12" s="72"/>
      <c r="AWU12" s="74"/>
      <c r="AWV12" s="72"/>
      <c r="AXC12" s="74"/>
      <c r="AXD12" s="72"/>
      <c r="AXK12" s="74"/>
      <c r="AXL12" s="72"/>
      <c r="AXS12" s="74"/>
      <c r="AXT12" s="72"/>
      <c r="AYA12" s="74"/>
      <c r="AYB12" s="72"/>
      <c r="AYI12" s="74"/>
      <c r="AYJ12" s="72"/>
      <c r="AYQ12" s="74"/>
      <c r="AYR12" s="72"/>
      <c r="AYY12" s="74"/>
      <c r="AYZ12" s="72"/>
      <c r="AZG12" s="74"/>
      <c r="AZH12" s="72"/>
      <c r="AZO12" s="74"/>
      <c r="AZP12" s="72"/>
      <c r="AZW12" s="74"/>
      <c r="AZX12" s="72"/>
      <c r="BAE12" s="74"/>
      <c r="BAF12" s="72"/>
      <c r="BAM12" s="74"/>
      <c r="BAN12" s="72"/>
      <c r="BAU12" s="74"/>
      <c r="BAV12" s="72"/>
      <c r="BBC12" s="74"/>
      <c r="BBD12" s="72"/>
      <c r="BBK12" s="74"/>
      <c r="BBL12" s="72"/>
      <c r="BBS12" s="74"/>
      <c r="BBT12" s="72"/>
      <c r="BCA12" s="74"/>
      <c r="BCB12" s="72"/>
      <c r="BCI12" s="74"/>
      <c r="BCJ12" s="72"/>
      <c r="BCQ12" s="74"/>
      <c r="BCR12" s="72"/>
      <c r="BCY12" s="74"/>
      <c r="BCZ12" s="72"/>
      <c r="BDG12" s="74"/>
      <c r="BDH12" s="72"/>
      <c r="BDO12" s="74"/>
      <c r="BDP12" s="72"/>
      <c r="BDW12" s="74"/>
      <c r="BDX12" s="72"/>
      <c r="BEE12" s="74"/>
      <c r="BEF12" s="72"/>
      <c r="BEM12" s="74"/>
      <c r="BEN12" s="72"/>
      <c r="BEU12" s="74"/>
      <c r="BEV12" s="72"/>
      <c r="BFC12" s="74"/>
      <c r="BFD12" s="72"/>
      <c r="BFK12" s="74"/>
      <c r="BFL12" s="72"/>
      <c r="BFS12" s="74"/>
      <c r="BFT12" s="72"/>
      <c r="BGA12" s="74"/>
      <c r="BGB12" s="72"/>
      <c r="BGI12" s="74"/>
      <c r="BGJ12" s="72"/>
      <c r="BGQ12" s="74"/>
      <c r="BGR12" s="72"/>
      <c r="BGY12" s="74"/>
      <c r="BGZ12" s="72"/>
      <c r="BHG12" s="74"/>
      <c r="BHH12" s="72"/>
      <c r="BHO12" s="74"/>
      <c r="BHP12" s="72"/>
      <c r="BHW12" s="74"/>
      <c r="BHX12" s="72"/>
      <c r="BIE12" s="74"/>
      <c r="BIF12" s="72"/>
      <c r="BIM12" s="74"/>
      <c r="BIN12" s="72"/>
      <c r="BIU12" s="74"/>
      <c r="BIV12" s="72"/>
      <c r="BJC12" s="74"/>
      <c r="BJD12" s="72"/>
      <c r="BJK12" s="74"/>
      <c r="BJL12" s="72"/>
      <c r="BJS12" s="74"/>
      <c r="BJT12" s="72"/>
      <c r="BKA12" s="74"/>
      <c r="BKB12" s="72"/>
      <c r="BKI12" s="74"/>
      <c r="BKJ12" s="72"/>
      <c r="BKQ12" s="74"/>
      <c r="BKR12" s="72"/>
      <c r="BKY12" s="74"/>
      <c r="BKZ12" s="72"/>
      <c r="BLG12" s="74"/>
      <c r="BLH12" s="72"/>
      <c r="BLO12" s="74"/>
      <c r="BLP12" s="72"/>
      <c r="BLW12" s="74"/>
      <c r="BLX12" s="72"/>
      <c r="BME12" s="74"/>
      <c r="BMF12" s="72"/>
      <c r="BMM12" s="74"/>
      <c r="BMN12" s="72"/>
      <c r="BMU12" s="74"/>
      <c r="BMV12" s="72"/>
      <c r="BNC12" s="74"/>
      <c r="BND12" s="72"/>
      <c r="BNK12" s="74"/>
      <c r="BNL12" s="72"/>
      <c r="BNS12" s="74"/>
      <c r="BNT12" s="72"/>
      <c r="BOA12" s="74"/>
      <c r="BOB12" s="72"/>
      <c r="BOI12" s="74"/>
      <c r="BOJ12" s="72"/>
      <c r="BOQ12" s="74"/>
      <c r="BOR12" s="72"/>
      <c r="BOY12" s="74"/>
      <c r="BOZ12" s="72"/>
      <c r="BPG12" s="74"/>
      <c r="BPH12" s="72"/>
      <c r="BPO12" s="74"/>
      <c r="BPP12" s="72"/>
      <c r="BPW12" s="74"/>
      <c r="BPX12" s="72"/>
      <c r="BQE12" s="74"/>
      <c r="BQF12" s="72"/>
      <c r="BQM12" s="74"/>
      <c r="BQN12" s="72"/>
      <c r="BQU12" s="74"/>
      <c r="BQV12" s="72"/>
      <c r="BRC12" s="74"/>
      <c r="BRD12" s="72"/>
      <c r="BRK12" s="74"/>
      <c r="BRL12" s="72"/>
      <c r="BRS12" s="74"/>
      <c r="BRT12" s="72"/>
      <c r="BSA12" s="74"/>
      <c r="BSB12" s="72"/>
      <c r="BSI12" s="74"/>
      <c r="BSJ12" s="72"/>
      <c r="BSQ12" s="74"/>
      <c r="BSR12" s="72"/>
      <c r="BSY12" s="74"/>
      <c r="BSZ12" s="72"/>
      <c r="BTG12" s="74"/>
      <c r="BTH12" s="72"/>
      <c r="BTO12" s="74"/>
      <c r="BTP12" s="72"/>
      <c r="BTW12" s="74"/>
      <c r="BTX12" s="72"/>
      <c r="BUE12" s="74"/>
      <c r="BUF12" s="72"/>
      <c r="BUM12" s="74"/>
      <c r="BUN12" s="72"/>
      <c r="BUU12" s="74"/>
      <c r="BUV12" s="72"/>
      <c r="BVC12" s="74"/>
      <c r="BVD12" s="72"/>
      <c r="BVK12" s="74"/>
      <c r="BVL12" s="72"/>
      <c r="BVS12" s="74"/>
      <c r="BVT12" s="72"/>
      <c r="BWA12" s="74"/>
      <c r="BWB12" s="72"/>
      <c r="BWI12" s="74"/>
      <c r="BWJ12" s="72"/>
      <c r="BWQ12" s="74"/>
      <c r="BWR12" s="72"/>
      <c r="BWY12" s="74"/>
      <c r="BWZ12" s="72"/>
      <c r="BXG12" s="74"/>
      <c r="BXH12" s="72"/>
      <c r="BXO12" s="74"/>
      <c r="BXP12" s="72"/>
      <c r="BXW12" s="74"/>
      <c r="BXX12" s="72"/>
      <c r="BYE12" s="74"/>
      <c r="BYF12" s="72"/>
      <c r="BYM12" s="74"/>
      <c r="BYN12" s="72"/>
      <c r="BYU12" s="74"/>
      <c r="BYV12" s="72"/>
      <c r="BZC12" s="74"/>
      <c r="BZD12" s="72"/>
      <c r="BZK12" s="74"/>
      <c r="BZL12" s="72"/>
      <c r="BZS12" s="74"/>
      <c r="BZT12" s="72"/>
      <c r="CAA12" s="74"/>
      <c r="CAB12" s="72"/>
      <c r="CAI12" s="74"/>
      <c r="CAJ12" s="72"/>
      <c r="CAQ12" s="74"/>
      <c r="CAR12" s="72"/>
      <c r="CAY12" s="74"/>
      <c r="CAZ12" s="72"/>
      <c r="CBG12" s="74"/>
      <c r="CBH12" s="72"/>
      <c r="CBO12" s="74"/>
      <c r="CBP12" s="72"/>
      <c r="CBW12" s="74"/>
      <c r="CBX12" s="72"/>
      <c r="CCE12" s="74"/>
      <c r="CCF12" s="72"/>
      <c r="CCM12" s="74"/>
      <c r="CCN12" s="72"/>
      <c r="CCU12" s="74"/>
      <c r="CCV12" s="72"/>
      <c r="CDC12" s="74"/>
      <c r="CDD12" s="72"/>
      <c r="CDK12" s="74"/>
      <c r="CDL12" s="72"/>
      <c r="CDS12" s="74"/>
      <c r="CDT12" s="72"/>
      <c r="CEA12" s="74"/>
      <c r="CEB12" s="72"/>
      <c r="CEI12" s="74"/>
      <c r="CEJ12" s="72"/>
      <c r="CEQ12" s="74"/>
      <c r="CER12" s="72"/>
      <c r="CEY12" s="74"/>
      <c r="CEZ12" s="72"/>
      <c r="CFG12" s="74"/>
      <c r="CFH12" s="72"/>
      <c r="CFO12" s="74"/>
      <c r="CFP12" s="72"/>
      <c r="CFW12" s="74"/>
      <c r="CFX12" s="72"/>
      <c r="CGE12" s="74"/>
      <c r="CGF12" s="72"/>
      <c r="CGM12" s="74"/>
      <c r="CGN12" s="72"/>
      <c r="CGU12" s="74"/>
      <c r="CGV12" s="72"/>
      <c r="CHC12" s="74"/>
      <c r="CHD12" s="72"/>
      <c r="CHK12" s="74"/>
      <c r="CHL12" s="72"/>
      <c r="CHS12" s="74"/>
      <c r="CHT12" s="72"/>
      <c r="CIA12" s="74"/>
      <c r="CIB12" s="72"/>
      <c r="CII12" s="74"/>
      <c r="CIJ12" s="72"/>
      <c r="CIQ12" s="74"/>
      <c r="CIR12" s="72"/>
      <c r="CIY12" s="74"/>
      <c r="CIZ12" s="72"/>
      <c r="CJG12" s="74"/>
      <c r="CJH12" s="72"/>
      <c r="CJO12" s="74"/>
      <c r="CJP12" s="72"/>
      <c r="CJW12" s="74"/>
      <c r="CJX12" s="72"/>
      <c r="CKE12" s="74"/>
      <c r="CKF12" s="72"/>
      <c r="CKM12" s="74"/>
      <c r="CKN12" s="72"/>
      <c r="CKU12" s="74"/>
      <c r="CKV12" s="72"/>
      <c r="CLC12" s="74"/>
      <c r="CLD12" s="72"/>
      <c r="CLK12" s="74"/>
      <c r="CLL12" s="72"/>
      <c r="CLS12" s="74"/>
      <c r="CLT12" s="72"/>
      <c r="CMA12" s="74"/>
      <c r="CMB12" s="72"/>
      <c r="CMI12" s="74"/>
      <c r="CMJ12" s="72"/>
      <c r="CMQ12" s="74"/>
      <c r="CMR12" s="72"/>
      <c r="CMY12" s="74"/>
      <c r="CMZ12" s="72"/>
      <c r="CNG12" s="74"/>
      <c r="CNH12" s="72"/>
      <c r="CNO12" s="74"/>
      <c r="CNP12" s="72"/>
      <c r="CNW12" s="74"/>
      <c r="CNX12" s="72"/>
      <c r="COE12" s="74"/>
      <c r="COF12" s="72"/>
      <c r="COM12" s="74"/>
      <c r="CON12" s="72"/>
      <c r="COU12" s="74"/>
      <c r="COV12" s="72"/>
      <c r="CPC12" s="74"/>
      <c r="CPD12" s="72"/>
      <c r="CPK12" s="74"/>
      <c r="CPL12" s="72"/>
      <c r="CPS12" s="74"/>
      <c r="CPT12" s="72"/>
      <c r="CQA12" s="74"/>
      <c r="CQB12" s="72"/>
      <c r="CQI12" s="74"/>
      <c r="CQJ12" s="72"/>
      <c r="CQQ12" s="74"/>
      <c r="CQR12" s="72"/>
      <c r="CQY12" s="74"/>
      <c r="CQZ12" s="72"/>
      <c r="CRG12" s="74"/>
      <c r="CRH12" s="72"/>
      <c r="CRO12" s="74"/>
      <c r="CRP12" s="72"/>
      <c r="CRW12" s="74"/>
      <c r="CRX12" s="72"/>
      <c r="CSE12" s="74"/>
      <c r="CSF12" s="72"/>
      <c r="CSM12" s="74"/>
      <c r="CSN12" s="72"/>
      <c r="CSU12" s="74"/>
      <c r="CSV12" s="72"/>
      <c r="CTC12" s="74"/>
      <c r="CTD12" s="72"/>
      <c r="CTK12" s="74"/>
      <c r="CTL12" s="72"/>
      <c r="CTS12" s="74"/>
      <c r="CTT12" s="72"/>
      <c r="CUA12" s="74"/>
      <c r="CUB12" s="72"/>
      <c r="CUI12" s="74"/>
      <c r="CUJ12" s="72"/>
      <c r="CUQ12" s="74"/>
      <c r="CUR12" s="72"/>
      <c r="CUY12" s="74"/>
      <c r="CUZ12" s="72"/>
      <c r="CVG12" s="74"/>
      <c r="CVH12" s="72"/>
      <c r="CVO12" s="74"/>
      <c r="CVP12" s="72"/>
      <c r="CVW12" s="74"/>
      <c r="CVX12" s="72"/>
      <c r="CWE12" s="74"/>
      <c r="CWF12" s="72"/>
      <c r="CWM12" s="74"/>
      <c r="CWN12" s="72"/>
      <c r="CWU12" s="74"/>
      <c r="CWV12" s="72"/>
      <c r="CXC12" s="74"/>
      <c r="CXD12" s="72"/>
      <c r="CXK12" s="74"/>
      <c r="CXL12" s="72"/>
      <c r="CXS12" s="74"/>
      <c r="CXT12" s="72"/>
      <c r="CYA12" s="74"/>
      <c r="CYB12" s="72"/>
      <c r="CYI12" s="74"/>
      <c r="CYJ12" s="72"/>
      <c r="CYQ12" s="74"/>
      <c r="CYR12" s="72"/>
      <c r="CYY12" s="74"/>
      <c r="CYZ12" s="72"/>
      <c r="CZG12" s="74"/>
      <c r="CZH12" s="72"/>
      <c r="CZO12" s="74"/>
      <c r="CZP12" s="72"/>
      <c r="CZW12" s="74"/>
      <c r="CZX12" s="72"/>
      <c r="DAE12" s="74"/>
      <c r="DAF12" s="72"/>
      <c r="DAM12" s="74"/>
      <c r="DAN12" s="72"/>
      <c r="DAU12" s="74"/>
      <c r="DAV12" s="72"/>
      <c r="DBC12" s="74"/>
      <c r="DBD12" s="72"/>
      <c r="DBK12" s="74"/>
      <c r="DBL12" s="72"/>
      <c r="DBS12" s="74"/>
      <c r="DBT12" s="72"/>
      <c r="DCA12" s="74"/>
      <c r="DCB12" s="72"/>
      <c r="DCI12" s="74"/>
      <c r="DCJ12" s="72"/>
      <c r="DCQ12" s="74"/>
      <c r="DCR12" s="72"/>
      <c r="DCY12" s="74"/>
      <c r="DCZ12" s="72"/>
      <c r="DDG12" s="74"/>
      <c r="DDH12" s="72"/>
      <c r="DDO12" s="74"/>
      <c r="DDP12" s="72"/>
      <c r="DDW12" s="74"/>
      <c r="DDX12" s="72"/>
      <c r="DEE12" s="74"/>
      <c r="DEF12" s="72"/>
      <c r="DEM12" s="74"/>
      <c r="DEN12" s="72"/>
      <c r="DEU12" s="74"/>
      <c r="DEV12" s="72"/>
      <c r="DFC12" s="74"/>
      <c r="DFD12" s="72"/>
      <c r="DFK12" s="74"/>
      <c r="DFL12" s="72"/>
      <c r="DFS12" s="74"/>
      <c r="DFT12" s="72"/>
      <c r="DGA12" s="74"/>
      <c r="DGB12" s="72"/>
      <c r="DGI12" s="74"/>
      <c r="DGJ12" s="72"/>
      <c r="DGQ12" s="74"/>
      <c r="DGR12" s="72"/>
      <c r="DGY12" s="74"/>
      <c r="DGZ12" s="72"/>
      <c r="DHG12" s="74"/>
      <c r="DHH12" s="72"/>
      <c r="DHO12" s="74"/>
      <c r="DHP12" s="72"/>
      <c r="DHW12" s="74"/>
      <c r="DHX12" s="72"/>
      <c r="DIE12" s="74"/>
      <c r="DIF12" s="72"/>
      <c r="DIM12" s="74"/>
      <c r="DIN12" s="72"/>
      <c r="DIU12" s="74"/>
      <c r="DIV12" s="72"/>
      <c r="DJC12" s="74"/>
      <c r="DJD12" s="72"/>
      <c r="DJK12" s="74"/>
      <c r="DJL12" s="72"/>
      <c r="DJS12" s="74"/>
      <c r="DJT12" s="72"/>
      <c r="DKA12" s="74"/>
      <c r="DKB12" s="72"/>
      <c r="DKI12" s="74"/>
      <c r="DKJ12" s="72"/>
      <c r="DKQ12" s="74"/>
      <c r="DKR12" s="72"/>
      <c r="DKY12" s="74"/>
      <c r="DKZ12" s="72"/>
      <c r="DLG12" s="74"/>
      <c r="DLH12" s="72"/>
      <c r="DLO12" s="74"/>
      <c r="DLP12" s="72"/>
      <c r="DLW12" s="74"/>
      <c r="DLX12" s="72"/>
      <c r="DME12" s="74"/>
      <c r="DMF12" s="72"/>
      <c r="DMM12" s="74"/>
      <c r="DMN12" s="72"/>
      <c r="DMU12" s="74"/>
      <c r="DMV12" s="72"/>
      <c r="DNC12" s="74"/>
      <c r="DND12" s="72"/>
      <c r="DNK12" s="74"/>
      <c r="DNL12" s="72"/>
      <c r="DNS12" s="74"/>
      <c r="DNT12" s="72"/>
      <c r="DOA12" s="74"/>
      <c r="DOB12" s="72"/>
      <c r="DOI12" s="74"/>
      <c r="DOJ12" s="72"/>
      <c r="DOQ12" s="74"/>
      <c r="DOR12" s="72"/>
      <c r="DOY12" s="74"/>
      <c r="DOZ12" s="72"/>
      <c r="DPG12" s="74"/>
      <c r="DPH12" s="72"/>
      <c r="DPO12" s="74"/>
      <c r="DPP12" s="72"/>
      <c r="DPW12" s="74"/>
      <c r="DPX12" s="72"/>
      <c r="DQE12" s="74"/>
      <c r="DQF12" s="72"/>
      <c r="DQM12" s="74"/>
      <c r="DQN12" s="72"/>
      <c r="DQU12" s="74"/>
      <c r="DQV12" s="72"/>
      <c r="DRC12" s="74"/>
      <c r="DRD12" s="72"/>
      <c r="DRK12" s="74"/>
      <c r="DRL12" s="72"/>
      <c r="DRS12" s="74"/>
      <c r="DRT12" s="72"/>
      <c r="DSA12" s="74"/>
      <c r="DSB12" s="72"/>
      <c r="DSI12" s="74"/>
      <c r="DSJ12" s="72"/>
      <c r="DSQ12" s="74"/>
      <c r="DSR12" s="72"/>
      <c r="DSY12" s="74"/>
      <c r="DSZ12" s="72"/>
      <c r="DTG12" s="74"/>
      <c r="DTH12" s="72"/>
      <c r="DTO12" s="74"/>
      <c r="DTP12" s="72"/>
      <c r="DTW12" s="74"/>
      <c r="DTX12" s="72"/>
      <c r="DUE12" s="74"/>
      <c r="DUF12" s="72"/>
      <c r="DUM12" s="74"/>
      <c r="DUN12" s="72"/>
      <c r="DUU12" s="74"/>
      <c r="DUV12" s="72"/>
      <c r="DVC12" s="74"/>
      <c r="DVD12" s="72"/>
      <c r="DVK12" s="74"/>
      <c r="DVL12" s="72"/>
      <c r="DVS12" s="74"/>
      <c r="DVT12" s="72"/>
      <c r="DWA12" s="74"/>
      <c r="DWB12" s="72"/>
      <c r="DWI12" s="74"/>
      <c r="DWJ12" s="72"/>
      <c r="DWQ12" s="74"/>
      <c r="DWR12" s="72"/>
      <c r="DWY12" s="74"/>
      <c r="DWZ12" s="72"/>
      <c r="DXG12" s="74"/>
      <c r="DXH12" s="72"/>
      <c r="DXO12" s="74"/>
      <c r="DXP12" s="72"/>
      <c r="DXW12" s="74"/>
      <c r="DXX12" s="72"/>
      <c r="DYE12" s="74"/>
      <c r="DYF12" s="72"/>
      <c r="DYM12" s="74"/>
      <c r="DYN12" s="72"/>
      <c r="DYU12" s="74"/>
      <c r="DYV12" s="72"/>
      <c r="DZC12" s="74"/>
      <c r="DZD12" s="72"/>
      <c r="DZK12" s="74"/>
      <c r="DZL12" s="72"/>
      <c r="DZS12" s="74"/>
      <c r="DZT12" s="72"/>
      <c r="EAA12" s="74"/>
      <c r="EAB12" s="72"/>
      <c r="EAI12" s="74"/>
      <c r="EAJ12" s="72"/>
      <c r="EAQ12" s="74"/>
      <c r="EAR12" s="72"/>
      <c r="EAY12" s="74"/>
      <c r="EAZ12" s="72"/>
      <c r="EBG12" s="74"/>
      <c r="EBH12" s="72"/>
      <c r="EBO12" s="74"/>
      <c r="EBP12" s="72"/>
      <c r="EBW12" s="74"/>
      <c r="EBX12" s="72"/>
      <c r="ECE12" s="74"/>
      <c r="ECF12" s="72"/>
      <c r="ECM12" s="74"/>
      <c r="ECN12" s="72"/>
      <c r="ECU12" s="74"/>
      <c r="ECV12" s="72"/>
      <c r="EDC12" s="74"/>
      <c r="EDD12" s="72"/>
      <c r="EDK12" s="74"/>
      <c r="EDL12" s="72"/>
      <c r="EDS12" s="74"/>
      <c r="EDT12" s="72"/>
      <c r="EEA12" s="74"/>
      <c r="EEB12" s="72"/>
      <c r="EEI12" s="74"/>
      <c r="EEJ12" s="72"/>
      <c r="EEQ12" s="74"/>
      <c r="EER12" s="72"/>
      <c r="EEY12" s="74"/>
      <c r="EEZ12" s="72"/>
      <c r="EFG12" s="74"/>
      <c r="EFH12" s="72"/>
      <c r="EFO12" s="74"/>
      <c r="EFP12" s="72"/>
      <c r="EFW12" s="74"/>
      <c r="EFX12" s="72"/>
      <c r="EGE12" s="74"/>
      <c r="EGF12" s="72"/>
      <c r="EGM12" s="74"/>
      <c r="EGN12" s="72"/>
      <c r="EGU12" s="74"/>
      <c r="EGV12" s="72"/>
      <c r="EHC12" s="74"/>
      <c r="EHD12" s="72"/>
      <c r="EHK12" s="74"/>
      <c r="EHL12" s="72"/>
      <c r="EHS12" s="74"/>
      <c r="EHT12" s="72"/>
      <c r="EIA12" s="74"/>
      <c r="EIB12" s="72"/>
      <c r="EII12" s="74"/>
      <c r="EIJ12" s="72"/>
      <c r="EIQ12" s="74"/>
      <c r="EIR12" s="72"/>
      <c r="EIY12" s="74"/>
      <c r="EIZ12" s="72"/>
      <c r="EJG12" s="74"/>
      <c r="EJH12" s="72"/>
      <c r="EJO12" s="74"/>
      <c r="EJP12" s="72"/>
      <c r="EJW12" s="74"/>
      <c r="EJX12" s="72"/>
      <c r="EKE12" s="74"/>
      <c r="EKF12" s="72"/>
      <c r="EKM12" s="74"/>
      <c r="EKN12" s="72"/>
      <c r="EKU12" s="74"/>
      <c r="EKV12" s="72"/>
      <c r="ELC12" s="74"/>
      <c r="ELD12" s="72"/>
      <c r="ELK12" s="74"/>
      <c r="ELL12" s="72"/>
      <c r="ELS12" s="74"/>
      <c r="ELT12" s="72"/>
      <c r="EMA12" s="74"/>
      <c r="EMB12" s="72"/>
      <c r="EMI12" s="74"/>
      <c r="EMJ12" s="72"/>
      <c r="EMQ12" s="74"/>
      <c r="EMR12" s="72"/>
      <c r="EMY12" s="74"/>
      <c r="EMZ12" s="72"/>
      <c r="ENG12" s="74"/>
      <c r="ENH12" s="72"/>
      <c r="ENO12" s="74"/>
      <c r="ENP12" s="72"/>
      <c r="ENW12" s="74"/>
      <c r="ENX12" s="72"/>
      <c r="EOE12" s="74"/>
      <c r="EOF12" s="72"/>
      <c r="EOM12" s="74"/>
      <c r="EON12" s="72"/>
      <c r="EOU12" s="74"/>
      <c r="EOV12" s="72"/>
      <c r="EPC12" s="74"/>
      <c r="EPD12" s="72"/>
      <c r="EPK12" s="74"/>
      <c r="EPL12" s="72"/>
      <c r="EPS12" s="74"/>
      <c r="EPT12" s="72"/>
      <c r="EQA12" s="74"/>
      <c r="EQB12" s="72"/>
      <c r="EQI12" s="74"/>
      <c r="EQJ12" s="72"/>
      <c r="EQQ12" s="74"/>
      <c r="EQR12" s="72"/>
      <c r="EQY12" s="74"/>
      <c r="EQZ12" s="72"/>
      <c r="ERG12" s="74"/>
      <c r="ERH12" s="72"/>
      <c r="ERO12" s="74"/>
      <c r="ERP12" s="72"/>
      <c r="ERW12" s="74"/>
      <c r="ERX12" s="72"/>
      <c r="ESE12" s="74"/>
      <c r="ESF12" s="72"/>
      <c r="ESM12" s="74"/>
      <c r="ESN12" s="72"/>
      <c r="ESU12" s="74"/>
      <c r="ESV12" s="72"/>
      <c r="ETC12" s="74"/>
      <c r="ETD12" s="72"/>
      <c r="ETK12" s="74"/>
      <c r="ETL12" s="72"/>
      <c r="ETS12" s="74"/>
      <c r="ETT12" s="72"/>
      <c r="EUA12" s="74"/>
      <c r="EUB12" s="72"/>
      <c r="EUI12" s="74"/>
      <c r="EUJ12" s="72"/>
      <c r="EUQ12" s="74"/>
      <c r="EUR12" s="72"/>
      <c r="EUY12" s="74"/>
      <c r="EUZ12" s="72"/>
      <c r="EVG12" s="74"/>
      <c r="EVH12" s="72"/>
      <c r="EVO12" s="74"/>
      <c r="EVP12" s="72"/>
      <c r="EVW12" s="74"/>
      <c r="EVX12" s="72"/>
      <c r="EWE12" s="74"/>
      <c r="EWF12" s="72"/>
      <c r="EWM12" s="74"/>
      <c r="EWN12" s="72"/>
      <c r="EWU12" s="74"/>
      <c r="EWV12" s="72"/>
      <c r="EXC12" s="74"/>
      <c r="EXD12" s="72"/>
      <c r="EXK12" s="74"/>
      <c r="EXL12" s="72"/>
      <c r="EXS12" s="74"/>
      <c r="EXT12" s="72"/>
      <c r="EYA12" s="74"/>
      <c r="EYB12" s="72"/>
      <c r="EYI12" s="74"/>
      <c r="EYJ12" s="72"/>
      <c r="EYQ12" s="74"/>
      <c r="EYR12" s="72"/>
      <c r="EYY12" s="74"/>
      <c r="EYZ12" s="72"/>
      <c r="EZG12" s="74"/>
      <c r="EZH12" s="72"/>
      <c r="EZO12" s="74"/>
      <c r="EZP12" s="72"/>
      <c r="EZW12" s="74"/>
      <c r="EZX12" s="72"/>
      <c r="FAE12" s="74"/>
      <c r="FAF12" s="72"/>
      <c r="FAM12" s="74"/>
      <c r="FAN12" s="72"/>
      <c r="FAU12" s="74"/>
      <c r="FAV12" s="72"/>
      <c r="FBC12" s="74"/>
      <c r="FBD12" s="72"/>
      <c r="FBK12" s="74"/>
      <c r="FBL12" s="72"/>
      <c r="FBS12" s="74"/>
      <c r="FBT12" s="72"/>
      <c r="FCA12" s="74"/>
      <c r="FCB12" s="72"/>
      <c r="FCI12" s="74"/>
      <c r="FCJ12" s="72"/>
      <c r="FCQ12" s="74"/>
      <c r="FCR12" s="72"/>
      <c r="FCY12" s="74"/>
      <c r="FCZ12" s="72"/>
      <c r="FDG12" s="74"/>
      <c r="FDH12" s="72"/>
      <c r="FDO12" s="74"/>
      <c r="FDP12" s="72"/>
      <c r="FDW12" s="74"/>
      <c r="FDX12" s="72"/>
      <c r="FEE12" s="74"/>
      <c r="FEF12" s="72"/>
      <c r="FEM12" s="74"/>
      <c r="FEN12" s="72"/>
      <c r="FEU12" s="74"/>
      <c r="FEV12" s="72"/>
      <c r="FFC12" s="74"/>
      <c r="FFD12" s="72"/>
      <c r="FFK12" s="74"/>
      <c r="FFL12" s="72"/>
      <c r="FFS12" s="74"/>
      <c r="FFT12" s="72"/>
      <c r="FGA12" s="74"/>
      <c r="FGB12" s="72"/>
      <c r="FGI12" s="74"/>
      <c r="FGJ12" s="72"/>
      <c r="FGQ12" s="74"/>
      <c r="FGR12" s="72"/>
      <c r="FGY12" s="74"/>
      <c r="FGZ12" s="72"/>
      <c r="FHG12" s="74"/>
      <c r="FHH12" s="72"/>
      <c r="FHO12" s="74"/>
      <c r="FHP12" s="72"/>
      <c r="FHW12" s="74"/>
      <c r="FHX12" s="72"/>
      <c r="FIE12" s="74"/>
      <c r="FIF12" s="72"/>
      <c r="FIM12" s="74"/>
      <c r="FIN12" s="72"/>
      <c r="FIU12" s="74"/>
      <c r="FIV12" s="72"/>
      <c r="FJC12" s="74"/>
      <c r="FJD12" s="72"/>
      <c r="FJK12" s="74"/>
      <c r="FJL12" s="72"/>
      <c r="FJS12" s="74"/>
      <c r="FJT12" s="72"/>
      <c r="FKA12" s="74"/>
      <c r="FKB12" s="72"/>
      <c r="FKI12" s="74"/>
      <c r="FKJ12" s="72"/>
      <c r="FKQ12" s="74"/>
      <c r="FKR12" s="72"/>
      <c r="FKY12" s="74"/>
      <c r="FKZ12" s="72"/>
      <c r="FLG12" s="74"/>
      <c r="FLH12" s="72"/>
      <c r="FLO12" s="74"/>
      <c r="FLP12" s="72"/>
      <c r="FLW12" s="74"/>
      <c r="FLX12" s="72"/>
      <c r="FME12" s="74"/>
      <c r="FMF12" s="72"/>
      <c r="FMM12" s="74"/>
      <c r="FMN12" s="72"/>
      <c r="FMU12" s="74"/>
      <c r="FMV12" s="72"/>
      <c r="FNC12" s="74"/>
      <c r="FND12" s="72"/>
      <c r="FNK12" s="74"/>
      <c r="FNL12" s="72"/>
      <c r="FNS12" s="74"/>
      <c r="FNT12" s="72"/>
      <c r="FOA12" s="74"/>
      <c r="FOB12" s="72"/>
      <c r="FOI12" s="74"/>
      <c r="FOJ12" s="72"/>
      <c r="FOQ12" s="74"/>
      <c r="FOR12" s="72"/>
      <c r="FOY12" s="74"/>
      <c r="FOZ12" s="72"/>
      <c r="FPG12" s="74"/>
      <c r="FPH12" s="72"/>
      <c r="FPO12" s="74"/>
      <c r="FPP12" s="72"/>
      <c r="FPW12" s="74"/>
      <c r="FPX12" s="72"/>
      <c r="FQE12" s="74"/>
      <c r="FQF12" s="72"/>
      <c r="FQM12" s="74"/>
      <c r="FQN12" s="72"/>
      <c r="FQU12" s="74"/>
      <c r="FQV12" s="72"/>
      <c r="FRC12" s="74"/>
      <c r="FRD12" s="72"/>
      <c r="FRK12" s="74"/>
      <c r="FRL12" s="72"/>
      <c r="FRS12" s="74"/>
      <c r="FRT12" s="72"/>
      <c r="FSA12" s="74"/>
      <c r="FSB12" s="72"/>
      <c r="FSI12" s="74"/>
      <c r="FSJ12" s="72"/>
      <c r="FSQ12" s="74"/>
      <c r="FSR12" s="72"/>
      <c r="FSY12" s="74"/>
      <c r="FSZ12" s="72"/>
      <c r="FTG12" s="74"/>
      <c r="FTH12" s="72"/>
      <c r="FTO12" s="74"/>
      <c r="FTP12" s="72"/>
      <c r="FTW12" s="74"/>
      <c r="FTX12" s="72"/>
      <c r="FUE12" s="74"/>
      <c r="FUF12" s="72"/>
      <c r="FUM12" s="74"/>
      <c r="FUN12" s="72"/>
      <c r="FUU12" s="74"/>
      <c r="FUV12" s="72"/>
      <c r="FVC12" s="74"/>
      <c r="FVD12" s="72"/>
      <c r="FVK12" s="74"/>
      <c r="FVL12" s="72"/>
      <c r="FVS12" s="74"/>
      <c r="FVT12" s="72"/>
      <c r="FWA12" s="74"/>
      <c r="FWB12" s="72"/>
      <c r="FWI12" s="74"/>
      <c r="FWJ12" s="72"/>
      <c r="FWQ12" s="74"/>
      <c r="FWR12" s="72"/>
      <c r="FWY12" s="74"/>
      <c r="FWZ12" s="72"/>
      <c r="FXG12" s="74"/>
      <c r="FXH12" s="72"/>
      <c r="FXO12" s="74"/>
      <c r="FXP12" s="72"/>
      <c r="FXW12" s="74"/>
      <c r="FXX12" s="72"/>
      <c r="FYE12" s="74"/>
      <c r="FYF12" s="72"/>
      <c r="FYM12" s="74"/>
      <c r="FYN12" s="72"/>
      <c r="FYU12" s="74"/>
      <c r="FYV12" s="72"/>
      <c r="FZC12" s="74"/>
      <c r="FZD12" s="72"/>
      <c r="FZK12" s="74"/>
      <c r="FZL12" s="72"/>
      <c r="FZS12" s="74"/>
      <c r="FZT12" s="72"/>
      <c r="GAA12" s="74"/>
      <c r="GAB12" s="72"/>
      <c r="GAI12" s="74"/>
      <c r="GAJ12" s="72"/>
      <c r="GAQ12" s="74"/>
      <c r="GAR12" s="72"/>
      <c r="GAY12" s="74"/>
      <c r="GAZ12" s="72"/>
      <c r="GBG12" s="74"/>
      <c r="GBH12" s="72"/>
      <c r="GBO12" s="74"/>
      <c r="GBP12" s="72"/>
      <c r="GBW12" s="74"/>
      <c r="GBX12" s="72"/>
      <c r="GCE12" s="74"/>
      <c r="GCF12" s="72"/>
      <c r="GCM12" s="74"/>
      <c r="GCN12" s="72"/>
      <c r="GCU12" s="74"/>
      <c r="GCV12" s="72"/>
      <c r="GDC12" s="74"/>
      <c r="GDD12" s="72"/>
      <c r="GDK12" s="74"/>
      <c r="GDL12" s="72"/>
      <c r="GDS12" s="74"/>
      <c r="GDT12" s="72"/>
      <c r="GEA12" s="74"/>
      <c r="GEB12" s="72"/>
      <c r="GEI12" s="74"/>
      <c r="GEJ12" s="72"/>
      <c r="GEQ12" s="74"/>
      <c r="GER12" s="72"/>
      <c r="GEY12" s="74"/>
      <c r="GEZ12" s="72"/>
      <c r="GFG12" s="74"/>
      <c r="GFH12" s="72"/>
      <c r="GFO12" s="74"/>
      <c r="GFP12" s="72"/>
      <c r="GFW12" s="74"/>
      <c r="GFX12" s="72"/>
      <c r="GGE12" s="74"/>
      <c r="GGF12" s="72"/>
      <c r="GGM12" s="74"/>
      <c r="GGN12" s="72"/>
      <c r="GGU12" s="74"/>
      <c r="GGV12" s="72"/>
      <c r="GHC12" s="74"/>
      <c r="GHD12" s="72"/>
      <c r="GHK12" s="74"/>
      <c r="GHL12" s="72"/>
      <c r="GHS12" s="74"/>
      <c r="GHT12" s="72"/>
      <c r="GIA12" s="74"/>
      <c r="GIB12" s="72"/>
      <c r="GII12" s="74"/>
      <c r="GIJ12" s="72"/>
      <c r="GIQ12" s="74"/>
      <c r="GIR12" s="72"/>
      <c r="GIY12" s="74"/>
      <c r="GIZ12" s="72"/>
      <c r="GJG12" s="74"/>
      <c r="GJH12" s="72"/>
      <c r="GJO12" s="74"/>
      <c r="GJP12" s="72"/>
      <c r="GJW12" s="74"/>
      <c r="GJX12" s="72"/>
      <c r="GKE12" s="74"/>
      <c r="GKF12" s="72"/>
      <c r="GKM12" s="74"/>
      <c r="GKN12" s="72"/>
      <c r="GKU12" s="74"/>
      <c r="GKV12" s="72"/>
      <c r="GLC12" s="74"/>
      <c r="GLD12" s="72"/>
      <c r="GLK12" s="74"/>
      <c r="GLL12" s="72"/>
      <c r="GLS12" s="74"/>
      <c r="GLT12" s="72"/>
      <c r="GMA12" s="74"/>
      <c r="GMB12" s="72"/>
      <c r="GMI12" s="74"/>
      <c r="GMJ12" s="72"/>
      <c r="GMQ12" s="74"/>
      <c r="GMR12" s="72"/>
      <c r="GMY12" s="74"/>
      <c r="GMZ12" s="72"/>
      <c r="GNG12" s="74"/>
      <c r="GNH12" s="72"/>
      <c r="GNO12" s="74"/>
      <c r="GNP12" s="72"/>
      <c r="GNW12" s="74"/>
      <c r="GNX12" s="72"/>
      <c r="GOE12" s="74"/>
      <c r="GOF12" s="72"/>
      <c r="GOM12" s="74"/>
      <c r="GON12" s="72"/>
      <c r="GOU12" s="74"/>
      <c r="GOV12" s="72"/>
      <c r="GPC12" s="74"/>
      <c r="GPD12" s="72"/>
      <c r="GPK12" s="74"/>
      <c r="GPL12" s="72"/>
      <c r="GPS12" s="74"/>
      <c r="GPT12" s="72"/>
      <c r="GQA12" s="74"/>
      <c r="GQB12" s="72"/>
      <c r="GQI12" s="74"/>
      <c r="GQJ12" s="72"/>
      <c r="GQQ12" s="74"/>
      <c r="GQR12" s="72"/>
      <c r="GQY12" s="74"/>
      <c r="GQZ12" s="72"/>
      <c r="GRG12" s="74"/>
      <c r="GRH12" s="72"/>
      <c r="GRO12" s="74"/>
      <c r="GRP12" s="72"/>
      <c r="GRW12" s="74"/>
      <c r="GRX12" s="72"/>
      <c r="GSE12" s="74"/>
      <c r="GSF12" s="72"/>
      <c r="GSM12" s="74"/>
      <c r="GSN12" s="72"/>
      <c r="GSU12" s="74"/>
      <c r="GSV12" s="72"/>
      <c r="GTC12" s="74"/>
      <c r="GTD12" s="72"/>
      <c r="GTK12" s="74"/>
      <c r="GTL12" s="72"/>
      <c r="GTS12" s="74"/>
      <c r="GTT12" s="72"/>
      <c r="GUA12" s="74"/>
      <c r="GUB12" s="72"/>
      <c r="GUI12" s="74"/>
      <c r="GUJ12" s="72"/>
      <c r="GUQ12" s="74"/>
      <c r="GUR12" s="72"/>
      <c r="GUY12" s="74"/>
      <c r="GUZ12" s="72"/>
      <c r="GVG12" s="74"/>
      <c r="GVH12" s="72"/>
      <c r="GVO12" s="74"/>
      <c r="GVP12" s="72"/>
      <c r="GVW12" s="74"/>
      <c r="GVX12" s="72"/>
      <c r="GWE12" s="74"/>
      <c r="GWF12" s="72"/>
      <c r="GWM12" s="74"/>
      <c r="GWN12" s="72"/>
      <c r="GWU12" s="74"/>
      <c r="GWV12" s="72"/>
      <c r="GXC12" s="74"/>
      <c r="GXD12" s="72"/>
      <c r="GXK12" s="74"/>
      <c r="GXL12" s="72"/>
      <c r="GXS12" s="74"/>
      <c r="GXT12" s="72"/>
      <c r="GYA12" s="74"/>
      <c r="GYB12" s="72"/>
      <c r="GYI12" s="74"/>
      <c r="GYJ12" s="72"/>
      <c r="GYQ12" s="74"/>
      <c r="GYR12" s="72"/>
      <c r="GYY12" s="74"/>
      <c r="GYZ12" s="72"/>
      <c r="GZG12" s="74"/>
      <c r="GZH12" s="72"/>
      <c r="GZO12" s="74"/>
      <c r="GZP12" s="72"/>
      <c r="GZW12" s="74"/>
      <c r="GZX12" s="72"/>
      <c r="HAE12" s="74"/>
      <c r="HAF12" s="72"/>
      <c r="HAM12" s="74"/>
      <c r="HAN12" s="72"/>
      <c r="HAU12" s="74"/>
      <c r="HAV12" s="72"/>
      <c r="HBC12" s="74"/>
      <c r="HBD12" s="72"/>
      <c r="HBK12" s="74"/>
      <c r="HBL12" s="72"/>
      <c r="HBS12" s="74"/>
      <c r="HBT12" s="72"/>
      <c r="HCA12" s="74"/>
      <c r="HCB12" s="72"/>
      <c r="HCI12" s="74"/>
      <c r="HCJ12" s="72"/>
      <c r="HCQ12" s="74"/>
      <c r="HCR12" s="72"/>
      <c r="HCY12" s="74"/>
      <c r="HCZ12" s="72"/>
      <c r="HDG12" s="74"/>
      <c r="HDH12" s="72"/>
      <c r="HDO12" s="74"/>
      <c r="HDP12" s="72"/>
      <c r="HDW12" s="74"/>
      <c r="HDX12" s="72"/>
      <c r="HEE12" s="74"/>
      <c r="HEF12" s="72"/>
      <c r="HEM12" s="74"/>
      <c r="HEN12" s="72"/>
      <c r="HEU12" s="74"/>
      <c r="HEV12" s="72"/>
      <c r="HFC12" s="74"/>
      <c r="HFD12" s="72"/>
      <c r="HFK12" s="74"/>
      <c r="HFL12" s="72"/>
      <c r="HFS12" s="74"/>
      <c r="HFT12" s="72"/>
      <c r="HGA12" s="74"/>
      <c r="HGB12" s="72"/>
      <c r="HGI12" s="74"/>
      <c r="HGJ12" s="72"/>
      <c r="HGQ12" s="74"/>
      <c r="HGR12" s="72"/>
      <c r="HGY12" s="74"/>
      <c r="HGZ12" s="72"/>
      <c r="HHG12" s="74"/>
      <c r="HHH12" s="72"/>
      <c r="HHO12" s="74"/>
      <c r="HHP12" s="72"/>
      <c r="HHW12" s="74"/>
      <c r="HHX12" s="72"/>
      <c r="HIE12" s="74"/>
      <c r="HIF12" s="72"/>
      <c r="HIM12" s="74"/>
      <c r="HIN12" s="72"/>
      <c r="HIU12" s="74"/>
      <c r="HIV12" s="72"/>
      <c r="HJC12" s="74"/>
      <c r="HJD12" s="72"/>
      <c r="HJK12" s="74"/>
      <c r="HJL12" s="72"/>
      <c r="HJS12" s="74"/>
      <c r="HJT12" s="72"/>
      <c r="HKA12" s="74"/>
      <c r="HKB12" s="72"/>
      <c r="HKI12" s="74"/>
      <c r="HKJ12" s="72"/>
      <c r="HKQ12" s="74"/>
      <c r="HKR12" s="72"/>
      <c r="HKY12" s="74"/>
      <c r="HKZ12" s="72"/>
      <c r="HLG12" s="74"/>
      <c r="HLH12" s="72"/>
      <c r="HLO12" s="74"/>
      <c r="HLP12" s="72"/>
      <c r="HLW12" s="74"/>
      <c r="HLX12" s="72"/>
      <c r="HME12" s="74"/>
      <c r="HMF12" s="72"/>
      <c r="HMM12" s="74"/>
      <c r="HMN12" s="72"/>
      <c r="HMU12" s="74"/>
      <c r="HMV12" s="72"/>
      <c r="HNC12" s="74"/>
      <c r="HND12" s="72"/>
      <c r="HNK12" s="74"/>
      <c r="HNL12" s="72"/>
      <c r="HNS12" s="74"/>
      <c r="HNT12" s="72"/>
      <c r="HOA12" s="74"/>
      <c r="HOB12" s="72"/>
      <c r="HOI12" s="74"/>
      <c r="HOJ12" s="72"/>
      <c r="HOQ12" s="74"/>
      <c r="HOR12" s="72"/>
      <c r="HOY12" s="74"/>
      <c r="HOZ12" s="72"/>
      <c r="HPG12" s="74"/>
      <c r="HPH12" s="72"/>
      <c r="HPO12" s="74"/>
      <c r="HPP12" s="72"/>
      <c r="HPW12" s="74"/>
      <c r="HPX12" s="72"/>
      <c r="HQE12" s="74"/>
      <c r="HQF12" s="72"/>
      <c r="HQM12" s="74"/>
      <c r="HQN12" s="72"/>
      <c r="HQU12" s="74"/>
      <c r="HQV12" s="72"/>
      <c r="HRC12" s="74"/>
      <c r="HRD12" s="72"/>
      <c r="HRK12" s="74"/>
      <c r="HRL12" s="72"/>
      <c r="HRS12" s="74"/>
      <c r="HRT12" s="72"/>
      <c r="HSA12" s="74"/>
      <c r="HSB12" s="72"/>
      <c r="HSI12" s="74"/>
      <c r="HSJ12" s="72"/>
      <c r="HSQ12" s="74"/>
      <c r="HSR12" s="72"/>
      <c r="HSY12" s="74"/>
      <c r="HSZ12" s="72"/>
      <c r="HTG12" s="74"/>
      <c r="HTH12" s="72"/>
      <c r="HTO12" s="74"/>
      <c r="HTP12" s="72"/>
      <c r="HTW12" s="74"/>
      <c r="HTX12" s="72"/>
      <c r="HUE12" s="74"/>
      <c r="HUF12" s="72"/>
      <c r="HUM12" s="74"/>
      <c r="HUN12" s="72"/>
      <c r="HUU12" s="74"/>
      <c r="HUV12" s="72"/>
      <c r="HVC12" s="74"/>
      <c r="HVD12" s="72"/>
      <c r="HVK12" s="74"/>
      <c r="HVL12" s="72"/>
      <c r="HVS12" s="74"/>
      <c r="HVT12" s="72"/>
      <c r="HWA12" s="74"/>
      <c r="HWB12" s="72"/>
      <c r="HWI12" s="74"/>
      <c r="HWJ12" s="72"/>
      <c r="HWQ12" s="74"/>
      <c r="HWR12" s="72"/>
      <c r="HWY12" s="74"/>
      <c r="HWZ12" s="72"/>
      <c r="HXG12" s="74"/>
      <c r="HXH12" s="72"/>
      <c r="HXO12" s="74"/>
      <c r="HXP12" s="72"/>
      <c r="HXW12" s="74"/>
      <c r="HXX12" s="72"/>
      <c r="HYE12" s="74"/>
      <c r="HYF12" s="72"/>
      <c r="HYM12" s="74"/>
      <c r="HYN12" s="72"/>
      <c r="HYU12" s="74"/>
      <c r="HYV12" s="72"/>
      <c r="HZC12" s="74"/>
      <c r="HZD12" s="72"/>
      <c r="HZK12" s="74"/>
      <c r="HZL12" s="72"/>
      <c r="HZS12" s="74"/>
      <c r="HZT12" s="72"/>
      <c r="IAA12" s="74"/>
      <c r="IAB12" s="72"/>
      <c r="IAI12" s="74"/>
      <c r="IAJ12" s="72"/>
      <c r="IAQ12" s="74"/>
      <c r="IAR12" s="72"/>
      <c r="IAY12" s="74"/>
      <c r="IAZ12" s="72"/>
      <c r="IBG12" s="74"/>
      <c r="IBH12" s="72"/>
      <c r="IBO12" s="74"/>
      <c r="IBP12" s="72"/>
      <c r="IBW12" s="74"/>
      <c r="IBX12" s="72"/>
      <c r="ICE12" s="74"/>
      <c r="ICF12" s="72"/>
      <c r="ICM12" s="74"/>
      <c r="ICN12" s="72"/>
      <c r="ICU12" s="74"/>
      <c r="ICV12" s="72"/>
      <c r="IDC12" s="74"/>
      <c r="IDD12" s="72"/>
      <c r="IDK12" s="74"/>
      <c r="IDL12" s="72"/>
      <c r="IDS12" s="74"/>
      <c r="IDT12" s="72"/>
      <c r="IEA12" s="74"/>
      <c r="IEB12" s="72"/>
      <c r="IEI12" s="74"/>
      <c r="IEJ12" s="72"/>
      <c r="IEQ12" s="74"/>
      <c r="IER12" s="72"/>
      <c r="IEY12" s="74"/>
      <c r="IEZ12" s="72"/>
      <c r="IFG12" s="74"/>
      <c r="IFH12" s="72"/>
      <c r="IFO12" s="74"/>
      <c r="IFP12" s="72"/>
      <c r="IFW12" s="74"/>
      <c r="IFX12" s="72"/>
      <c r="IGE12" s="74"/>
      <c r="IGF12" s="72"/>
      <c r="IGM12" s="74"/>
      <c r="IGN12" s="72"/>
      <c r="IGU12" s="74"/>
      <c r="IGV12" s="72"/>
      <c r="IHC12" s="74"/>
      <c r="IHD12" s="72"/>
      <c r="IHK12" s="74"/>
      <c r="IHL12" s="72"/>
      <c r="IHS12" s="74"/>
      <c r="IHT12" s="72"/>
      <c r="IIA12" s="74"/>
      <c r="IIB12" s="72"/>
      <c r="III12" s="74"/>
      <c r="IIJ12" s="72"/>
      <c r="IIQ12" s="74"/>
      <c r="IIR12" s="72"/>
      <c r="IIY12" s="74"/>
      <c r="IIZ12" s="72"/>
      <c r="IJG12" s="74"/>
      <c r="IJH12" s="72"/>
      <c r="IJO12" s="74"/>
      <c r="IJP12" s="72"/>
      <c r="IJW12" s="74"/>
      <c r="IJX12" s="72"/>
      <c r="IKE12" s="74"/>
      <c r="IKF12" s="72"/>
      <c r="IKM12" s="74"/>
      <c r="IKN12" s="72"/>
      <c r="IKU12" s="74"/>
      <c r="IKV12" s="72"/>
      <c r="ILC12" s="74"/>
      <c r="ILD12" s="72"/>
      <c r="ILK12" s="74"/>
      <c r="ILL12" s="72"/>
      <c r="ILS12" s="74"/>
      <c r="ILT12" s="72"/>
      <c r="IMA12" s="74"/>
      <c r="IMB12" s="72"/>
      <c r="IMI12" s="74"/>
      <c r="IMJ12" s="72"/>
      <c r="IMQ12" s="74"/>
      <c r="IMR12" s="72"/>
      <c r="IMY12" s="74"/>
      <c r="IMZ12" s="72"/>
      <c r="ING12" s="74"/>
      <c r="INH12" s="72"/>
      <c r="INO12" s="74"/>
      <c r="INP12" s="72"/>
      <c r="INW12" s="74"/>
      <c r="INX12" s="72"/>
      <c r="IOE12" s="74"/>
      <c r="IOF12" s="72"/>
      <c r="IOM12" s="74"/>
      <c r="ION12" s="72"/>
      <c r="IOU12" s="74"/>
      <c r="IOV12" s="72"/>
      <c r="IPC12" s="74"/>
      <c r="IPD12" s="72"/>
      <c r="IPK12" s="74"/>
      <c r="IPL12" s="72"/>
      <c r="IPS12" s="74"/>
      <c r="IPT12" s="72"/>
      <c r="IQA12" s="74"/>
      <c r="IQB12" s="72"/>
      <c r="IQI12" s="74"/>
      <c r="IQJ12" s="72"/>
      <c r="IQQ12" s="74"/>
      <c r="IQR12" s="72"/>
      <c r="IQY12" s="74"/>
      <c r="IQZ12" s="72"/>
      <c r="IRG12" s="74"/>
      <c r="IRH12" s="72"/>
      <c r="IRO12" s="74"/>
      <c r="IRP12" s="72"/>
      <c r="IRW12" s="74"/>
      <c r="IRX12" s="72"/>
      <c r="ISE12" s="74"/>
      <c r="ISF12" s="72"/>
      <c r="ISM12" s="74"/>
      <c r="ISN12" s="72"/>
      <c r="ISU12" s="74"/>
      <c r="ISV12" s="72"/>
      <c r="ITC12" s="74"/>
      <c r="ITD12" s="72"/>
      <c r="ITK12" s="74"/>
      <c r="ITL12" s="72"/>
      <c r="ITS12" s="74"/>
      <c r="ITT12" s="72"/>
      <c r="IUA12" s="74"/>
      <c r="IUB12" s="72"/>
      <c r="IUI12" s="74"/>
      <c r="IUJ12" s="72"/>
      <c r="IUQ12" s="74"/>
      <c r="IUR12" s="72"/>
      <c r="IUY12" s="74"/>
      <c r="IUZ12" s="72"/>
      <c r="IVG12" s="74"/>
      <c r="IVH12" s="72"/>
      <c r="IVO12" s="74"/>
      <c r="IVP12" s="72"/>
      <c r="IVW12" s="74"/>
      <c r="IVX12" s="72"/>
      <c r="IWE12" s="74"/>
      <c r="IWF12" s="72"/>
      <c r="IWM12" s="74"/>
      <c r="IWN12" s="72"/>
      <c r="IWU12" s="74"/>
      <c r="IWV12" s="72"/>
      <c r="IXC12" s="74"/>
      <c r="IXD12" s="72"/>
      <c r="IXK12" s="74"/>
      <c r="IXL12" s="72"/>
      <c r="IXS12" s="74"/>
      <c r="IXT12" s="72"/>
      <c r="IYA12" s="74"/>
      <c r="IYB12" s="72"/>
      <c r="IYI12" s="74"/>
      <c r="IYJ12" s="72"/>
      <c r="IYQ12" s="74"/>
      <c r="IYR12" s="72"/>
      <c r="IYY12" s="74"/>
      <c r="IYZ12" s="72"/>
      <c r="IZG12" s="74"/>
      <c r="IZH12" s="72"/>
      <c r="IZO12" s="74"/>
      <c r="IZP12" s="72"/>
      <c r="IZW12" s="74"/>
      <c r="IZX12" s="72"/>
      <c r="JAE12" s="74"/>
      <c r="JAF12" s="72"/>
      <c r="JAM12" s="74"/>
      <c r="JAN12" s="72"/>
      <c r="JAU12" s="74"/>
      <c r="JAV12" s="72"/>
      <c r="JBC12" s="74"/>
      <c r="JBD12" s="72"/>
      <c r="JBK12" s="74"/>
      <c r="JBL12" s="72"/>
      <c r="JBS12" s="74"/>
      <c r="JBT12" s="72"/>
      <c r="JCA12" s="74"/>
      <c r="JCB12" s="72"/>
      <c r="JCI12" s="74"/>
      <c r="JCJ12" s="72"/>
      <c r="JCQ12" s="74"/>
      <c r="JCR12" s="72"/>
      <c r="JCY12" s="74"/>
      <c r="JCZ12" s="72"/>
      <c r="JDG12" s="74"/>
      <c r="JDH12" s="72"/>
      <c r="JDO12" s="74"/>
      <c r="JDP12" s="72"/>
      <c r="JDW12" s="74"/>
      <c r="JDX12" s="72"/>
      <c r="JEE12" s="74"/>
      <c r="JEF12" s="72"/>
      <c r="JEM12" s="74"/>
      <c r="JEN12" s="72"/>
      <c r="JEU12" s="74"/>
      <c r="JEV12" s="72"/>
      <c r="JFC12" s="74"/>
      <c r="JFD12" s="72"/>
      <c r="JFK12" s="74"/>
      <c r="JFL12" s="72"/>
      <c r="JFS12" s="74"/>
      <c r="JFT12" s="72"/>
      <c r="JGA12" s="74"/>
      <c r="JGB12" s="72"/>
      <c r="JGI12" s="74"/>
      <c r="JGJ12" s="72"/>
      <c r="JGQ12" s="74"/>
      <c r="JGR12" s="72"/>
      <c r="JGY12" s="74"/>
      <c r="JGZ12" s="72"/>
      <c r="JHG12" s="74"/>
      <c r="JHH12" s="72"/>
      <c r="JHO12" s="74"/>
      <c r="JHP12" s="72"/>
      <c r="JHW12" s="74"/>
      <c r="JHX12" s="72"/>
      <c r="JIE12" s="74"/>
      <c r="JIF12" s="72"/>
      <c r="JIM12" s="74"/>
      <c r="JIN12" s="72"/>
      <c r="JIU12" s="74"/>
      <c r="JIV12" s="72"/>
      <c r="JJC12" s="74"/>
      <c r="JJD12" s="72"/>
      <c r="JJK12" s="74"/>
      <c r="JJL12" s="72"/>
      <c r="JJS12" s="74"/>
      <c r="JJT12" s="72"/>
      <c r="JKA12" s="74"/>
      <c r="JKB12" s="72"/>
      <c r="JKI12" s="74"/>
      <c r="JKJ12" s="72"/>
      <c r="JKQ12" s="74"/>
      <c r="JKR12" s="72"/>
      <c r="JKY12" s="74"/>
      <c r="JKZ12" s="72"/>
      <c r="JLG12" s="74"/>
      <c r="JLH12" s="72"/>
      <c r="JLO12" s="74"/>
      <c r="JLP12" s="72"/>
      <c r="JLW12" s="74"/>
      <c r="JLX12" s="72"/>
      <c r="JME12" s="74"/>
      <c r="JMF12" s="72"/>
      <c r="JMM12" s="74"/>
      <c r="JMN12" s="72"/>
      <c r="JMU12" s="74"/>
      <c r="JMV12" s="72"/>
      <c r="JNC12" s="74"/>
      <c r="JND12" s="72"/>
      <c r="JNK12" s="74"/>
      <c r="JNL12" s="72"/>
      <c r="JNS12" s="74"/>
      <c r="JNT12" s="72"/>
      <c r="JOA12" s="74"/>
      <c r="JOB12" s="72"/>
      <c r="JOI12" s="74"/>
      <c r="JOJ12" s="72"/>
      <c r="JOQ12" s="74"/>
      <c r="JOR12" s="72"/>
      <c r="JOY12" s="74"/>
      <c r="JOZ12" s="72"/>
      <c r="JPG12" s="74"/>
      <c r="JPH12" s="72"/>
      <c r="JPO12" s="74"/>
      <c r="JPP12" s="72"/>
      <c r="JPW12" s="74"/>
      <c r="JPX12" s="72"/>
      <c r="JQE12" s="74"/>
      <c r="JQF12" s="72"/>
      <c r="JQM12" s="74"/>
      <c r="JQN12" s="72"/>
      <c r="JQU12" s="74"/>
      <c r="JQV12" s="72"/>
      <c r="JRC12" s="74"/>
      <c r="JRD12" s="72"/>
      <c r="JRK12" s="74"/>
      <c r="JRL12" s="72"/>
      <c r="JRS12" s="74"/>
      <c r="JRT12" s="72"/>
      <c r="JSA12" s="74"/>
      <c r="JSB12" s="72"/>
      <c r="JSI12" s="74"/>
      <c r="JSJ12" s="72"/>
      <c r="JSQ12" s="74"/>
      <c r="JSR12" s="72"/>
      <c r="JSY12" s="74"/>
      <c r="JSZ12" s="72"/>
      <c r="JTG12" s="74"/>
      <c r="JTH12" s="72"/>
      <c r="JTO12" s="74"/>
      <c r="JTP12" s="72"/>
      <c r="JTW12" s="74"/>
      <c r="JTX12" s="72"/>
      <c r="JUE12" s="74"/>
      <c r="JUF12" s="72"/>
      <c r="JUM12" s="74"/>
      <c r="JUN12" s="72"/>
      <c r="JUU12" s="74"/>
      <c r="JUV12" s="72"/>
      <c r="JVC12" s="74"/>
      <c r="JVD12" s="72"/>
      <c r="JVK12" s="74"/>
      <c r="JVL12" s="72"/>
      <c r="JVS12" s="74"/>
      <c r="JVT12" s="72"/>
      <c r="JWA12" s="74"/>
      <c r="JWB12" s="72"/>
      <c r="JWI12" s="74"/>
      <c r="JWJ12" s="72"/>
      <c r="JWQ12" s="74"/>
      <c r="JWR12" s="72"/>
      <c r="JWY12" s="74"/>
      <c r="JWZ12" s="72"/>
      <c r="JXG12" s="74"/>
      <c r="JXH12" s="72"/>
      <c r="JXO12" s="74"/>
      <c r="JXP12" s="72"/>
      <c r="JXW12" s="74"/>
      <c r="JXX12" s="72"/>
      <c r="JYE12" s="74"/>
      <c r="JYF12" s="72"/>
      <c r="JYM12" s="74"/>
      <c r="JYN12" s="72"/>
      <c r="JYU12" s="74"/>
      <c r="JYV12" s="72"/>
      <c r="JZC12" s="74"/>
      <c r="JZD12" s="72"/>
      <c r="JZK12" s="74"/>
      <c r="JZL12" s="72"/>
      <c r="JZS12" s="74"/>
      <c r="JZT12" s="72"/>
      <c r="KAA12" s="74"/>
      <c r="KAB12" s="72"/>
      <c r="KAI12" s="74"/>
      <c r="KAJ12" s="72"/>
      <c r="KAQ12" s="74"/>
      <c r="KAR12" s="72"/>
      <c r="KAY12" s="74"/>
      <c r="KAZ12" s="72"/>
      <c r="KBG12" s="74"/>
      <c r="KBH12" s="72"/>
      <c r="KBO12" s="74"/>
      <c r="KBP12" s="72"/>
      <c r="KBW12" s="74"/>
      <c r="KBX12" s="72"/>
      <c r="KCE12" s="74"/>
      <c r="KCF12" s="72"/>
      <c r="KCM12" s="74"/>
      <c r="KCN12" s="72"/>
      <c r="KCU12" s="74"/>
      <c r="KCV12" s="72"/>
      <c r="KDC12" s="74"/>
      <c r="KDD12" s="72"/>
      <c r="KDK12" s="74"/>
      <c r="KDL12" s="72"/>
      <c r="KDS12" s="74"/>
      <c r="KDT12" s="72"/>
      <c r="KEA12" s="74"/>
      <c r="KEB12" s="72"/>
      <c r="KEI12" s="74"/>
      <c r="KEJ12" s="72"/>
      <c r="KEQ12" s="74"/>
      <c r="KER12" s="72"/>
      <c r="KEY12" s="74"/>
      <c r="KEZ12" s="72"/>
      <c r="KFG12" s="74"/>
      <c r="KFH12" s="72"/>
      <c r="KFO12" s="74"/>
      <c r="KFP12" s="72"/>
      <c r="KFW12" s="74"/>
      <c r="KFX12" s="72"/>
      <c r="KGE12" s="74"/>
      <c r="KGF12" s="72"/>
      <c r="KGM12" s="74"/>
      <c r="KGN12" s="72"/>
      <c r="KGU12" s="74"/>
      <c r="KGV12" s="72"/>
      <c r="KHC12" s="74"/>
      <c r="KHD12" s="72"/>
      <c r="KHK12" s="74"/>
      <c r="KHL12" s="72"/>
      <c r="KHS12" s="74"/>
      <c r="KHT12" s="72"/>
      <c r="KIA12" s="74"/>
      <c r="KIB12" s="72"/>
      <c r="KII12" s="74"/>
      <c r="KIJ12" s="72"/>
      <c r="KIQ12" s="74"/>
      <c r="KIR12" s="72"/>
      <c r="KIY12" s="74"/>
      <c r="KIZ12" s="72"/>
      <c r="KJG12" s="74"/>
      <c r="KJH12" s="72"/>
      <c r="KJO12" s="74"/>
      <c r="KJP12" s="72"/>
      <c r="KJW12" s="74"/>
      <c r="KJX12" s="72"/>
      <c r="KKE12" s="74"/>
      <c r="KKF12" s="72"/>
      <c r="KKM12" s="74"/>
      <c r="KKN12" s="72"/>
      <c r="KKU12" s="74"/>
      <c r="KKV12" s="72"/>
      <c r="KLC12" s="74"/>
      <c r="KLD12" s="72"/>
      <c r="KLK12" s="74"/>
      <c r="KLL12" s="72"/>
      <c r="KLS12" s="74"/>
      <c r="KLT12" s="72"/>
      <c r="KMA12" s="74"/>
      <c r="KMB12" s="72"/>
      <c r="KMI12" s="74"/>
      <c r="KMJ12" s="72"/>
      <c r="KMQ12" s="74"/>
      <c r="KMR12" s="72"/>
      <c r="KMY12" s="74"/>
      <c r="KMZ12" s="72"/>
      <c r="KNG12" s="74"/>
      <c r="KNH12" s="72"/>
      <c r="KNO12" s="74"/>
      <c r="KNP12" s="72"/>
      <c r="KNW12" s="74"/>
      <c r="KNX12" s="72"/>
      <c r="KOE12" s="74"/>
      <c r="KOF12" s="72"/>
      <c r="KOM12" s="74"/>
      <c r="KON12" s="72"/>
      <c r="KOU12" s="74"/>
      <c r="KOV12" s="72"/>
      <c r="KPC12" s="74"/>
      <c r="KPD12" s="72"/>
      <c r="KPK12" s="74"/>
      <c r="KPL12" s="72"/>
      <c r="KPS12" s="74"/>
      <c r="KPT12" s="72"/>
      <c r="KQA12" s="74"/>
      <c r="KQB12" s="72"/>
      <c r="KQI12" s="74"/>
      <c r="KQJ12" s="72"/>
      <c r="KQQ12" s="74"/>
      <c r="KQR12" s="72"/>
      <c r="KQY12" s="74"/>
      <c r="KQZ12" s="72"/>
      <c r="KRG12" s="74"/>
      <c r="KRH12" s="72"/>
      <c r="KRO12" s="74"/>
      <c r="KRP12" s="72"/>
      <c r="KRW12" s="74"/>
      <c r="KRX12" s="72"/>
      <c r="KSE12" s="74"/>
      <c r="KSF12" s="72"/>
      <c r="KSM12" s="74"/>
      <c r="KSN12" s="72"/>
      <c r="KSU12" s="74"/>
      <c r="KSV12" s="72"/>
      <c r="KTC12" s="74"/>
      <c r="KTD12" s="72"/>
      <c r="KTK12" s="74"/>
      <c r="KTL12" s="72"/>
      <c r="KTS12" s="74"/>
      <c r="KTT12" s="72"/>
      <c r="KUA12" s="74"/>
      <c r="KUB12" s="72"/>
      <c r="KUI12" s="74"/>
      <c r="KUJ12" s="72"/>
      <c r="KUQ12" s="74"/>
      <c r="KUR12" s="72"/>
      <c r="KUY12" s="74"/>
      <c r="KUZ12" s="72"/>
      <c r="KVG12" s="74"/>
      <c r="KVH12" s="72"/>
      <c r="KVO12" s="74"/>
      <c r="KVP12" s="72"/>
      <c r="KVW12" s="74"/>
      <c r="KVX12" s="72"/>
      <c r="KWE12" s="74"/>
      <c r="KWF12" s="72"/>
      <c r="KWM12" s="74"/>
      <c r="KWN12" s="72"/>
      <c r="KWU12" s="74"/>
      <c r="KWV12" s="72"/>
      <c r="KXC12" s="74"/>
      <c r="KXD12" s="72"/>
      <c r="KXK12" s="74"/>
      <c r="KXL12" s="72"/>
      <c r="KXS12" s="74"/>
      <c r="KXT12" s="72"/>
      <c r="KYA12" s="74"/>
      <c r="KYB12" s="72"/>
      <c r="KYI12" s="74"/>
      <c r="KYJ12" s="72"/>
      <c r="KYQ12" s="74"/>
      <c r="KYR12" s="72"/>
      <c r="KYY12" s="74"/>
      <c r="KYZ12" s="72"/>
      <c r="KZG12" s="74"/>
      <c r="KZH12" s="72"/>
      <c r="KZO12" s="74"/>
      <c r="KZP12" s="72"/>
      <c r="KZW12" s="74"/>
      <c r="KZX12" s="72"/>
      <c r="LAE12" s="74"/>
      <c r="LAF12" s="72"/>
      <c r="LAM12" s="74"/>
      <c r="LAN12" s="72"/>
      <c r="LAU12" s="74"/>
      <c r="LAV12" s="72"/>
      <c r="LBC12" s="74"/>
      <c r="LBD12" s="72"/>
      <c r="LBK12" s="74"/>
      <c r="LBL12" s="72"/>
      <c r="LBS12" s="74"/>
      <c r="LBT12" s="72"/>
      <c r="LCA12" s="74"/>
      <c r="LCB12" s="72"/>
      <c r="LCI12" s="74"/>
      <c r="LCJ12" s="72"/>
      <c r="LCQ12" s="74"/>
      <c r="LCR12" s="72"/>
      <c r="LCY12" s="74"/>
      <c r="LCZ12" s="72"/>
      <c r="LDG12" s="74"/>
      <c r="LDH12" s="72"/>
      <c r="LDO12" s="74"/>
      <c r="LDP12" s="72"/>
      <c r="LDW12" s="74"/>
      <c r="LDX12" s="72"/>
      <c r="LEE12" s="74"/>
      <c r="LEF12" s="72"/>
      <c r="LEM12" s="74"/>
      <c r="LEN12" s="72"/>
      <c r="LEU12" s="74"/>
      <c r="LEV12" s="72"/>
      <c r="LFC12" s="74"/>
      <c r="LFD12" s="72"/>
      <c r="LFK12" s="74"/>
      <c r="LFL12" s="72"/>
      <c r="LFS12" s="74"/>
      <c r="LFT12" s="72"/>
      <c r="LGA12" s="74"/>
      <c r="LGB12" s="72"/>
      <c r="LGI12" s="74"/>
      <c r="LGJ12" s="72"/>
      <c r="LGQ12" s="74"/>
      <c r="LGR12" s="72"/>
      <c r="LGY12" s="74"/>
      <c r="LGZ12" s="72"/>
      <c r="LHG12" s="74"/>
      <c r="LHH12" s="72"/>
      <c r="LHO12" s="74"/>
      <c r="LHP12" s="72"/>
      <c r="LHW12" s="74"/>
      <c r="LHX12" s="72"/>
      <c r="LIE12" s="74"/>
      <c r="LIF12" s="72"/>
      <c r="LIM12" s="74"/>
      <c r="LIN12" s="72"/>
      <c r="LIU12" s="74"/>
      <c r="LIV12" s="72"/>
      <c r="LJC12" s="74"/>
      <c r="LJD12" s="72"/>
      <c r="LJK12" s="74"/>
      <c r="LJL12" s="72"/>
      <c r="LJS12" s="74"/>
      <c r="LJT12" s="72"/>
      <c r="LKA12" s="74"/>
      <c r="LKB12" s="72"/>
      <c r="LKI12" s="74"/>
      <c r="LKJ12" s="72"/>
      <c r="LKQ12" s="74"/>
      <c r="LKR12" s="72"/>
      <c r="LKY12" s="74"/>
      <c r="LKZ12" s="72"/>
      <c r="LLG12" s="74"/>
      <c r="LLH12" s="72"/>
      <c r="LLO12" s="74"/>
      <c r="LLP12" s="72"/>
      <c r="LLW12" s="74"/>
      <c r="LLX12" s="72"/>
      <c r="LME12" s="74"/>
      <c r="LMF12" s="72"/>
      <c r="LMM12" s="74"/>
      <c r="LMN12" s="72"/>
      <c r="LMU12" s="74"/>
      <c r="LMV12" s="72"/>
      <c r="LNC12" s="74"/>
      <c r="LND12" s="72"/>
      <c r="LNK12" s="74"/>
      <c r="LNL12" s="72"/>
      <c r="LNS12" s="74"/>
      <c r="LNT12" s="72"/>
      <c r="LOA12" s="74"/>
      <c r="LOB12" s="72"/>
      <c r="LOI12" s="74"/>
      <c r="LOJ12" s="72"/>
      <c r="LOQ12" s="74"/>
      <c r="LOR12" s="72"/>
      <c r="LOY12" s="74"/>
      <c r="LOZ12" s="72"/>
      <c r="LPG12" s="74"/>
      <c r="LPH12" s="72"/>
      <c r="LPO12" s="74"/>
      <c r="LPP12" s="72"/>
      <c r="LPW12" s="74"/>
      <c r="LPX12" s="72"/>
      <c r="LQE12" s="74"/>
      <c r="LQF12" s="72"/>
      <c r="LQM12" s="74"/>
      <c r="LQN12" s="72"/>
      <c r="LQU12" s="74"/>
      <c r="LQV12" s="72"/>
      <c r="LRC12" s="74"/>
      <c r="LRD12" s="72"/>
      <c r="LRK12" s="74"/>
      <c r="LRL12" s="72"/>
      <c r="LRS12" s="74"/>
      <c r="LRT12" s="72"/>
      <c r="LSA12" s="74"/>
      <c r="LSB12" s="72"/>
      <c r="LSI12" s="74"/>
      <c r="LSJ12" s="72"/>
      <c r="LSQ12" s="74"/>
      <c r="LSR12" s="72"/>
      <c r="LSY12" s="74"/>
      <c r="LSZ12" s="72"/>
      <c r="LTG12" s="74"/>
      <c r="LTH12" s="72"/>
      <c r="LTO12" s="74"/>
      <c r="LTP12" s="72"/>
      <c r="LTW12" s="74"/>
      <c r="LTX12" s="72"/>
      <c r="LUE12" s="74"/>
      <c r="LUF12" s="72"/>
      <c r="LUM12" s="74"/>
      <c r="LUN12" s="72"/>
      <c r="LUU12" s="74"/>
      <c r="LUV12" s="72"/>
      <c r="LVC12" s="74"/>
      <c r="LVD12" s="72"/>
      <c r="LVK12" s="74"/>
      <c r="LVL12" s="72"/>
      <c r="LVS12" s="74"/>
      <c r="LVT12" s="72"/>
      <c r="LWA12" s="74"/>
      <c r="LWB12" s="72"/>
      <c r="LWI12" s="74"/>
      <c r="LWJ12" s="72"/>
      <c r="LWQ12" s="74"/>
      <c r="LWR12" s="72"/>
      <c r="LWY12" s="74"/>
      <c r="LWZ12" s="72"/>
      <c r="LXG12" s="74"/>
      <c r="LXH12" s="72"/>
      <c r="LXO12" s="74"/>
      <c r="LXP12" s="72"/>
      <c r="LXW12" s="74"/>
      <c r="LXX12" s="72"/>
      <c r="LYE12" s="74"/>
      <c r="LYF12" s="72"/>
      <c r="LYM12" s="74"/>
      <c r="LYN12" s="72"/>
      <c r="LYU12" s="74"/>
      <c r="LYV12" s="72"/>
      <c r="LZC12" s="74"/>
      <c r="LZD12" s="72"/>
      <c r="LZK12" s="74"/>
      <c r="LZL12" s="72"/>
      <c r="LZS12" s="74"/>
      <c r="LZT12" s="72"/>
      <c r="MAA12" s="74"/>
      <c r="MAB12" s="72"/>
      <c r="MAI12" s="74"/>
      <c r="MAJ12" s="72"/>
      <c r="MAQ12" s="74"/>
      <c r="MAR12" s="72"/>
      <c r="MAY12" s="74"/>
      <c r="MAZ12" s="72"/>
      <c r="MBG12" s="74"/>
      <c r="MBH12" s="72"/>
      <c r="MBO12" s="74"/>
      <c r="MBP12" s="72"/>
      <c r="MBW12" s="74"/>
      <c r="MBX12" s="72"/>
      <c r="MCE12" s="74"/>
      <c r="MCF12" s="72"/>
      <c r="MCM12" s="74"/>
      <c r="MCN12" s="72"/>
      <c r="MCU12" s="74"/>
      <c r="MCV12" s="72"/>
      <c r="MDC12" s="74"/>
      <c r="MDD12" s="72"/>
      <c r="MDK12" s="74"/>
      <c r="MDL12" s="72"/>
      <c r="MDS12" s="74"/>
      <c r="MDT12" s="72"/>
      <c r="MEA12" s="74"/>
      <c r="MEB12" s="72"/>
      <c r="MEI12" s="74"/>
      <c r="MEJ12" s="72"/>
      <c r="MEQ12" s="74"/>
      <c r="MER12" s="72"/>
      <c r="MEY12" s="74"/>
      <c r="MEZ12" s="72"/>
      <c r="MFG12" s="74"/>
      <c r="MFH12" s="72"/>
      <c r="MFO12" s="74"/>
      <c r="MFP12" s="72"/>
      <c r="MFW12" s="74"/>
      <c r="MFX12" s="72"/>
      <c r="MGE12" s="74"/>
      <c r="MGF12" s="72"/>
      <c r="MGM12" s="74"/>
      <c r="MGN12" s="72"/>
      <c r="MGU12" s="74"/>
      <c r="MGV12" s="72"/>
      <c r="MHC12" s="74"/>
      <c r="MHD12" s="72"/>
      <c r="MHK12" s="74"/>
      <c r="MHL12" s="72"/>
      <c r="MHS12" s="74"/>
      <c r="MHT12" s="72"/>
      <c r="MIA12" s="74"/>
      <c r="MIB12" s="72"/>
      <c r="MII12" s="74"/>
      <c r="MIJ12" s="72"/>
      <c r="MIQ12" s="74"/>
      <c r="MIR12" s="72"/>
      <c r="MIY12" s="74"/>
      <c r="MIZ12" s="72"/>
      <c r="MJG12" s="74"/>
      <c r="MJH12" s="72"/>
      <c r="MJO12" s="74"/>
      <c r="MJP12" s="72"/>
      <c r="MJW12" s="74"/>
      <c r="MJX12" s="72"/>
      <c r="MKE12" s="74"/>
      <c r="MKF12" s="72"/>
      <c r="MKM12" s="74"/>
      <c r="MKN12" s="72"/>
      <c r="MKU12" s="74"/>
      <c r="MKV12" s="72"/>
      <c r="MLC12" s="74"/>
      <c r="MLD12" s="72"/>
      <c r="MLK12" s="74"/>
      <c r="MLL12" s="72"/>
      <c r="MLS12" s="74"/>
      <c r="MLT12" s="72"/>
      <c r="MMA12" s="74"/>
      <c r="MMB12" s="72"/>
      <c r="MMI12" s="74"/>
      <c r="MMJ12" s="72"/>
      <c r="MMQ12" s="74"/>
      <c r="MMR12" s="72"/>
      <c r="MMY12" s="74"/>
      <c r="MMZ12" s="72"/>
      <c r="MNG12" s="74"/>
      <c r="MNH12" s="72"/>
      <c r="MNO12" s="74"/>
      <c r="MNP12" s="72"/>
      <c r="MNW12" s="74"/>
      <c r="MNX12" s="72"/>
      <c r="MOE12" s="74"/>
      <c r="MOF12" s="72"/>
      <c r="MOM12" s="74"/>
      <c r="MON12" s="72"/>
      <c r="MOU12" s="74"/>
      <c r="MOV12" s="72"/>
      <c r="MPC12" s="74"/>
      <c r="MPD12" s="72"/>
      <c r="MPK12" s="74"/>
      <c r="MPL12" s="72"/>
      <c r="MPS12" s="74"/>
      <c r="MPT12" s="72"/>
      <c r="MQA12" s="74"/>
      <c r="MQB12" s="72"/>
      <c r="MQI12" s="74"/>
      <c r="MQJ12" s="72"/>
      <c r="MQQ12" s="74"/>
      <c r="MQR12" s="72"/>
      <c r="MQY12" s="74"/>
      <c r="MQZ12" s="72"/>
      <c r="MRG12" s="74"/>
      <c r="MRH12" s="72"/>
      <c r="MRO12" s="74"/>
      <c r="MRP12" s="72"/>
      <c r="MRW12" s="74"/>
      <c r="MRX12" s="72"/>
      <c r="MSE12" s="74"/>
      <c r="MSF12" s="72"/>
      <c r="MSM12" s="74"/>
      <c r="MSN12" s="72"/>
      <c r="MSU12" s="74"/>
      <c r="MSV12" s="72"/>
      <c r="MTC12" s="74"/>
      <c r="MTD12" s="72"/>
      <c r="MTK12" s="74"/>
      <c r="MTL12" s="72"/>
      <c r="MTS12" s="74"/>
      <c r="MTT12" s="72"/>
      <c r="MUA12" s="74"/>
      <c r="MUB12" s="72"/>
      <c r="MUI12" s="74"/>
      <c r="MUJ12" s="72"/>
      <c r="MUQ12" s="74"/>
      <c r="MUR12" s="72"/>
      <c r="MUY12" s="74"/>
      <c r="MUZ12" s="72"/>
      <c r="MVG12" s="74"/>
      <c r="MVH12" s="72"/>
      <c r="MVO12" s="74"/>
      <c r="MVP12" s="72"/>
      <c r="MVW12" s="74"/>
      <c r="MVX12" s="72"/>
      <c r="MWE12" s="74"/>
      <c r="MWF12" s="72"/>
      <c r="MWM12" s="74"/>
      <c r="MWN12" s="72"/>
      <c r="MWU12" s="74"/>
      <c r="MWV12" s="72"/>
      <c r="MXC12" s="74"/>
      <c r="MXD12" s="72"/>
      <c r="MXK12" s="74"/>
      <c r="MXL12" s="72"/>
      <c r="MXS12" s="74"/>
      <c r="MXT12" s="72"/>
      <c r="MYA12" s="74"/>
      <c r="MYB12" s="72"/>
      <c r="MYI12" s="74"/>
      <c r="MYJ12" s="72"/>
      <c r="MYQ12" s="74"/>
      <c r="MYR12" s="72"/>
      <c r="MYY12" s="74"/>
      <c r="MYZ12" s="72"/>
      <c r="MZG12" s="74"/>
      <c r="MZH12" s="72"/>
      <c r="MZO12" s="74"/>
      <c r="MZP12" s="72"/>
      <c r="MZW12" s="74"/>
      <c r="MZX12" s="72"/>
      <c r="NAE12" s="74"/>
      <c r="NAF12" s="72"/>
      <c r="NAM12" s="74"/>
      <c r="NAN12" s="72"/>
      <c r="NAU12" s="74"/>
      <c r="NAV12" s="72"/>
      <c r="NBC12" s="74"/>
      <c r="NBD12" s="72"/>
      <c r="NBK12" s="74"/>
      <c r="NBL12" s="72"/>
      <c r="NBS12" s="74"/>
      <c r="NBT12" s="72"/>
      <c r="NCA12" s="74"/>
      <c r="NCB12" s="72"/>
      <c r="NCI12" s="74"/>
      <c r="NCJ12" s="72"/>
      <c r="NCQ12" s="74"/>
      <c r="NCR12" s="72"/>
      <c r="NCY12" s="74"/>
      <c r="NCZ12" s="72"/>
      <c r="NDG12" s="74"/>
      <c r="NDH12" s="72"/>
      <c r="NDO12" s="74"/>
      <c r="NDP12" s="72"/>
      <c r="NDW12" s="74"/>
      <c r="NDX12" s="72"/>
      <c r="NEE12" s="74"/>
      <c r="NEF12" s="72"/>
      <c r="NEM12" s="74"/>
      <c r="NEN12" s="72"/>
      <c r="NEU12" s="74"/>
      <c r="NEV12" s="72"/>
      <c r="NFC12" s="74"/>
      <c r="NFD12" s="72"/>
      <c r="NFK12" s="74"/>
      <c r="NFL12" s="72"/>
      <c r="NFS12" s="74"/>
      <c r="NFT12" s="72"/>
      <c r="NGA12" s="74"/>
      <c r="NGB12" s="72"/>
      <c r="NGI12" s="74"/>
      <c r="NGJ12" s="72"/>
      <c r="NGQ12" s="74"/>
      <c r="NGR12" s="72"/>
      <c r="NGY12" s="74"/>
      <c r="NGZ12" s="72"/>
      <c r="NHG12" s="74"/>
      <c r="NHH12" s="72"/>
      <c r="NHO12" s="74"/>
      <c r="NHP12" s="72"/>
      <c r="NHW12" s="74"/>
      <c r="NHX12" s="72"/>
      <c r="NIE12" s="74"/>
      <c r="NIF12" s="72"/>
      <c r="NIM12" s="74"/>
      <c r="NIN12" s="72"/>
      <c r="NIU12" s="74"/>
      <c r="NIV12" s="72"/>
      <c r="NJC12" s="74"/>
      <c r="NJD12" s="72"/>
      <c r="NJK12" s="74"/>
      <c r="NJL12" s="72"/>
      <c r="NJS12" s="74"/>
      <c r="NJT12" s="72"/>
      <c r="NKA12" s="74"/>
      <c r="NKB12" s="72"/>
      <c r="NKI12" s="74"/>
      <c r="NKJ12" s="72"/>
      <c r="NKQ12" s="74"/>
      <c r="NKR12" s="72"/>
      <c r="NKY12" s="74"/>
      <c r="NKZ12" s="72"/>
      <c r="NLG12" s="74"/>
      <c r="NLH12" s="72"/>
      <c r="NLO12" s="74"/>
      <c r="NLP12" s="72"/>
      <c r="NLW12" s="74"/>
      <c r="NLX12" s="72"/>
      <c r="NME12" s="74"/>
      <c r="NMF12" s="72"/>
      <c r="NMM12" s="74"/>
      <c r="NMN12" s="72"/>
      <c r="NMU12" s="74"/>
      <c r="NMV12" s="72"/>
      <c r="NNC12" s="74"/>
      <c r="NND12" s="72"/>
      <c r="NNK12" s="74"/>
      <c r="NNL12" s="72"/>
      <c r="NNS12" s="74"/>
      <c r="NNT12" s="72"/>
      <c r="NOA12" s="74"/>
      <c r="NOB12" s="72"/>
      <c r="NOI12" s="74"/>
      <c r="NOJ12" s="72"/>
      <c r="NOQ12" s="74"/>
      <c r="NOR12" s="72"/>
      <c r="NOY12" s="74"/>
      <c r="NOZ12" s="72"/>
      <c r="NPG12" s="74"/>
      <c r="NPH12" s="72"/>
      <c r="NPO12" s="74"/>
      <c r="NPP12" s="72"/>
      <c r="NPW12" s="74"/>
      <c r="NPX12" s="72"/>
      <c r="NQE12" s="74"/>
      <c r="NQF12" s="72"/>
      <c r="NQM12" s="74"/>
      <c r="NQN12" s="72"/>
      <c r="NQU12" s="74"/>
      <c r="NQV12" s="72"/>
      <c r="NRC12" s="74"/>
      <c r="NRD12" s="72"/>
      <c r="NRK12" s="74"/>
      <c r="NRL12" s="72"/>
      <c r="NRS12" s="74"/>
      <c r="NRT12" s="72"/>
      <c r="NSA12" s="74"/>
      <c r="NSB12" s="72"/>
      <c r="NSI12" s="74"/>
      <c r="NSJ12" s="72"/>
      <c r="NSQ12" s="74"/>
      <c r="NSR12" s="72"/>
      <c r="NSY12" s="74"/>
      <c r="NSZ12" s="72"/>
      <c r="NTG12" s="74"/>
      <c r="NTH12" s="72"/>
      <c r="NTO12" s="74"/>
      <c r="NTP12" s="72"/>
      <c r="NTW12" s="74"/>
      <c r="NTX12" s="72"/>
      <c r="NUE12" s="74"/>
      <c r="NUF12" s="72"/>
      <c r="NUM12" s="74"/>
      <c r="NUN12" s="72"/>
      <c r="NUU12" s="74"/>
      <c r="NUV12" s="72"/>
      <c r="NVC12" s="74"/>
      <c r="NVD12" s="72"/>
      <c r="NVK12" s="74"/>
      <c r="NVL12" s="72"/>
      <c r="NVS12" s="74"/>
      <c r="NVT12" s="72"/>
      <c r="NWA12" s="74"/>
      <c r="NWB12" s="72"/>
      <c r="NWI12" s="74"/>
      <c r="NWJ12" s="72"/>
      <c r="NWQ12" s="74"/>
      <c r="NWR12" s="72"/>
      <c r="NWY12" s="74"/>
      <c r="NWZ12" s="72"/>
      <c r="NXG12" s="74"/>
      <c r="NXH12" s="72"/>
      <c r="NXO12" s="74"/>
      <c r="NXP12" s="72"/>
      <c r="NXW12" s="74"/>
      <c r="NXX12" s="72"/>
      <c r="NYE12" s="74"/>
      <c r="NYF12" s="72"/>
      <c r="NYM12" s="74"/>
      <c r="NYN12" s="72"/>
      <c r="NYU12" s="74"/>
      <c r="NYV12" s="72"/>
      <c r="NZC12" s="74"/>
      <c r="NZD12" s="72"/>
      <c r="NZK12" s="74"/>
      <c r="NZL12" s="72"/>
      <c r="NZS12" s="74"/>
      <c r="NZT12" s="72"/>
      <c r="OAA12" s="74"/>
      <c r="OAB12" s="72"/>
      <c r="OAI12" s="74"/>
      <c r="OAJ12" s="72"/>
      <c r="OAQ12" s="74"/>
      <c r="OAR12" s="72"/>
      <c r="OAY12" s="74"/>
      <c r="OAZ12" s="72"/>
      <c r="OBG12" s="74"/>
      <c r="OBH12" s="72"/>
      <c r="OBO12" s="74"/>
      <c r="OBP12" s="72"/>
      <c r="OBW12" s="74"/>
      <c r="OBX12" s="72"/>
      <c r="OCE12" s="74"/>
      <c r="OCF12" s="72"/>
      <c r="OCM12" s="74"/>
      <c r="OCN12" s="72"/>
      <c r="OCU12" s="74"/>
      <c r="OCV12" s="72"/>
      <c r="ODC12" s="74"/>
      <c r="ODD12" s="72"/>
      <c r="ODK12" s="74"/>
      <c r="ODL12" s="72"/>
      <c r="ODS12" s="74"/>
      <c r="ODT12" s="72"/>
      <c r="OEA12" s="74"/>
      <c r="OEB12" s="72"/>
      <c r="OEI12" s="74"/>
      <c r="OEJ12" s="72"/>
      <c r="OEQ12" s="74"/>
      <c r="OER12" s="72"/>
      <c r="OEY12" s="74"/>
      <c r="OEZ12" s="72"/>
      <c r="OFG12" s="74"/>
      <c r="OFH12" s="72"/>
      <c r="OFO12" s="74"/>
      <c r="OFP12" s="72"/>
      <c r="OFW12" s="74"/>
      <c r="OFX12" s="72"/>
      <c r="OGE12" s="74"/>
      <c r="OGF12" s="72"/>
      <c r="OGM12" s="74"/>
      <c r="OGN12" s="72"/>
      <c r="OGU12" s="74"/>
      <c r="OGV12" s="72"/>
      <c r="OHC12" s="74"/>
      <c r="OHD12" s="72"/>
      <c r="OHK12" s="74"/>
      <c r="OHL12" s="72"/>
      <c r="OHS12" s="74"/>
      <c r="OHT12" s="72"/>
      <c r="OIA12" s="74"/>
      <c r="OIB12" s="72"/>
      <c r="OII12" s="74"/>
      <c r="OIJ12" s="72"/>
      <c r="OIQ12" s="74"/>
      <c r="OIR12" s="72"/>
      <c r="OIY12" s="74"/>
      <c r="OIZ12" s="72"/>
      <c r="OJG12" s="74"/>
      <c r="OJH12" s="72"/>
      <c r="OJO12" s="74"/>
      <c r="OJP12" s="72"/>
      <c r="OJW12" s="74"/>
      <c r="OJX12" s="72"/>
      <c r="OKE12" s="74"/>
      <c r="OKF12" s="72"/>
      <c r="OKM12" s="74"/>
      <c r="OKN12" s="72"/>
      <c r="OKU12" s="74"/>
      <c r="OKV12" s="72"/>
      <c r="OLC12" s="74"/>
      <c r="OLD12" s="72"/>
      <c r="OLK12" s="74"/>
      <c r="OLL12" s="72"/>
      <c r="OLS12" s="74"/>
      <c r="OLT12" s="72"/>
      <c r="OMA12" s="74"/>
      <c r="OMB12" s="72"/>
      <c r="OMI12" s="74"/>
      <c r="OMJ12" s="72"/>
      <c r="OMQ12" s="74"/>
      <c r="OMR12" s="72"/>
      <c r="OMY12" s="74"/>
      <c r="OMZ12" s="72"/>
      <c r="ONG12" s="74"/>
      <c r="ONH12" s="72"/>
      <c r="ONO12" s="74"/>
      <c r="ONP12" s="72"/>
      <c r="ONW12" s="74"/>
      <c r="ONX12" s="72"/>
      <c r="OOE12" s="74"/>
      <c r="OOF12" s="72"/>
      <c r="OOM12" s="74"/>
      <c r="OON12" s="72"/>
      <c r="OOU12" s="74"/>
      <c r="OOV12" s="72"/>
      <c r="OPC12" s="74"/>
      <c r="OPD12" s="72"/>
      <c r="OPK12" s="74"/>
      <c r="OPL12" s="72"/>
      <c r="OPS12" s="74"/>
      <c r="OPT12" s="72"/>
      <c r="OQA12" s="74"/>
      <c r="OQB12" s="72"/>
      <c r="OQI12" s="74"/>
      <c r="OQJ12" s="72"/>
      <c r="OQQ12" s="74"/>
      <c r="OQR12" s="72"/>
      <c r="OQY12" s="74"/>
      <c r="OQZ12" s="72"/>
      <c r="ORG12" s="74"/>
      <c r="ORH12" s="72"/>
      <c r="ORO12" s="74"/>
      <c r="ORP12" s="72"/>
      <c r="ORW12" s="74"/>
      <c r="ORX12" s="72"/>
      <c r="OSE12" s="74"/>
      <c r="OSF12" s="72"/>
      <c r="OSM12" s="74"/>
      <c r="OSN12" s="72"/>
      <c r="OSU12" s="74"/>
      <c r="OSV12" s="72"/>
      <c r="OTC12" s="74"/>
      <c r="OTD12" s="72"/>
      <c r="OTK12" s="74"/>
      <c r="OTL12" s="72"/>
      <c r="OTS12" s="74"/>
      <c r="OTT12" s="72"/>
      <c r="OUA12" s="74"/>
      <c r="OUB12" s="72"/>
      <c r="OUI12" s="74"/>
      <c r="OUJ12" s="72"/>
      <c r="OUQ12" s="74"/>
      <c r="OUR12" s="72"/>
      <c r="OUY12" s="74"/>
      <c r="OUZ12" s="72"/>
      <c r="OVG12" s="74"/>
      <c r="OVH12" s="72"/>
      <c r="OVO12" s="74"/>
      <c r="OVP12" s="72"/>
      <c r="OVW12" s="74"/>
      <c r="OVX12" s="72"/>
      <c r="OWE12" s="74"/>
      <c r="OWF12" s="72"/>
      <c r="OWM12" s="74"/>
      <c r="OWN12" s="72"/>
      <c r="OWU12" s="74"/>
      <c r="OWV12" s="72"/>
      <c r="OXC12" s="74"/>
      <c r="OXD12" s="72"/>
      <c r="OXK12" s="74"/>
      <c r="OXL12" s="72"/>
      <c r="OXS12" s="74"/>
      <c r="OXT12" s="72"/>
      <c r="OYA12" s="74"/>
      <c r="OYB12" s="72"/>
      <c r="OYI12" s="74"/>
      <c r="OYJ12" s="72"/>
      <c r="OYQ12" s="74"/>
      <c r="OYR12" s="72"/>
      <c r="OYY12" s="74"/>
      <c r="OYZ12" s="72"/>
      <c r="OZG12" s="74"/>
      <c r="OZH12" s="72"/>
      <c r="OZO12" s="74"/>
      <c r="OZP12" s="72"/>
      <c r="OZW12" s="74"/>
      <c r="OZX12" s="72"/>
      <c r="PAE12" s="74"/>
      <c r="PAF12" s="72"/>
      <c r="PAM12" s="74"/>
      <c r="PAN12" s="72"/>
      <c r="PAU12" s="74"/>
      <c r="PAV12" s="72"/>
      <c r="PBC12" s="74"/>
      <c r="PBD12" s="72"/>
      <c r="PBK12" s="74"/>
      <c r="PBL12" s="72"/>
      <c r="PBS12" s="74"/>
      <c r="PBT12" s="72"/>
      <c r="PCA12" s="74"/>
      <c r="PCB12" s="72"/>
      <c r="PCI12" s="74"/>
      <c r="PCJ12" s="72"/>
      <c r="PCQ12" s="74"/>
      <c r="PCR12" s="72"/>
      <c r="PCY12" s="74"/>
      <c r="PCZ12" s="72"/>
      <c r="PDG12" s="74"/>
      <c r="PDH12" s="72"/>
      <c r="PDO12" s="74"/>
      <c r="PDP12" s="72"/>
      <c r="PDW12" s="74"/>
      <c r="PDX12" s="72"/>
      <c r="PEE12" s="74"/>
      <c r="PEF12" s="72"/>
      <c r="PEM12" s="74"/>
      <c r="PEN12" s="72"/>
      <c r="PEU12" s="74"/>
      <c r="PEV12" s="72"/>
      <c r="PFC12" s="74"/>
      <c r="PFD12" s="72"/>
      <c r="PFK12" s="74"/>
      <c r="PFL12" s="72"/>
      <c r="PFS12" s="74"/>
      <c r="PFT12" s="72"/>
      <c r="PGA12" s="74"/>
      <c r="PGB12" s="72"/>
      <c r="PGI12" s="74"/>
      <c r="PGJ12" s="72"/>
      <c r="PGQ12" s="74"/>
      <c r="PGR12" s="72"/>
      <c r="PGY12" s="74"/>
      <c r="PGZ12" s="72"/>
      <c r="PHG12" s="74"/>
      <c r="PHH12" s="72"/>
      <c r="PHO12" s="74"/>
      <c r="PHP12" s="72"/>
      <c r="PHW12" s="74"/>
      <c r="PHX12" s="72"/>
      <c r="PIE12" s="74"/>
      <c r="PIF12" s="72"/>
      <c r="PIM12" s="74"/>
      <c r="PIN12" s="72"/>
      <c r="PIU12" s="74"/>
      <c r="PIV12" s="72"/>
      <c r="PJC12" s="74"/>
      <c r="PJD12" s="72"/>
      <c r="PJK12" s="74"/>
      <c r="PJL12" s="72"/>
      <c r="PJS12" s="74"/>
      <c r="PJT12" s="72"/>
      <c r="PKA12" s="74"/>
      <c r="PKB12" s="72"/>
      <c r="PKI12" s="74"/>
      <c r="PKJ12" s="72"/>
      <c r="PKQ12" s="74"/>
      <c r="PKR12" s="72"/>
      <c r="PKY12" s="74"/>
      <c r="PKZ12" s="72"/>
      <c r="PLG12" s="74"/>
      <c r="PLH12" s="72"/>
      <c r="PLO12" s="74"/>
      <c r="PLP12" s="72"/>
      <c r="PLW12" s="74"/>
      <c r="PLX12" s="72"/>
      <c r="PME12" s="74"/>
      <c r="PMF12" s="72"/>
      <c r="PMM12" s="74"/>
      <c r="PMN12" s="72"/>
      <c r="PMU12" s="74"/>
      <c r="PMV12" s="72"/>
      <c r="PNC12" s="74"/>
      <c r="PND12" s="72"/>
      <c r="PNK12" s="74"/>
      <c r="PNL12" s="72"/>
      <c r="PNS12" s="74"/>
      <c r="PNT12" s="72"/>
      <c r="POA12" s="74"/>
      <c r="POB12" s="72"/>
      <c r="POI12" s="74"/>
      <c r="POJ12" s="72"/>
      <c r="POQ12" s="74"/>
      <c r="POR12" s="72"/>
      <c r="POY12" s="74"/>
      <c r="POZ12" s="72"/>
      <c r="PPG12" s="74"/>
      <c r="PPH12" s="72"/>
      <c r="PPO12" s="74"/>
      <c r="PPP12" s="72"/>
      <c r="PPW12" s="74"/>
      <c r="PPX12" s="72"/>
      <c r="PQE12" s="74"/>
      <c r="PQF12" s="72"/>
      <c r="PQM12" s="74"/>
      <c r="PQN12" s="72"/>
      <c r="PQU12" s="74"/>
      <c r="PQV12" s="72"/>
      <c r="PRC12" s="74"/>
      <c r="PRD12" s="72"/>
      <c r="PRK12" s="74"/>
      <c r="PRL12" s="72"/>
      <c r="PRS12" s="74"/>
      <c r="PRT12" s="72"/>
      <c r="PSA12" s="74"/>
      <c r="PSB12" s="72"/>
      <c r="PSI12" s="74"/>
      <c r="PSJ12" s="72"/>
      <c r="PSQ12" s="74"/>
      <c r="PSR12" s="72"/>
      <c r="PSY12" s="74"/>
      <c r="PSZ12" s="72"/>
      <c r="PTG12" s="74"/>
      <c r="PTH12" s="72"/>
      <c r="PTO12" s="74"/>
      <c r="PTP12" s="72"/>
      <c r="PTW12" s="74"/>
      <c r="PTX12" s="72"/>
      <c r="PUE12" s="74"/>
      <c r="PUF12" s="72"/>
      <c r="PUM12" s="74"/>
      <c r="PUN12" s="72"/>
      <c r="PUU12" s="74"/>
      <c r="PUV12" s="72"/>
      <c r="PVC12" s="74"/>
      <c r="PVD12" s="72"/>
      <c r="PVK12" s="74"/>
      <c r="PVL12" s="72"/>
      <c r="PVS12" s="74"/>
      <c r="PVT12" s="72"/>
      <c r="PWA12" s="74"/>
      <c r="PWB12" s="72"/>
      <c r="PWI12" s="74"/>
      <c r="PWJ12" s="72"/>
      <c r="PWQ12" s="74"/>
      <c r="PWR12" s="72"/>
      <c r="PWY12" s="74"/>
      <c r="PWZ12" s="72"/>
      <c r="PXG12" s="74"/>
      <c r="PXH12" s="72"/>
      <c r="PXO12" s="74"/>
      <c r="PXP12" s="72"/>
      <c r="PXW12" s="74"/>
      <c r="PXX12" s="72"/>
      <c r="PYE12" s="74"/>
      <c r="PYF12" s="72"/>
      <c r="PYM12" s="74"/>
      <c r="PYN12" s="72"/>
      <c r="PYU12" s="74"/>
      <c r="PYV12" s="72"/>
      <c r="PZC12" s="74"/>
      <c r="PZD12" s="72"/>
      <c r="PZK12" s="74"/>
      <c r="PZL12" s="72"/>
      <c r="PZS12" s="74"/>
      <c r="PZT12" s="72"/>
      <c r="QAA12" s="74"/>
      <c r="QAB12" s="72"/>
      <c r="QAI12" s="74"/>
      <c r="QAJ12" s="72"/>
      <c r="QAQ12" s="74"/>
      <c r="QAR12" s="72"/>
      <c r="QAY12" s="74"/>
      <c r="QAZ12" s="72"/>
      <c r="QBG12" s="74"/>
      <c r="QBH12" s="72"/>
      <c r="QBO12" s="74"/>
      <c r="QBP12" s="72"/>
      <c r="QBW12" s="74"/>
      <c r="QBX12" s="72"/>
      <c r="QCE12" s="74"/>
      <c r="QCF12" s="72"/>
      <c r="QCM12" s="74"/>
      <c r="QCN12" s="72"/>
      <c r="QCU12" s="74"/>
      <c r="QCV12" s="72"/>
      <c r="QDC12" s="74"/>
      <c r="QDD12" s="72"/>
      <c r="QDK12" s="74"/>
      <c r="QDL12" s="72"/>
      <c r="QDS12" s="74"/>
      <c r="QDT12" s="72"/>
      <c r="QEA12" s="74"/>
      <c r="QEB12" s="72"/>
      <c r="QEI12" s="74"/>
      <c r="QEJ12" s="72"/>
      <c r="QEQ12" s="74"/>
      <c r="QER12" s="72"/>
      <c r="QEY12" s="74"/>
      <c r="QEZ12" s="72"/>
      <c r="QFG12" s="74"/>
      <c r="QFH12" s="72"/>
      <c r="QFO12" s="74"/>
      <c r="QFP12" s="72"/>
      <c r="QFW12" s="74"/>
      <c r="QFX12" s="72"/>
      <c r="QGE12" s="74"/>
      <c r="QGF12" s="72"/>
      <c r="QGM12" s="74"/>
      <c r="QGN12" s="72"/>
      <c r="QGU12" s="74"/>
      <c r="QGV12" s="72"/>
      <c r="QHC12" s="74"/>
      <c r="QHD12" s="72"/>
      <c r="QHK12" s="74"/>
      <c r="QHL12" s="72"/>
      <c r="QHS12" s="74"/>
      <c r="QHT12" s="72"/>
      <c r="QIA12" s="74"/>
      <c r="QIB12" s="72"/>
      <c r="QII12" s="74"/>
      <c r="QIJ12" s="72"/>
      <c r="QIQ12" s="74"/>
      <c r="QIR12" s="72"/>
      <c r="QIY12" s="74"/>
      <c r="QIZ12" s="72"/>
      <c r="QJG12" s="74"/>
      <c r="QJH12" s="72"/>
      <c r="QJO12" s="74"/>
      <c r="QJP12" s="72"/>
      <c r="QJW12" s="74"/>
      <c r="QJX12" s="72"/>
      <c r="QKE12" s="74"/>
      <c r="QKF12" s="72"/>
      <c r="QKM12" s="74"/>
      <c r="QKN12" s="72"/>
      <c r="QKU12" s="74"/>
      <c r="QKV12" s="72"/>
      <c r="QLC12" s="74"/>
      <c r="QLD12" s="72"/>
      <c r="QLK12" s="74"/>
      <c r="QLL12" s="72"/>
      <c r="QLS12" s="74"/>
      <c r="QLT12" s="72"/>
      <c r="QMA12" s="74"/>
      <c r="QMB12" s="72"/>
      <c r="QMI12" s="74"/>
      <c r="QMJ12" s="72"/>
      <c r="QMQ12" s="74"/>
      <c r="QMR12" s="72"/>
      <c r="QMY12" s="74"/>
      <c r="QMZ12" s="72"/>
      <c r="QNG12" s="74"/>
      <c r="QNH12" s="72"/>
      <c r="QNO12" s="74"/>
      <c r="QNP12" s="72"/>
      <c r="QNW12" s="74"/>
      <c r="QNX12" s="72"/>
      <c r="QOE12" s="74"/>
      <c r="QOF12" s="72"/>
      <c r="QOM12" s="74"/>
      <c r="QON12" s="72"/>
      <c r="QOU12" s="74"/>
      <c r="QOV12" s="72"/>
      <c r="QPC12" s="74"/>
      <c r="QPD12" s="72"/>
      <c r="QPK12" s="74"/>
      <c r="QPL12" s="72"/>
      <c r="QPS12" s="74"/>
      <c r="QPT12" s="72"/>
      <c r="QQA12" s="74"/>
      <c r="QQB12" s="72"/>
      <c r="QQI12" s="74"/>
      <c r="QQJ12" s="72"/>
      <c r="QQQ12" s="74"/>
      <c r="QQR12" s="72"/>
      <c r="QQY12" s="74"/>
      <c r="QQZ12" s="72"/>
      <c r="QRG12" s="74"/>
      <c r="QRH12" s="72"/>
      <c r="QRO12" s="74"/>
      <c r="QRP12" s="72"/>
      <c r="QRW12" s="74"/>
      <c r="QRX12" s="72"/>
      <c r="QSE12" s="74"/>
      <c r="QSF12" s="72"/>
      <c r="QSM12" s="74"/>
      <c r="QSN12" s="72"/>
      <c r="QSU12" s="74"/>
      <c r="QSV12" s="72"/>
      <c r="QTC12" s="74"/>
      <c r="QTD12" s="72"/>
      <c r="QTK12" s="74"/>
      <c r="QTL12" s="72"/>
      <c r="QTS12" s="74"/>
      <c r="QTT12" s="72"/>
      <c r="QUA12" s="74"/>
      <c r="QUB12" s="72"/>
      <c r="QUI12" s="74"/>
      <c r="QUJ12" s="72"/>
      <c r="QUQ12" s="74"/>
      <c r="QUR12" s="72"/>
      <c r="QUY12" s="74"/>
      <c r="QUZ12" s="72"/>
      <c r="QVG12" s="74"/>
      <c r="QVH12" s="72"/>
      <c r="QVO12" s="74"/>
      <c r="QVP12" s="72"/>
      <c r="QVW12" s="74"/>
      <c r="QVX12" s="72"/>
      <c r="QWE12" s="74"/>
      <c r="QWF12" s="72"/>
      <c r="QWM12" s="74"/>
      <c r="QWN12" s="72"/>
      <c r="QWU12" s="74"/>
      <c r="QWV12" s="72"/>
      <c r="QXC12" s="74"/>
      <c r="QXD12" s="72"/>
      <c r="QXK12" s="74"/>
      <c r="QXL12" s="72"/>
      <c r="QXS12" s="74"/>
      <c r="QXT12" s="72"/>
      <c r="QYA12" s="74"/>
      <c r="QYB12" s="72"/>
      <c r="QYI12" s="74"/>
      <c r="QYJ12" s="72"/>
      <c r="QYQ12" s="74"/>
      <c r="QYR12" s="72"/>
      <c r="QYY12" s="74"/>
      <c r="QYZ12" s="72"/>
      <c r="QZG12" s="74"/>
      <c r="QZH12" s="72"/>
      <c r="QZO12" s="74"/>
      <c r="QZP12" s="72"/>
      <c r="QZW12" s="74"/>
      <c r="QZX12" s="72"/>
      <c r="RAE12" s="74"/>
      <c r="RAF12" s="72"/>
      <c r="RAM12" s="74"/>
      <c r="RAN12" s="72"/>
      <c r="RAU12" s="74"/>
      <c r="RAV12" s="72"/>
      <c r="RBC12" s="74"/>
      <c r="RBD12" s="72"/>
      <c r="RBK12" s="74"/>
      <c r="RBL12" s="72"/>
      <c r="RBS12" s="74"/>
      <c r="RBT12" s="72"/>
      <c r="RCA12" s="74"/>
      <c r="RCB12" s="72"/>
      <c r="RCI12" s="74"/>
      <c r="RCJ12" s="72"/>
      <c r="RCQ12" s="74"/>
      <c r="RCR12" s="72"/>
      <c r="RCY12" s="74"/>
      <c r="RCZ12" s="72"/>
      <c r="RDG12" s="74"/>
      <c r="RDH12" s="72"/>
      <c r="RDO12" s="74"/>
      <c r="RDP12" s="72"/>
      <c r="RDW12" s="74"/>
      <c r="RDX12" s="72"/>
      <c r="REE12" s="74"/>
      <c r="REF12" s="72"/>
      <c r="REM12" s="74"/>
      <c r="REN12" s="72"/>
      <c r="REU12" s="74"/>
      <c r="REV12" s="72"/>
      <c r="RFC12" s="74"/>
      <c r="RFD12" s="72"/>
      <c r="RFK12" s="74"/>
      <c r="RFL12" s="72"/>
      <c r="RFS12" s="74"/>
      <c r="RFT12" s="72"/>
      <c r="RGA12" s="74"/>
      <c r="RGB12" s="72"/>
      <c r="RGI12" s="74"/>
      <c r="RGJ12" s="72"/>
      <c r="RGQ12" s="74"/>
      <c r="RGR12" s="72"/>
      <c r="RGY12" s="74"/>
      <c r="RGZ12" s="72"/>
      <c r="RHG12" s="74"/>
      <c r="RHH12" s="72"/>
      <c r="RHO12" s="74"/>
      <c r="RHP12" s="72"/>
      <c r="RHW12" s="74"/>
      <c r="RHX12" s="72"/>
      <c r="RIE12" s="74"/>
      <c r="RIF12" s="72"/>
      <c r="RIM12" s="74"/>
      <c r="RIN12" s="72"/>
      <c r="RIU12" s="74"/>
      <c r="RIV12" s="72"/>
      <c r="RJC12" s="74"/>
      <c r="RJD12" s="72"/>
      <c r="RJK12" s="74"/>
      <c r="RJL12" s="72"/>
      <c r="RJS12" s="74"/>
      <c r="RJT12" s="72"/>
      <c r="RKA12" s="74"/>
      <c r="RKB12" s="72"/>
      <c r="RKI12" s="74"/>
      <c r="RKJ12" s="72"/>
      <c r="RKQ12" s="74"/>
      <c r="RKR12" s="72"/>
      <c r="RKY12" s="74"/>
      <c r="RKZ12" s="72"/>
      <c r="RLG12" s="74"/>
      <c r="RLH12" s="72"/>
      <c r="RLO12" s="74"/>
      <c r="RLP12" s="72"/>
      <c r="RLW12" s="74"/>
      <c r="RLX12" s="72"/>
      <c r="RME12" s="74"/>
      <c r="RMF12" s="72"/>
      <c r="RMM12" s="74"/>
      <c r="RMN12" s="72"/>
      <c r="RMU12" s="74"/>
      <c r="RMV12" s="72"/>
      <c r="RNC12" s="74"/>
      <c r="RND12" s="72"/>
      <c r="RNK12" s="74"/>
      <c r="RNL12" s="72"/>
      <c r="RNS12" s="74"/>
      <c r="RNT12" s="72"/>
      <c r="ROA12" s="74"/>
      <c r="ROB12" s="72"/>
      <c r="ROI12" s="74"/>
      <c r="ROJ12" s="72"/>
      <c r="ROQ12" s="74"/>
      <c r="ROR12" s="72"/>
      <c r="ROY12" s="74"/>
      <c r="ROZ12" s="72"/>
      <c r="RPG12" s="74"/>
      <c r="RPH12" s="72"/>
      <c r="RPO12" s="74"/>
      <c r="RPP12" s="72"/>
      <c r="RPW12" s="74"/>
      <c r="RPX12" s="72"/>
      <c r="RQE12" s="74"/>
      <c r="RQF12" s="72"/>
      <c r="RQM12" s="74"/>
      <c r="RQN12" s="72"/>
      <c r="RQU12" s="74"/>
      <c r="RQV12" s="72"/>
      <c r="RRC12" s="74"/>
      <c r="RRD12" s="72"/>
      <c r="RRK12" s="74"/>
      <c r="RRL12" s="72"/>
      <c r="RRS12" s="74"/>
      <c r="RRT12" s="72"/>
      <c r="RSA12" s="74"/>
      <c r="RSB12" s="72"/>
      <c r="RSI12" s="74"/>
      <c r="RSJ12" s="72"/>
      <c r="RSQ12" s="74"/>
      <c r="RSR12" s="72"/>
      <c r="RSY12" s="74"/>
      <c r="RSZ12" s="72"/>
      <c r="RTG12" s="74"/>
      <c r="RTH12" s="72"/>
      <c r="RTO12" s="74"/>
      <c r="RTP12" s="72"/>
      <c r="RTW12" s="74"/>
      <c r="RTX12" s="72"/>
      <c r="RUE12" s="74"/>
      <c r="RUF12" s="72"/>
      <c r="RUM12" s="74"/>
      <c r="RUN12" s="72"/>
      <c r="RUU12" s="74"/>
      <c r="RUV12" s="72"/>
      <c r="RVC12" s="74"/>
      <c r="RVD12" s="72"/>
      <c r="RVK12" s="74"/>
      <c r="RVL12" s="72"/>
      <c r="RVS12" s="74"/>
      <c r="RVT12" s="72"/>
      <c r="RWA12" s="74"/>
      <c r="RWB12" s="72"/>
      <c r="RWI12" s="74"/>
      <c r="RWJ12" s="72"/>
      <c r="RWQ12" s="74"/>
      <c r="RWR12" s="72"/>
      <c r="RWY12" s="74"/>
      <c r="RWZ12" s="72"/>
      <c r="RXG12" s="74"/>
      <c r="RXH12" s="72"/>
      <c r="RXO12" s="74"/>
      <c r="RXP12" s="72"/>
      <c r="RXW12" s="74"/>
      <c r="RXX12" s="72"/>
      <c r="RYE12" s="74"/>
      <c r="RYF12" s="72"/>
      <c r="RYM12" s="74"/>
      <c r="RYN12" s="72"/>
      <c r="RYU12" s="74"/>
      <c r="RYV12" s="72"/>
      <c r="RZC12" s="74"/>
      <c r="RZD12" s="72"/>
      <c r="RZK12" s="74"/>
      <c r="RZL12" s="72"/>
      <c r="RZS12" s="74"/>
      <c r="RZT12" s="72"/>
      <c r="SAA12" s="74"/>
      <c r="SAB12" s="72"/>
      <c r="SAI12" s="74"/>
      <c r="SAJ12" s="72"/>
      <c r="SAQ12" s="74"/>
      <c r="SAR12" s="72"/>
      <c r="SAY12" s="74"/>
      <c r="SAZ12" s="72"/>
      <c r="SBG12" s="74"/>
      <c r="SBH12" s="72"/>
      <c r="SBO12" s="74"/>
      <c r="SBP12" s="72"/>
      <c r="SBW12" s="74"/>
      <c r="SBX12" s="72"/>
      <c r="SCE12" s="74"/>
      <c r="SCF12" s="72"/>
      <c r="SCM12" s="74"/>
      <c r="SCN12" s="72"/>
      <c r="SCU12" s="74"/>
      <c r="SCV12" s="72"/>
      <c r="SDC12" s="74"/>
      <c r="SDD12" s="72"/>
      <c r="SDK12" s="74"/>
      <c r="SDL12" s="72"/>
      <c r="SDS12" s="74"/>
      <c r="SDT12" s="72"/>
      <c r="SEA12" s="74"/>
      <c r="SEB12" s="72"/>
      <c r="SEI12" s="74"/>
      <c r="SEJ12" s="72"/>
      <c r="SEQ12" s="74"/>
      <c r="SER12" s="72"/>
      <c r="SEY12" s="74"/>
      <c r="SEZ12" s="72"/>
      <c r="SFG12" s="74"/>
      <c r="SFH12" s="72"/>
      <c r="SFO12" s="74"/>
      <c r="SFP12" s="72"/>
      <c r="SFW12" s="74"/>
      <c r="SFX12" s="72"/>
      <c r="SGE12" s="74"/>
      <c r="SGF12" s="72"/>
      <c r="SGM12" s="74"/>
      <c r="SGN12" s="72"/>
      <c r="SGU12" s="74"/>
      <c r="SGV12" s="72"/>
      <c r="SHC12" s="74"/>
      <c r="SHD12" s="72"/>
      <c r="SHK12" s="74"/>
      <c r="SHL12" s="72"/>
      <c r="SHS12" s="74"/>
      <c r="SHT12" s="72"/>
      <c r="SIA12" s="74"/>
      <c r="SIB12" s="72"/>
      <c r="SII12" s="74"/>
      <c r="SIJ12" s="72"/>
      <c r="SIQ12" s="74"/>
      <c r="SIR12" s="72"/>
      <c r="SIY12" s="74"/>
      <c r="SIZ12" s="72"/>
      <c r="SJG12" s="74"/>
      <c r="SJH12" s="72"/>
      <c r="SJO12" s="74"/>
      <c r="SJP12" s="72"/>
      <c r="SJW12" s="74"/>
      <c r="SJX12" s="72"/>
      <c r="SKE12" s="74"/>
      <c r="SKF12" s="72"/>
      <c r="SKM12" s="74"/>
      <c r="SKN12" s="72"/>
      <c r="SKU12" s="74"/>
      <c r="SKV12" s="72"/>
      <c r="SLC12" s="74"/>
      <c r="SLD12" s="72"/>
      <c r="SLK12" s="74"/>
      <c r="SLL12" s="72"/>
      <c r="SLS12" s="74"/>
      <c r="SLT12" s="72"/>
      <c r="SMA12" s="74"/>
      <c r="SMB12" s="72"/>
      <c r="SMI12" s="74"/>
      <c r="SMJ12" s="72"/>
      <c r="SMQ12" s="74"/>
      <c r="SMR12" s="72"/>
      <c r="SMY12" s="74"/>
      <c r="SMZ12" s="72"/>
      <c r="SNG12" s="74"/>
      <c r="SNH12" s="72"/>
      <c r="SNO12" s="74"/>
      <c r="SNP12" s="72"/>
      <c r="SNW12" s="74"/>
      <c r="SNX12" s="72"/>
      <c r="SOE12" s="74"/>
      <c r="SOF12" s="72"/>
      <c r="SOM12" s="74"/>
      <c r="SON12" s="72"/>
      <c r="SOU12" s="74"/>
      <c r="SOV12" s="72"/>
      <c r="SPC12" s="74"/>
      <c r="SPD12" s="72"/>
      <c r="SPK12" s="74"/>
      <c r="SPL12" s="72"/>
      <c r="SPS12" s="74"/>
      <c r="SPT12" s="72"/>
      <c r="SQA12" s="74"/>
      <c r="SQB12" s="72"/>
      <c r="SQI12" s="74"/>
      <c r="SQJ12" s="72"/>
      <c r="SQQ12" s="74"/>
      <c r="SQR12" s="72"/>
      <c r="SQY12" s="74"/>
      <c r="SQZ12" s="72"/>
      <c r="SRG12" s="74"/>
      <c r="SRH12" s="72"/>
      <c r="SRO12" s="74"/>
      <c r="SRP12" s="72"/>
      <c r="SRW12" s="74"/>
      <c r="SRX12" s="72"/>
      <c r="SSE12" s="74"/>
      <c r="SSF12" s="72"/>
      <c r="SSM12" s="74"/>
      <c r="SSN12" s="72"/>
      <c r="SSU12" s="74"/>
      <c r="SSV12" s="72"/>
      <c r="STC12" s="74"/>
      <c r="STD12" s="72"/>
      <c r="STK12" s="74"/>
      <c r="STL12" s="72"/>
      <c r="STS12" s="74"/>
      <c r="STT12" s="72"/>
      <c r="SUA12" s="74"/>
      <c r="SUB12" s="72"/>
      <c r="SUI12" s="74"/>
      <c r="SUJ12" s="72"/>
      <c r="SUQ12" s="74"/>
      <c r="SUR12" s="72"/>
      <c r="SUY12" s="74"/>
      <c r="SUZ12" s="72"/>
      <c r="SVG12" s="74"/>
      <c r="SVH12" s="72"/>
      <c r="SVO12" s="74"/>
      <c r="SVP12" s="72"/>
      <c r="SVW12" s="74"/>
      <c r="SVX12" s="72"/>
      <c r="SWE12" s="74"/>
      <c r="SWF12" s="72"/>
      <c r="SWM12" s="74"/>
      <c r="SWN12" s="72"/>
      <c r="SWU12" s="74"/>
      <c r="SWV12" s="72"/>
      <c r="SXC12" s="74"/>
      <c r="SXD12" s="72"/>
      <c r="SXK12" s="74"/>
      <c r="SXL12" s="72"/>
      <c r="SXS12" s="74"/>
      <c r="SXT12" s="72"/>
      <c r="SYA12" s="74"/>
      <c r="SYB12" s="72"/>
      <c r="SYI12" s="74"/>
      <c r="SYJ12" s="72"/>
      <c r="SYQ12" s="74"/>
      <c r="SYR12" s="72"/>
      <c r="SYY12" s="74"/>
      <c r="SYZ12" s="72"/>
      <c r="SZG12" s="74"/>
      <c r="SZH12" s="72"/>
      <c r="SZO12" s="74"/>
      <c r="SZP12" s="72"/>
      <c r="SZW12" s="74"/>
      <c r="SZX12" s="72"/>
      <c r="TAE12" s="74"/>
      <c r="TAF12" s="72"/>
      <c r="TAM12" s="74"/>
      <c r="TAN12" s="72"/>
      <c r="TAU12" s="74"/>
      <c r="TAV12" s="72"/>
      <c r="TBC12" s="74"/>
      <c r="TBD12" s="72"/>
      <c r="TBK12" s="74"/>
      <c r="TBL12" s="72"/>
      <c r="TBS12" s="74"/>
      <c r="TBT12" s="72"/>
      <c r="TCA12" s="74"/>
      <c r="TCB12" s="72"/>
      <c r="TCI12" s="74"/>
      <c r="TCJ12" s="72"/>
      <c r="TCQ12" s="74"/>
      <c r="TCR12" s="72"/>
      <c r="TCY12" s="74"/>
      <c r="TCZ12" s="72"/>
      <c r="TDG12" s="74"/>
      <c r="TDH12" s="72"/>
      <c r="TDO12" s="74"/>
      <c r="TDP12" s="72"/>
      <c r="TDW12" s="74"/>
      <c r="TDX12" s="72"/>
      <c r="TEE12" s="74"/>
      <c r="TEF12" s="72"/>
      <c r="TEM12" s="74"/>
      <c r="TEN12" s="72"/>
      <c r="TEU12" s="74"/>
      <c r="TEV12" s="72"/>
      <c r="TFC12" s="74"/>
      <c r="TFD12" s="72"/>
      <c r="TFK12" s="74"/>
      <c r="TFL12" s="72"/>
      <c r="TFS12" s="74"/>
      <c r="TFT12" s="72"/>
      <c r="TGA12" s="74"/>
      <c r="TGB12" s="72"/>
      <c r="TGI12" s="74"/>
      <c r="TGJ12" s="72"/>
      <c r="TGQ12" s="74"/>
      <c r="TGR12" s="72"/>
      <c r="TGY12" s="74"/>
      <c r="TGZ12" s="72"/>
      <c r="THG12" s="74"/>
      <c r="THH12" s="72"/>
      <c r="THO12" s="74"/>
      <c r="THP12" s="72"/>
      <c r="THW12" s="74"/>
      <c r="THX12" s="72"/>
      <c r="TIE12" s="74"/>
      <c r="TIF12" s="72"/>
      <c r="TIM12" s="74"/>
      <c r="TIN12" s="72"/>
      <c r="TIU12" s="74"/>
      <c r="TIV12" s="72"/>
      <c r="TJC12" s="74"/>
      <c r="TJD12" s="72"/>
      <c r="TJK12" s="74"/>
      <c r="TJL12" s="72"/>
      <c r="TJS12" s="74"/>
      <c r="TJT12" s="72"/>
      <c r="TKA12" s="74"/>
      <c r="TKB12" s="72"/>
      <c r="TKI12" s="74"/>
      <c r="TKJ12" s="72"/>
      <c r="TKQ12" s="74"/>
      <c r="TKR12" s="72"/>
      <c r="TKY12" s="74"/>
      <c r="TKZ12" s="72"/>
      <c r="TLG12" s="74"/>
      <c r="TLH12" s="72"/>
      <c r="TLO12" s="74"/>
      <c r="TLP12" s="72"/>
      <c r="TLW12" s="74"/>
      <c r="TLX12" s="72"/>
      <c r="TME12" s="74"/>
      <c r="TMF12" s="72"/>
      <c r="TMM12" s="74"/>
      <c r="TMN12" s="72"/>
      <c r="TMU12" s="74"/>
      <c r="TMV12" s="72"/>
      <c r="TNC12" s="74"/>
      <c r="TND12" s="72"/>
      <c r="TNK12" s="74"/>
      <c r="TNL12" s="72"/>
      <c r="TNS12" s="74"/>
      <c r="TNT12" s="72"/>
      <c r="TOA12" s="74"/>
      <c r="TOB12" s="72"/>
      <c r="TOI12" s="74"/>
      <c r="TOJ12" s="72"/>
      <c r="TOQ12" s="74"/>
      <c r="TOR12" s="72"/>
      <c r="TOY12" s="74"/>
      <c r="TOZ12" s="72"/>
      <c r="TPG12" s="74"/>
      <c r="TPH12" s="72"/>
      <c r="TPO12" s="74"/>
      <c r="TPP12" s="72"/>
      <c r="TPW12" s="74"/>
      <c r="TPX12" s="72"/>
      <c r="TQE12" s="74"/>
      <c r="TQF12" s="72"/>
      <c r="TQM12" s="74"/>
      <c r="TQN12" s="72"/>
      <c r="TQU12" s="74"/>
      <c r="TQV12" s="72"/>
      <c r="TRC12" s="74"/>
      <c r="TRD12" s="72"/>
      <c r="TRK12" s="74"/>
      <c r="TRL12" s="72"/>
      <c r="TRS12" s="74"/>
      <c r="TRT12" s="72"/>
      <c r="TSA12" s="74"/>
      <c r="TSB12" s="72"/>
      <c r="TSI12" s="74"/>
      <c r="TSJ12" s="72"/>
      <c r="TSQ12" s="74"/>
      <c r="TSR12" s="72"/>
      <c r="TSY12" s="74"/>
      <c r="TSZ12" s="72"/>
      <c r="TTG12" s="74"/>
      <c r="TTH12" s="72"/>
      <c r="TTO12" s="74"/>
      <c r="TTP12" s="72"/>
      <c r="TTW12" s="74"/>
      <c r="TTX12" s="72"/>
      <c r="TUE12" s="74"/>
      <c r="TUF12" s="72"/>
      <c r="TUM12" s="74"/>
      <c r="TUN12" s="72"/>
      <c r="TUU12" s="74"/>
      <c r="TUV12" s="72"/>
      <c r="TVC12" s="74"/>
      <c r="TVD12" s="72"/>
      <c r="TVK12" s="74"/>
      <c r="TVL12" s="72"/>
      <c r="TVS12" s="74"/>
      <c r="TVT12" s="72"/>
      <c r="TWA12" s="74"/>
      <c r="TWB12" s="72"/>
      <c r="TWI12" s="74"/>
      <c r="TWJ12" s="72"/>
      <c r="TWQ12" s="74"/>
      <c r="TWR12" s="72"/>
      <c r="TWY12" s="74"/>
      <c r="TWZ12" s="72"/>
      <c r="TXG12" s="74"/>
      <c r="TXH12" s="72"/>
      <c r="TXO12" s="74"/>
      <c r="TXP12" s="72"/>
      <c r="TXW12" s="74"/>
      <c r="TXX12" s="72"/>
      <c r="TYE12" s="74"/>
      <c r="TYF12" s="72"/>
      <c r="TYM12" s="74"/>
      <c r="TYN12" s="72"/>
      <c r="TYU12" s="74"/>
      <c r="TYV12" s="72"/>
      <c r="TZC12" s="74"/>
      <c r="TZD12" s="72"/>
      <c r="TZK12" s="74"/>
      <c r="TZL12" s="72"/>
      <c r="TZS12" s="74"/>
      <c r="TZT12" s="72"/>
      <c r="UAA12" s="74"/>
      <c r="UAB12" s="72"/>
      <c r="UAI12" s="74"/>
      <c r="UAJ12" s="72"/>
      <c r="UAQ12" s="74"/>
      <c r="UAR12" s="72"/>
      <c r="UAY12" s="74"/>
      <c r="UAZ12" s="72"/>
      <c r="UBG12" s="74"/>
      <c r="UBH12" s="72"/>
      <c r="UBO12" s="74"/>
      <c r="UBP12" s="72"/>
      <c r="UBW12" s="74"/>
      <c r="UBX12" s="72"/>
      <c r="UCE12" s="74"/>
      <c r="UCF12" s="72"/>
      <c r="UCM12" s="74"/>
      <c r="UCN12" s="72"/>
      <c r="UCU12" s="74"/>
      <c r="UCV12" s="72"/>
      <c r="UDC12" s="74"/>
      <c r="UDD12" s="72"/>
      <c r="UDK12" s="74"/>
      <c r="UDL12" s="72"/>
      <c r="UDS12" s="74"/>
      <c r="UDT12" s="72"/>
      <c r="UEA12" s="74"/>
      <c r="UEB12" s="72"/>
      <c r="UEI12" s="74"/>
      <c r="UEJ12" s="72"/>
      <c r="UEQ12" s="74"/>
      <c r="UER12" s="72"/>
      <c r="UEY12" s="74"/>
      <c r="UEZ12" s="72"/>
      <c r="UFG12" s="74"/>
      <c r="UFH12" s="72"/>
      <c r="UFO12" s="74"/>
      <c r="UFP12" s="72"/>
      <c r="UFW12" s="74"/>
      <c r="UFX12" s="72"/>
      <c r="UGE12" s="74"/>
      <c r="UGF12" s="72"/>
      <c r="UGM12" s="74"/>
      <c r="UGN12" s="72"/>
      <c r="UGU12" s="74"/>
      <c r="UGV12" s="72"/>
      <c r="UHC12" s="74"/>
      <c r="UHD12" s="72"/>
      <c r="UHK12" s="74"/>
      <c r="UHL12" s="72"/>
      <c r="UHS12" s="74"/>
      <c r="UHT12" s="72"/>
      <c r="UIA12" s="74"/>
      <c r="UIB12" s="72"/>
      <c r="UII12" s="74"/>
      <c r="UIJ12" s="72"/>
      <c r="UIQ12" s="74"/>
      <c r="UIR12" s="72"/>
      <c r="UIY12" s="74"/>
      <c r="UIZ12" s="72"/>
      <c r="UJG12" s="74"/>
      <c r="UJH12" s="72"/>
      <c r="UJO12" s="74"/>
      <c r="UJP12" s="72"/>
      <c r="UJW12" s="74"/>
      <c r="UJX12" s="72"/>
      <c r="UKE12" s="74"/>
      <c r="UKF12" s="72"/>
      <c r="UKM12" s="74"/>
      <c r="UKN12" s="72"/>
      <c r="UKU12" s="74"/>
      <c r="UKV12" s="72"/>
      <c r="ULC12" s="74"/>
      <c r="ULD12" s="72"/>
      <c r="ULK12" s="74"/>
      <c r="ULL12" s="72"/>
      <c r="ULS12" s="74"/>
      <c r="ULT12" s="72"/>
      <c r="UMA12" s="74"/>
      <c r="UMB12" s="72"/>
      <c r="UMI12" s="74"/>
      <c r="UMJ12" s="72"/>
      <c r="UMQ12" s="74"/>
      <c r="UMR12" s="72"/>
      <c r="UMY12" s="74"/>
      <c r="UMZ12" s="72"/>
      <c r="UNG12" s="74"/>
      <c r="UNH12" s="72"/>
      <c r="UNO12" s="74"/>
      <c r="UNP12" s="72"/>
      <c r="UNW12" s="74"/>
      <c r="UNX12" s="72"/>
      <c r="UOE12" s="74"/>
      <c r="UOF12" s="72"/>
      <c r="UOM12" s="74"/>
      <c r="UON12" s="72"/>
      <c r="UOU12" s="74"/>
      <c r="UOV12" s="72"/>
      <c r="UPC12" s="74"/>
      <c r="UPD12" s="72"/>
      <c r="UPK12" s="74"/>
      <c r="UPL12" s="72"/>
      <c r="UPS12" s="74"/>
      <c r="UPT12" s="72"/>
      <c r="UQA12" s="74"/>
      <c r="UQB12" s="72"/>
      <c r="UQI12" s="74"/>
      <c r="UQJ12" s="72"/>
      <c r="UQQ12" s="74"/>
      <c r="UQR12" s="72"/>
      <c r="UQY12" s="74"/>
      <c r="UQZ12" s="72"/>
      <c r="URG12" s="74"/>
      <c r="URH12" s="72"/>
      <c r="URO12" s="74"/>
      <c r="URP12" s="72"/>
      <c r="URW12" s="74"/>
      <c r="URX12" s="72"/>
      <c r="USE12" s="74"/>
      <c r="USF12" s="72"/>
      <c r="USM12" s="74"/>
      <c r="USN12" s="72"/>
      <c r="USU12" s="74"/>
      <c r="USV12" s="72"/>
      <c r="UTC12" s="74"/>
      <c r="UTD12" s="72"/>
      <c r="UTK12" s="74"/>
      <c r="UTL12" s="72"/>
      <c r="UTS12" s="74"/>
      <c r="UTT12" s="72"/>
      <c r="UUA12" s="74"/>
      <c r="UUB12" s="72"/>
      <c r="UUI12" s="74"/>
      <c r="UUJ12" s="72"/>
      <c r="UUQ12" s="74"/>
      <c r="UUR12" s="72"/>
      <c r="UUY12" s="74"/>
      <c r="UUZ12" s="72"/>
      <c r="UVG12" s="74"/>
      <c r="UVH12" s="72"/>
      <c r="UVO12" s="74"/>
      <c r="UVP12" s="72"/>
      <c r="UVW12" s="74"/>
      <c r="UVX12" s="72"/>
      <c r="UWE12" s="74"/>
      <c r="UWF12" s="72"/>
      <c r="UWM12" s="74"/>
      <c r="UWN12" s="72"/>
      <c r="UWU12" s="74"/>
      <c r="UWV12" s="72"/>
      <c r="UXC12" s="74"/>
      <c r="UXD12" s="72"/>
      <c r="UXK12" s="74"/>
      <c r="UXL12" s="72"/>
      <c r="UXS12" s="74"/>
      <c r="UXT12" s="72"/>
      <c r="UYA12" s="74"/>
      <c r="UYB12" s="72"/>
      <c r="UYI12" s="74"/>
      <c r="UYJ12" s="72"/>
      <c r="UYQ12" s="74"/>
      <c r="UYR12" s="72"/>
      <c r="UYY12" s="74"/>
      <c r="UYZ12" s="72"/>
      <c r="UZG12" s="74"/>
      <c r="UZH12" s="72"/>
      <c r="UZO12" s="74"/>
      <c r="UZP12" s="72"/>
      <c r="UZW12" s="74"/>
      <c r="UZX12" s="72"/>
      <c r="VAE12" s="74"/>
      <c r="VAF12" s="72"/>
      <c r="VAM12" s="74"/>
      <c r="VAN12" s="72"/>
      <c r="VAU12" s="74"/>
      <c r="VAV12" s="72"/>
      <c r="VBC12" s="74"/>
      <c r="VBD12" s="72"/>
      <c r="VBK12" s="74"/>
      <c r="VBL12" s="72"/>
      <c r="VBS12" s="74"/>
      <c r="VBT12" s="72"/>
      <c r="VCA12" s="74"/>
      <c r="VCB12" s="72"/>
      <c r="VCI12" s="74"/>
      <c r="VCJ12" s="72"/>
      <c r="VCQ12" s="74"/>
      <c r="VCR12" s="72"/>
      <c r="VCY12" s="74"/>
      <c r="VCZ12" s="72"/>
      <c r="VDG12" s="74"/>
      <c r="VDH12" s="72"/>
      <c r="VDO12" s="74"/>
      <c r="VDP12" s="72"/>
      <c r="VDW12" s="74"/>
      <c r="VDX12" s="72"/>
      <c r="VEE12" s="74"/>
      <c r="VEF12" s="72"/>
      <c r="VEM12" s="74"/>
      <c r="VEN12" s="72"/>
      <c r="VEU12" s="74"/>
      <c r="VEV12" s="72"/>
      <c r="VFC12" s="74"/>
      <c r="VFD12" s="72"/>
      <c r="VFK12" s="74"/>
      <c r="VFL12" s="72"/>
      <c r="VFS12" s="74"/>
      <c r="VFT12" s="72"/>
      <c r="VGA12" s="74"/>
      <c r="VGB12" s="72"/>
      <c r="VGI12" s="74"/>
      <c r="VGJ12" s="72"/>
      <c r="VGQ12" s="74"/>
      <c r="VGR12" s="72"/>
      <c r="VGY12" s="74"/>
      <c r="VGZ12" s="72"/>
      <c r="VHG12" s="74"/>
      <c r="VHH12" s="72"/>
      <c r="VHO12" s="74"/>
      <c r="VHP12" s="72"/>
      <c r="VHW12" s="74"/>
      <c r="VHX12" s="72"/>
      <c r="VIE12" s="74"/>
      <c r="VIF12" s="72"/>
      <c r="VIM12" s="74"/>
      <c r="VIN12" s="72"/>
      <c r="VIU12" s="74"/>
      <c r="VIV12" s="72"/>
      <c r="VJC12" s="74"/>
      <c r="VJD12" s="72"/>
      <c r="VJK12" s="74"/>
      <c r="VJL12" s="72"/>
      <c r="VJS12" s="74"/>
      <c r="VJT12" s="72"/>
      <c r="VKA12" s="74"/>
      <c r="VKB12" s="72"/>
      <c r="VKI12" s="74"/>
      <c r="VKJ12" s="72"/>
      <c r="VKQ12" s="74"/>
      <c r="VKR12" s="72"/>
      <c r="VKY12" s="74"/>
      <c r="VKZ12" s="72"/>
      <c r="VLG12" s="74"/>
      <c r="VLH12" s="72"/>
      <c r="VLO12" s="74"/>
      <c r="VLP12" s="72"/>
      <c r="VLW12" s="74"/>
      <c r="VLX12" s="72"/>
      <c r="VME12" s="74"/>
      <c r="VMF12" s="72"/>
      <c r="VMM12" s="74"/>
      <c r="VMN12" s="72"/>
      <c r="VMU12" s="74"/>
      <c r="VMV12" s="72"/>
      <c r="VNC12" s="74"/>
      <c r="VND12" s="72"/>
      <c r="VNK12" s="74"/>
      <c r="VNL12" s="72"/>
      <c r="VNS12" s="74"/>
      <c r="VNT12" s="72"/>
      <c r="VOA12" s="74"/>
      <c r="VOB12" s="72"/>
      <c r="VOI12" s="74"/>
      <c r="VOJ12" s="72"/>
      <c r="VOQ12" s="74"/>
      <c r="VOR12" s="72"/>
      <c r="VOY12" s="74"/>
      <c r="VOZ12" s="72"/>
      <c r="VPG12" s="74"/>
      <c r="VPH12" s="72"/>
      <c r="VPO12" s="74"/>
      <c r="VPP12" s="72"/>
      <c r="VPW12" s="74"/>
      <c r="VPX12" s="72"/>
      <c r="VQE12" s="74"/>
      <c r="VQF12" s="72"/>
      <c r="VQM12" s="74"/>
      <c r="VQN12" s="72"/>
      <c r="VQU12" s="74"/>
      <c r="VQV12" s="72"/>
      <c r="VRC12" s="74"/>
      <c r="VRD12" s="72"/>
      <c r="VRK12" s="74"/>
      <c r="VRL12" s="72"/>
      <c r="VRS12" s="74"/>
      <c r="VRT12" s="72"/>
      <c r="VSA12" s="74"/>
      <c r="VSB12" s="72"/>
      <c r="VSI12" s="74"/>
      <c r="VSJ12" s="72"/>
      <c r="VSQ12" s="74"/>
      <c r="VSR12" s="72"/>
      <c r="VSY12" s="74"/>
      <c r="VSZ12" s="72"/>
      <c r="VTG12" s="74"/>
      <c r="VTH12" s="72"/>
      <c r="VTO12" s="74"/>
      <c r="VTP12" s="72"/>
      <c r="VTW12" s="74"/>
      <c r="VTX12" s="72"/>
      <c r="VUE12" s="74"/>
      <c r="VUF12" s="72"/>
      <c r="VUM12" s="74"/>
      <c r="VUN12" s="72"/>
      <c r="VUU12" s="74"/>
      <c r="VUV12" s="72"/>
      <c r="VVC12" s="74"/>
      <c r="VVD12" s="72"/>
      <c r="VVK12" s="74"/>
      <c r="VVL12" s="72"/>
      <c r="VVS12" s="74"/>
      <c r="VVT12" s="72"/>
      <c r="VWA12" s="74"/>
      <c r="VWB12" s="72"/>
      <c r="VWI12" s="74"/>
      <c r="VWJ12" s="72"/>
      <c r="VWQ12" s="74"/>
      <c r="VWR12" s="72"/>
      <c r="VWY12" s="74"/>
      <c r="VWZ12" s="72"/>
      <c r="VXG12" s="74"/>
      <c r="VXH12" s="72"/>
      <c r="VXO12" s="74"/>
      <c r="VXP12" s="72"/>
      <c r="VXW12" s="74"/>
      <c r="VXX12" s="72"/>
      <c r="VYE12" s="74"/>
      <c r="VYF12" s="72"/>
      <c r="VYM12" s="74"/>
      <c r="VYN12" s="72"/>
      <c r="VYU12" s="74"/>
      <c r="VYV12" s="72"/>
      <c r="VZC12" s="74"/>
      <c r="VZD12" s="72"/>
      <c r="VZK12" s="74"/>
      <c r="VZL12" s="72"/>
      <c r="VZS12" s="74"/>
      <c r="VZT12" s="72"/>
      <c r="WAA12" s="74"/>
      <c r="WAB12" s="72"/>
      <c r="WAI12" s="74"/>
      <c r="WAJ12" s="72"/>
      <c r="WAQ12" s="74"/>
      <c r="WAR12" s="72"/>
      <c r="WAY12" s="74"/>
      <c r="WAZ12" s="72"/>
      <c r="WBG12" s="74"/>
      <c r="WBH12" s="72"/>
      <c r="WBO12" s="74"/>
      <c r="WBP12" s="72"/>
      <c r="WBW12" s="74"/>
      <c r="WBX12" s="72"/>
      <c r="WCE12" s="74"/>
      <c r="WCF12" s="72"/>
      <c r="WCM12" s="74"/>
      <c r="WCN12" s="72"/>
      <c r="WCU12" s="74"/>
      <c r="WCV12" s="72"/>
      <c r="WDC12" s="74"/>
      <c r="WDD12" s="72"/>
      <c r="WDK12" s="74"/>
      <c r="WDL12" s="72"/>
      <c r="WDS12" s="74"/>
      <c r="WDT12" s="72"/>
      <c r="WEA12" s="74"/>
      <c r="WEB12" s="72"/>
      <c r="WEI12" s="74"/>
      <c r="WEJ12" s="72"/>
      <c r="WEQ12" s="74"/>
      <c r="WER12" s="72"/>
      <c r="WEY12" s="74"/>
      <c r="WEZ12" s="72"/>
      <c r="WFG12" s="74"/>
      <c r="WFH12" s="72"/>
      <c r="WFO12" s="74"/>
      <c r="WFP12" s="72"/>
      <c r="WFW12" s="74"/>
      <c r="WFX12" s="72"/>
      <c r="WGE12" s="74"/>
      <c r="WGF12" s="72"/>
      <c r="WGM12" s="74"/>
      <c r="WGN12" s="72"/>
      <c r="WGU12" s="74"/>
      <c r="WGV12" s="72"/>
      <c r="WHC12" s="74"/>
      <c r="WHD12" s="72"/>
      <c r="WHK12" s="74"/>
      <c r="WHL12" s="72"/>
      <c r="WHS12" s="74"/>
      <c r="WHT12" s="72"/>
      <c r="WIA12" s="74"/>
      <c r="WIB12" s="72"/>
      <c r="WII12" s="74"/>
      <c r="WIJ12" s="72"/>
      <c r="WIQ12" s="74"/>
      <c r="WIR12" s="72"/>
      <c r="WIY12" s="74"/>
      <c r="WIZ12" s="72"/>
      <c r="WJG12" s="74"/>
      <c r="WJH12" s="72"/>
      <c r="WJO12" s="74"/>
      <c r="WJP12" s="72"/>
      <c r="WJW12" s="74"/>
      <c r="WJX12" s="72"/>
      <c r="WKE12" s="74"/>
      <c r="WKF12" s="72"/>
      <c r="WKM12" s="74"/>
      <c r="WKN12" s="72"/>
      <c r="WKU12" s="74"/>
      <c r="WKV12" s="72"/>
      <c r="WLC12" s="74"/>
      <c r="WLD12" s="72"/>
      <c r="WLK12" s="74"/>
      <c r="WLL12" s="72"/>
      <c r="WLS12" s="74"/>
      <c r="WLT12" s="72"/>
      <c r="WMA12" s="74"/>
      <c r="WMB12" s="72"/>
      <c r="WMI12" s="74"/>
      <c r="WMJ12" s="72"/>
      <c r="WMQ12" s="74"/>
      <c r="WMR12" s="72"/>
      <c r="WMY12" s="74"/>
      <c r="WMZ12" s="72"/>
      <c r="WNG12" s="74"/>
      <c r="WNH12" s="72"/>
      <c r="WNO12" s="74"/>
      <c r="WNP12" s="72"/>
      <c r="WNW12" s="74"/>
      <c r="WNX12" s="72"/>
      <c r="WOE12" s="74"/>
      <c r="WOF12" s="72"/>
      <c r="WOM12" s="74"/>
      <c r="WON12" s="72"/>
      <c r="WOU12" s="74"/>
      <c r="WOV12" s="72"/>
      <c r="WPC12" s="74"/>
      <c r="WPD12" s="72"/>
      <c r="WPK12" s="74"/>
      <c r="WPL12" s="72"/>
      <c r="WPS12" s="74"/>
      <c r="WPT12" s="72"/>
      <c r="WQA12" s="74"/>
      <c r="WQB12" s="72"/>
      <c r="WQI12" s="74"/>
      <c r="WQJ12" s="72"/>
      <c r="WQQ12" s="74"/>
      <c r="WQR12" s="72"/>
      <c r="WQY12" s="74"/>
      <c r="WQZ12" s="72"/>
      <c r="WRG12" s="74"/>
      <c r="WRH12" s="72"/>
      <c r="WRO12" s="74"/>
      <c r="WRP12" s="72"/>
      <c r="WRW12" s="74"/>
      <c r="WRX12" s="72"/>
      <c r="WSE12" s="74"/>
      <c r="WSF12" s="72"/>
      <c r="WSM12" s="74"/>
      <c r="WSN12" s="72"/>
      <c r="WSU12" s="74"/>
      <c r="WSV12" s="72"/>
      <c r="WTC12" s="74"/>
      <c r="WTD12" s="72"/>
      <c r="WTK12" s="74"/>
      <c r="WTL12" s="72"/>
      <c r="WTS12" s="74"/>
      <c r="WTT12" s="72"/>
      <c r="WUA12" s="74"/>
      <c r="WUB12" s="72"/>
      <c r="WUI12" s="74"/>
      <c r="WUJ12" s="72"/>
      <c r="WUQ12" s="74"/>
      <c r="WUR12" s="72"/>
      <c r="WUY12" s="74"/>
      <c r="WUZ12" s="72"/>
      <c r="WVG12" s="74"/>
      <c r="WVH12" s="72"/>
      <c r="WVO12" s="74"/>
      <c r="WVP12" s="72"/>
      <c r="WVW12" s="74"/>
      <c r="WVX12" s="72"/>
      <c r="WWE12" s="74"/>
      <c r="WWF12" s="72"/>
      <c r="WWM12" s="74"/>
      <c r="WWN12" s="72"/>
      <c r="WWU12" s="74"/>
      <c r="WWV12" s="72"/>
      <c r="WXC12" s="74"/>
      <c r="WXD12" s="72"/>
      <c r="WXK12" s="74"/>
      <c r="WXL12" s="72"/>
      <c r="WXS12" s="74"/>
      <c r="WXT12" s="72"/>
      <c r="WYA12" s="74"/>
      <c r="WYB12" s="72"/>
      <c r="WYI12" s="74"/>
      <c r="WYJ12" s="72"/>
      <c r="WYQ12" s="74"/>
      <c r="WYR12" s="72"/>
      <c r="WYY12" s="74"/>
      <c r="WYZ12" s="72"/>
      <c r="WZG12" s="74"/>
      <c r="WZH12" s="72"/>
      <c r="WZO12" s="74"/>
      <c r="WZP12" s="72"/>
      <c r="WZW12" s="74"/>
      <c r="WZX12" s="72"/>
      <c r="XAE12" s="74"/>
      <c r="XAF12" s="72"/>
      <c r="XAM12" s="74"/>
      <c r="XAN12" s="72"/>
      <c r="XAU12" s="74"/>
      <c r="XAV12" s="72"/>
      <c r="XBC12" s="74"/>
      <c r="XBD12" s="72"/>
      <c r="XBK12" s="74"/>
      <c r="XBL12" s="72"/>
      <c r="XBS12" s="74"/>
      <c r="XBT12" s="72"/>
      <c r="XCA12" s="74"/>
      <c r="XCB12" s="72"/>
      <c r="XCI12" s="74"/>
      <c r="XCJ12" s="72"/>
      <c r="XCQ12" s="74"/>
      <c r="XCR12" s="72"/>
      <c r="XCY12" s="74"/>
      <c r="XCZ12" s="72"/>
      <c r="XDG12" s="74"/>
      <c r="XDH12" s="72"/>
      <c r="XDO12" s="74"/>
      <c r="XDP12" s="72"/>
      <c r="XDW12" s="74"/>
      <c r="XDX12" s="72"/>
      <c r="XEE12" s="74"/>
      <c r="XEF12" s="72"/>
      <c r="XEM12" s="74"/>
      <c r="XEN12" s="72"/>
      <c r="XEU12" s="74"/>
      <c r="XEV12" s="72"/>
      <c r="XFC12" s="74"/>
      <c r="XFD12" s="72"/>
    </row>
    <row r="13" spans="1:1024 1031:2048 2055:3072 3079:4096 4103:5120 5127:6144 6151:7168 7175:8192 8199:9216 9223:10240 10247:11264 11271:12288 12295:13312 13319:14336 14343:15360 15367:16384" ht="15" customHeight="1" thickBot="1">
      <c r="A13" s="4"/>
      <c r="B13" s="59" t="s">
        <v>359</v>
      </c>
      <c r="C13" s="149">
        <v>0</v>
      </c>
      <c r="D13" s="149">
        <v>0</v>
      </c>
      <c r="E13" s="149">
        <v>0</v>
      </c>
      <c r="F13" s="149">
        <v>0</v>
      </c>
      <c r="G13" s="149">
        <v>0</v>
      </c>
      <c r="H13" s="149">
        <v>0</v>
      </c>
      <c r="I13" s="149">
        <f>SUM(J13:M13)</f>
        <v>8500</v>
      </c>
      <c r="J13" s="148">
        <v>0</v>
      </c>
      <c r="K13" s="148">
        <f>8500</f>
        <v>8500</v>
      </c>
      <c r="L13" s="148">
        <v>0</v>
      </c>
      <c r="M13" s="148">
        <v>0</v>
      </c>
      <c r="N13" s="149">
        <f>SUM(O13:R13)</f>
        <v>8500</v>
      </c>
      <c r="O13" s="148">
        <v>0</v>
      </c>
      <c r="P13" s="148">
        <v>8500</v>
      </c>
      <c r="Q13" s="148">
        <v>0</v>
      </c>
      <c r="R13" s="148"/>
      <c r="S13" s="148">
        <v>31894</v>
      </c>
      <c r="T13" s="148">
        <f>S13-U13-V13-W13</f>
        <v>1312</v>
      </c>
      <c r="U13" s="148">
        <v>30582</v>
      </c>
      <c r="V13" s="148">
        <v>0</v>
      </c>
      <c r="W13" s="148">
        <v>0</v>
      </c>
      <c r="X13" s="148">
        <v>11000</v>
      </c>
      <c r="Y13" s="148">
        <f>X13-Z13</f>
        <v>11000</v>
      </c>
      <c r="Z13" s="148">
        <v>0</v>
      </c>
      <c r="AA13" s="148">
        <v>31981</v>
      </c>
    </row>
    <row r="14" spans="1:1024 1031:2048 2055:3072 3079:4096 4103:5120 5127:6144 6151:7168 7175:8192 8199:9216 9223:10240 10247:11264 11271:12288 12295:13312 13319:14336 14343:15360 15367:16384" ht="15" customHeight="1" thickBot="1">
      <c r="A14" s="4"/>
      <c r="B14" s="59" t="s">
        <v>112</v>
      </c>
      <c r="C14" s="149">
        <v>58563.874779999998</v>
      </c>
      <c r="D14" s="149">
        <f>SUM(E14:H14)</f>
        <v>188489.70500000002</v>
      </c>
      <c r="E14" s="149">
        <v>89247.45</v>
      </c>
      <c r="F14" s="149">
        <v>47777.255000000005</v>
      </c>
      <c r="G14" s="149">
        <v>20408.745000000006</v>
      </c>
      <c r="H14" s="149">
        <v>31056.255000000005</v>
      </c>
      <c r="I14" s="149">
        <f>SUM(J14:M14)-6488</f>
        <v>140918</v>
      </c>
      <c r="J14" s="148">
        <v>57356</v>
      </c>
      <c r="K14" s="148">
        <v>28435</v>
      </c>
      <c r="L14" s="148">
        <v>41300</v>
      </c>
      <c r="M14" s="148">
        <v>20315</v>
      </c>
      <c r="N14" s="149">
        <f>SUM(O14:R14)-120</f>
        <v>79749.895449999996</v>
      </c>
      <c r="O14" s="148">
        <v>45445</v>
      </c>
      <c r="P14" s="148">
        <v>15386</v>
      </c>
      <c r="Q14" s="148">
        <v>8770</v>
      </c>
      <c r="R14" s="148">
        <v>10268.89545</v>
      </c>
      <c r="S14" s="148">
        <v>55532</v>
      </c>
      <c r="T14" s="148">
        <f>S14-U14-V14-W14</f>
        <v>27776</v>
      </c>
      <c r="U14" s="148">
        <f>8575</f>
        <v>8575</v>
      </c>
      <c r="V14" s="148">
        <v>10394</v>
      </c>
      <c r="W14" s="148">
        <v>8787</v>
      </c>
      <c r="X14" s="148">
        <v>30821</v>
      </c>
      <c r="Y14" s="148">
        <f>X14-Z14</f>
        <v>10790</v>
      </c>
      <c r="Z14" s="148">
        <v>20031</v>
      </c>
      <c r="AA14" s="148">
        <v>7246</v>
      </c>
    </row>
    <row r="15" spans="1:1024 1031:2048 2055:3072 3079:4096 4103:5120 5127:6144 6151:7168 7175:8192 8199:9216 9223:10240 10247:11264 11271:12288 12295:13312 13319:14336 14343:15360 15367:16384" s="73" customFormat="1" ht="15" customHeight="1" thickBot="1">
      <c r="A15" s="4"/>
      <c r="B15" s="145" t="s">
        <v>113</v>
      </c>
      <c r="C15" s="147">
        <f t="shared" ref="C15:M15" si="5">SUM(C16:C17)</f>
        <v>35723.809114126925</v>
      </c>
      <c r="D15" s="147">
        <f t="shared" si="1"/>
        <v>136617.28167517541</v>
      </c>
      <c r="E15" s="147">
        <f t="shared" si="5"/>
        <v>36645.5</v>
      </c>
      <c r="F15" s="147">
        <f t="shared" si="5"/>
        <v>21548.560264001513</v>
      </c>
      <c r="G15" s="147">
        <f t="shared" si="5"/>
        <v>31140.906819812153</v>
      </c>
      <c r="H15" s="147">
        <f t="shared" si="5"/>
        <v>47282.314591361755</v>
      </c>
      <c r="I15" s="146">
        <f t="shared" si="5"/>
        <v>121546.5</v>
      </c>
      <c r="J15" s="146">
        <f t="shared" si="5"/>
        <v>45329</v>
      </c>
      <c r="K15" s="146">
        <f t="shared" si="5"/>
        <v>34242</v>
      </c>
      <c r="L15" s="146">
        <f t="shared" si="5"/>
        <v>20748</v>
      </c>
      <c r="M15" s="146">
        <f t="shared" si="5"/>
        <v>21227.5</v>
      </c>
      <c r="N15" s="147">
        <f t="shared" ref="N15:AA15" si="6">SUM(N17:N17)</f>
        <v>15476.10455</v>
      </c>
      <c r="O15" s="146">
        <f t="shared" si="6"/>
        <v>4107</v>
      </c>
      <c r="P15" s="146">
        <f t="shared" si="6"/>
        <v>6093</v>
      </c>
      <c r="Q15" s="146">
        <f t="shared" si="6"/>
        <v>2209</v>
      </c>
      <c r="R15" s="146">
        <f t="shared" si="6"/>
        <v>2947.10455</v>
      </c>
      <c r="S15" s="146">
        <f t="shared" si="6"/>
        <v>14452</v>
      </c>
      <c r="T15" s="146">
        <f t="shared" si="6"/>
        <v>11967</v>
      </c>
      <c r="U15" s="146">
        <f t="shared" si="6"/>
        <v>1403</v>
      </c>
      <c r="V15" s="146">
        <f t="shared" si="6"/>
        <v>1082</v>
      </c>
      <c r="W15" s="146">
        <f t="shared" si="6"/>
        <v>0</v>
      </c>
      <c r="X15" s="146">
        <f t="shared" si="6"/>
        <v>0</v>
      </c>
      <c r="Y15" s="146">
        <f t="shared" si="6"/>
        <v>0</v>
      </c>
      <c r="Z15" s="146">
        <f t="shared" si="6"/>
        <v>0</v>
      </c>
      <c r="AA15" s="146">
        <f t="shared" si="6"/>
        <v>0</v>
      </c>
      <c r="AE15" s="74"/>
      <c r="AF15" s="72"/>
      <c r="AM15" s="74"/>
      <c r="AN15" s="72"/>
      <c r="AU15" s="74"/>
      <c r="AV15" s="72"/>
      <c r="BC15" s="74"/>
      <c r="BD15" s="72"/>
      <c r="BK15" s="74"/>
      <c r="BL15" s="72"/>
      <c r="BS15" s="74"/>
      <c r="BT15" s="72"/>
      <c r="CA15" s="74"/>
      <c r="CB15" s="72"/>
      <c r="CI15" s="74"/>
      <c r="CJ15" s="72"/>
      <c r="CQ15" s="74"/>
      <c r="CR15" s="72"/>
      <c r="CY15" s="74"/>
      <c r="CZ15" s="72"/>
      <c r="DG15" s="74"/>
      <c r="DH15" s="72"/>
      <c r="DO15" s="74"/>
      <c r="DP15" s="72"/>
      <c r="DW15" s="74"/>
      <c r="DX15" s="72"/>
      <c r="EE15" s="74"/>
      <c r="EF15" s="72"/>
      <c r="EM15" s="74"/>
      <c r="EN15" s="72"/>
      <c r="EU15" s="74"/>
      <c r="EV15" s="72"/>
      <c r="FC15" s="74"/>
      <c r="FD15" s="72"/>
      <c r="FK15" s="74"/>
      <c r="FL15" s="72"/>
      <c r="FS15" s="74"/>
      <c r="FT15" s="72"/>
      <c r="GA15" s="74"/>
      <c r="GB15" s="72"/>
      <c r="GI15" s="74"/>
      <c r="GJ15" s="72"/>
      <c r="GQ15" s="74"/>
      <c r="GR15" s="72"/>
      <c r="GY15" s="74"/>
      <c r="GZ15" s="72"/>
      <c r="HG15" s="74"/>
      <c r="HH15" s="72"/>
      <c r="HO15" s="74"/>
      <c r="HP15" s="72"/>
      <c r="HW15" s="74"/>
      <c r="HX15" s="72"/>
      <c r="IE15" s="74"/>
      <c r="IF15" s="72"/>
      <c r="IM15" s="74"/>
      <c r="IN15" s="72"/>
      <c r="IU15" s="74"/>
      <c r="IV15" s="72"/>
      <c r="JC15" s="74"/>
      <c r="JD15" s="72"/>
      <c r="JK15" s="74"/>
      <c r="JL15" s="72"/>
      <c r="JS15" s="74"/>
      <c r="JT15" s="72"/>
      <c r="KA15" s="74"/>
      <c r="KB15" s="72"/>
      <c r="KI15" s="74"/>
      <c r="KJ15" s="72"/>
      <c r="KQ15" s="74"/>
      <c r="KR15" s="72"/>
      <c r="KY15" s="74"/>
      <c r="KZ15" s="72"/>
      <c r="LG15" s="74"/>
      <c r="LH15" s="72"/>
      <c r="LO15" s="74"/>
      <c r="LP15" s="72"/>
      <c r="LW15" s="74"/>
      <c r="LX15" s="72"/>
      <c r="ME15" s="74"/>
      <c r="MF15" s="72"/>
      <c r="MM15" s="74"/>
      <c r="MN15" s="72"/>
      <c r="MU15" s="74"/>
      <c r="MV15" s="72"/>
      <c r="NC15" s="74"/>
      <c r="ND15" s="72"/>
      <c r="NK15" s="74"/>
      <c r="NL15" s="72"/>
      <c r="NS15" s="74"/>
      <c r="NT15" s="72"/>
      <c r="OA15" s="74"/>
      <c r="OB15" s="72"/>
      <c r="OI15" s="74"/>
      <c r="OJ15" s="72"/>
      <c r="OQ15" s="74"/>
      <c r="OR15" s="72"/>
      <c r="OY15" s="74"/>
      <c r="OZ15" s="72"/>
      <c r="PG15" s="74"/>
      <c r="PH15" s="72"/>
      <c r="PO15" s="74"/>
      <c r="PP15" s="72"/>
      <c r="PW15" s="74"/>
      <c r="PX15" s="72"/>
      <c r="QE15" s="74"/>
      <c r="QF15" s="72"/>
      <c r="QM15" s="74"/>
      <c r="QN15" s="72"/>
      <c r="QU15" s="74"/>
      <c r="QV15" s="72"/>
      <c r="RC15" s="74"/>
      <c r="RD15" s="72"/>
      <c r="RK15" s="74"/>
      <c r="RL15" s="72"/>
      <c r="RS15" s="74"/>
      <c r="RT15" s="72"/>
      <c r="SA15" s="74"/>
      <c r="SB15" s="72"/>
      <c r="SI15" s="74"/>
      <c r="SJ15" s="72"/>
      <c r="SQ15" s="74"/>
      <c r="SR15" s="72"/>
      <c r="SY15" s="74"/>
      <c r="SZ15" s="72"/>
      <c r="TG15" s="74"/>
      <c r="TH15" s="72"/>
      <c r="TO15" s="74"/>
      <c r="TP15" s="72"/>
      <c r="TW15" s="74"/>
      <c r="TX15" s="72"/>
      <c r="UE15" s="74"/>
      <c r="UF15" s="72"/>
      <c r="UM15" s="74"/>
      <c r="UN15" s="72"/>
      <c r="UU15" s="74"/>
      <c r="UV15" s="72"/>
      <c r="VC15" s="74"/>
      <c r="VD15" s="72"/>
      <c r="VK15" s="74"/>
      <c r="VL15" s="72"/>
      <c r="VS15" s="74"/>
      <c r="VT15" s="72"/>
      <c r="WA15" s="74"/>
      <c r="WB15" s="72"/>
      <c r="WI15" s="74"/>
      <c r="WJ15" s="72"/>
      <c r="WQ15" s="74"/>
      <c r="WR15" s="72"/>
      <c r="WY15" s="74"/>
      <c r="WZ15" s="72"/>
      <c r="XG15" s="74"/>
      <c r="XH15" s="72"/>
      <c r="XO15" s="74"/>
      <c r="XP15" s="72"/>
      <c r="XW15" s="74"/>
      <c r="XX15" s="72"/>
      <c r="YE15" s="74"/>
      <c r="YF15" s="72"/>
      <c r="YM15" s="74"/>
      <c r="YN15" s="72"/>
      <c r="YU15" s="74"/>
      <c r="YV15" s="72"/>
      <c r="ZC15" s="74"/>
      <c r="ZD15" s="72"/>
      <c r="ZK15" s="74"/>
      <c r="ZL15" s="72"/>
      <c r="ZS15" s="74"/>
      <c r="ZT15" s="72"/>
      <c r="AAA15" s="74"/>
      <c r="AAB15" s="72"/>
      <c r="AAI15" s="74"/>
      <c r="AAJ15" s="72"/>
      <c r="AAQ15" s="74"/>
      <c r="AAR15" s="72"/>
      <c r="AAY15" s="74"/>
      <c r="AAZ15" s="72"/>
      <c r="ABG15" s="74"/>
      <c r="ABH15" s="72"/>
      <c r="ABO15" s="74"/>
      <c r="ABP15" s="72"/>
      <c r="ABW15" s="74"/>
      <c r="ABX15" s="72"/>
      <c r="ACE15" s="74"/>
      <c r="ACF15" s="72"/>
      <c r="ACM15" s="74"/>
      <c r="ACN15" s="72"/>
      <c r="ACU15" s="74"/>
      <c r="ACV15" s="72"/>
      <c r="ADC15" s="74"/>
      <c r="ADD15" s="72"/>
      <c r="ADK15" s="74"/>
      <c r="ADL15" s="72"/>
      <c r="ADS15" s="74"/>
      <c r="ADT15" s="72"/>
      <c r="AEA15" s="74"/>
      <c r="AEB15" s="72"/>
      <c r="AEI15" s="74"/>
      <c r="AEJ15" s="72"/>
      <c r="AEQ15" s="74"/>
      <c r="AER15" s="72"/>
      <c r="AEY15" s="74"/>
      <c r="AEZ15" s="72"/>
      <c r="AFG15" s="74"/>
      <c r="AFH15" s="72"/>
      <c r="AFO15" s="74"/>
      <c r="AFP15" s="72"/>
      <c r="AFW15" s="74"/>
      <c r="AFX15" s="72"/>
      <c r="AGE15" s="74"/>
      <c r="AGF15" s="72"/>
      <c r="AGM15" s="74"/>
      <c r="AGN15" s="72"/>
      <c r="AGU15" s="74"/>
      <c r="AGV15" s="72"/>
      <c r="AHC15" s="74"/>
      <c r="AHD15" s="72"/>
      <c r="AHK15" s="74"/>
      <c r="AHL15" s="72"/>
      <c r="AHS15" s="74"/>
      <c r="AHT15" s="72"/>
      <c r="AIA15" s="74"/>
      <c r="AIB15" s="72"/>
      <c r="AII15" s="74"/>
      <c r="AIJ15" s="72"/>
      <c r="AIQ15" s="74"/>
      <c r="AIR15" s="72"/>
      <c r="AIY15" s="74"/>
      <c r="AIZ15" s="72"/>
      <c r="AJG15" s="74"/>
      <c r="AJH15" s="72"/>
      <c r="AJO15" s="74"/>
      <c r="AJP15" s="72"/>
      <c r="AJW15" s="74"/>
      <c r="AJX15" s="72"/>
      <c r="AKE15" s="74"/>
      <c r="AKF15" s="72"/>
      <c r="AKM15" s="74"/>
      <c r="AKN15" s="72"/>
      <c r="AKU15" s="74"/>
      <c r="AKV15" s="72"/>
      <c r="ALC15" s="74"/>
      <c r="ALD15" s="72"/>
      <c r="ALK15" s="74"/>
      <c r="ALL15" s="72"/>
      <c r="ALS15" s="74"/>
      <c r="ALT15" s="72"/>
      <c r="AMA15" s="74"/>
      <c r="AMB15" s="72"/>
      <c r="AMI15" s="74"/>
      <c r="AMJ15" s="72"/>
      <c r="AMQ15" s="74"/>
      <c r="AMR15" s="72"/>
      <c r="AMY15" s="74"/>
      <c r="AMZ15" s="72"/>
      <c r="ANG15" s="74"/>
      <c r="ANH15" s="72"/>
      <c r="ANO15" s="74"/>
      <c r="ANP15" s="72"/>
      <c r="ANW15" s="74"/>
      <c r="ANX15" s="72"/>
      <c r="AOE15" s="74"/>
      <c r="AOF15" s="72"/>
      <c r="AOM15" s="74"/>
      <c r="AON15" s="72"/>
      <c r="AOU15" s="74"/>
      <c r="AOV15" s="72"/>
      <c r="APC15" s="74"/>
      <c r="APD15" s="72"/>
      <c r="APK15" s="74"/>
      <c r="APL15" s="72"/>
      <c r="APS15" s="74"/>
      <c r="APT15" s="72"/>
      <c r="AQA15" s="74"/>
      <c r="AQB15" s="72"/>
      <c r="AQI15" s="74"/>
      <c r="AQJ15" s="72"/>
      <c r="AQQ15" s="74"/>
      <c r="AQR15" s="72"/>
      <c r="AQY15" s="74"/>
      <c r="AQZ15" s="72"/>
      <c r="ARG15" s="74"/>
      <c r="ARH15" s="72"/>
      <c r="ARO15" s="74"/>
      <c r="ARP15" s="72"/>
      <c r="ARW15" s="74"/>
      <c r="ARX15" s="72"/>
      <c r="ASE15" s="74"/>
      <c r="ASF15" s="72"/>
      <c r="ASM15" s="74"/>
      <c r="ASN15" s="72"/>
      <c r="ASU15" s="74"/>
      <c r="ASV15" s="72"/>
      <c r="ATC15" s="74"/>
      <c r="ATD15" s="72"/>
      <c r="ATK15" s="74"/>
      <c r="ATL15" s="72"/>
      <c r="ATS15" s="74"/>
      <c r="ATT15" s="72"/>
      <c r="AUA15" s="74"/>
      <c r="AUB15" s="72"/>
      <c r="AUI15" s="74"/>
      <c r="AUJ15" s="72"/>
      <c r="AUQ15" s="74"/>
      <c r="AUR15" s="72"/>
      <c r="AUY15" s="74"/>
      <c r="AUZ15" s="72"/>
      <c r="AVG15" s="74"/>
      <c r="AVH15" s="72"/>
      <c r="AVO15" s="74"/>
      <c r="AVP15" s="72"/>
      <c r="AVW15" s="74"/>
      <c r="AVX15" s="72"/>
      <c r="AWE15" s="74"/>
      <c r="AWF15" s="72"/>
      <c r="AWM15" s="74"/>
      <c r="AWN15" s="72"/>
      <c r="AWU15" s="74"/>
      <c r="AWV15" s="72"/>
      <c r="AXC15" s="74"/>
      <c r="AXD15" s="72"/>
      <c r="AXK15" s="74"/>
      <c r="AXL15" s="72"/>
      <c r="AXS15" s="74"/>
      <c r="AXT15" s="72"/>
      <c r="AYA15" s="74"/>
      <c r="AYB15" s="72"/>
      <c r="AYI15" s="74"/>
      <c r="AYJ15" s="72"/>
      <c r="AYQ15" s="74"/>
      <c r="AYR15" s="72"/>
      <c r="AYY15" s="74"/>
      <c r="AYZ15" s="72"/>
      <c r="AZG15" s="74"/>
      <c r="AZH15" s="72"/>
      <c r="AZO15" s="74"/>
      <c r="AZP15" s="72"/>
      <c r="AZW15" s="74"/>
      <c r="AZX15" s="72"/>
      <c r="BAE15" s="74"/>
      <c r="BAF15" s="72"/>
      <c r="BAM15" s="74"/>
      <c r="BAN15" s="72"/>
      <c r="BAU15" s="74"/>
      <c r="BAV15" s="72"/>
      <c r="BBC15" s="74"/>
      <c r="BBD15" s="72"/>
      <c r="BBK15" s="74"/>
      <c r="BBL15" s="72"/>
      <c r="BBS15" s="74"/>
      <c r="BBT15" s="72"/>
      <c r="BCA15" s="74"/>
      <c r="BCB15" s="72"/>
      <c r="BCI15" s="74"/>
      <c r="BCJ15" s="72"/>
      <c r="BCQ15" s="74"/>
      <c r="BCR15" s="72"/>
      <c r="BCY15" s="74"/>
      <c r="BCZ15" s="72"/>
      <c r="BDG15" s="74"/>
      <c r="BDH15" s="72"/>
      <c r="BDO15" s="74"/>
      <c r="BDP15" s="72"/>
      <c r="BDW15" s="74"/>
      <c r="BDX15" s="72"/>
      <c r="BEE15" s="74"/>
      <c r="BEF15" s="72"/>
      <c r="BEM15" s="74"/>
      <c r="BEN15" s="72"/>
      <c r="BEU15" s="74"/>
      <c r="BEV15" s="72"/>
      <c r="BFC15" s="74"/>
      <c r="BFD15" s="72"/>
      <c r="BFK15" s="74"/>
      <c r="BFL15" s="72"/>
      <c r="BFS15" s="74"/>
      <c r="BFT15" s="72"/>
      <c r="BGA15" s="74"/>
      <c r="BGB15" s="72"/>
      <c r="BGI15" s="74"/>
      <c r="BGJ15" s="72"/>
      <c r="BGQ15" s="74"/>
      <c r="BGR15" s="72"/>
      <c r="BGY15" s="74"/>
      <c r="BGZ15" s="72"/>
      <c r="BHG15" s="74"/>
      <c r="BHH15" s="72"/>
      <c r="BHO15" s="74"/>
      <c r="BHP15" s="72"/>
      <c r="BHW15" s="74"/>
      <c r="BHX15" s="72"/>
      <c r="BIE15" s="74"/>
      <c r="BIF15" s="72"/>
      <c r="BIM15" s="74"/>
      <c r="BIN15" s="72"/>
      <c r="BIU15" s="74"/>
      <c r="BIV15" s="72"/>
      <c r="BJC15" s="74"/>
      <c r="BJD15" s="72"/>
      <c r="BJK15" s="74"/>
      <c r="BJL15" s="72"/>
      <c r="BJS15" s="74"/>
      <c r="BJT15" s="72"/>
      <c r="BKA15" s="74"/>
      <c r="BKB15" s="72"/>
      <c r="BKI15" s="74"/>
      <c r="BKJ15" s="72"/>
      <c r="BKQ15" s="74"/>
      <c r="BKR15" s="72"/>
      <c r="BKY15" s="74"/>
      <c r="BKZ15" s="72"/>
      <c r="BLG15" s="74"/>
      <c r="BLH15" s="72"/>
      <c r="BLO15" s="74"/>
      <c r="BLP15" s="72"/>
      <c r="BLW15" s="74"/>
      <c r="BLX15" s="72"/>
      <c r="BME15" s="74"/>
      <c r="BMF15" s="72"/>
      <c r="BMM15" s="74"/>
      <c r="BMN15" s="72"/>
      <c r="BMU15" s="74"/>
      <c r="BMV15" s="72"/>
      <c r="BNC15" s="74"/>
      <c r="BND15" s="72"/>
      <c r="BNK15" s="74"/>
      <c r="BNL15" s="72"/>
      <c r="BNS15" s="74"/>
      <c r="BNT15" s="72"/>
      <c r="BOA15" s="74"/>
      <c r="BOB15" s="72"/>
      <c r="BOI15" s="74"/>
      <c r="BOJ15" s="72"/>
      <c r="BOQ15" s="74"/>
      <c r="BOR15" s="72"/>
      <c r="BOY15" s="74"/>
      <c r="BOZ15" s="72"/>
      <c r="BPG15" s="74"/>
      <c r="BPH15" s="72"/>
      <c r="BPO15" s="74"/>
      <c r="BPP15" s="72"/>
      <c r="BPW15" s="74"/>
      <c r="BPX15" s="72"/>
      <c r="BQE15" s="74"/>
      <c r="BQF15" s="72"/>
      <c r="BQM15" s="74"/>
      <c r="BQN15" s="72"/>
      <c r="BQU15" s="74"/>
      <c r="BQV15" s="72"/>
      <c r="BRC15" s="74"/>
      <c r="BRD15" s="72"/>
      <c r="BRK15" s="74"/>
      <c r="BRL15" s="72"/>
      <c r="BRS15" s="74"/>
      <c r="BRT15" s="72"/>
      <c r="BSA15" s="74"/>
      <c r="BSB15" s="72"/>
      <c r="BSI15" s="74"/>
      <c r="BSJ15" s="72"/>
      <c r="BSQ15" s="74"/>
      <c r="BSR15" s="72"/>
      <c r="BSY15" s="74"/>
      <c r="BSZ15" s="72"/>
      <c r="BTG15" s="74"/>
      <c r="BTH15" s="72"/>
      <c r="BTO15" s="74"/>
      <c r="BTP15" s="72"/>
      <c r="BTW15" s="74"/>
      <c r="BTX15" s="72"/>
      <c r="BUE15" s="74"/>
      <c r="BUF15" s="72"/>
      <c r="BUM15" s="74"/>
      <c r="BUN15" s="72"/>
      <c r="BUU15" s="74"/>
      <c r="BUV15" s="72"/>
      <c r="BVC15" s="74"/>
      <c r="BVD15" s="72"/>
      <c r="BVK15" s="74"/>
      <c r="BVL15" s="72"/>
      <c r="BVS15" s="74"/>
      <c r="BVT15" s="72"/>
      <c r="BWA15" s="74"/>
      <c r="BWB15" s="72"/>
      <c r="BWI15" s="74"/>
      <c r="BWJ15" s="72"/>
      <c r="BWQ15" s="74"/>
      <c r="BWR15" s="72"/>
      <c r="BWY15" s="74"/>
      <c r="BWZ15" s="72"/>
      <c r="BXG15" s="74"/>
      <c r="BXH15" s="72"/>
      <c r="BXO15" s="74"/>
      <c r="BXP15" s="72"/>
      <c r="BXW15" s="74"/>
      <c r="BXX15" s="72"/>
      <c r="BYE15" s="74"/>
      <c r="BYF15" s="72"/>
      <c r="BYM15" s="74"/>
      <c r="BYN15" s="72"/>
      <c r="BYU15" s="74"/>
      <c r="BYV15" s="72"/>
      <c r="BZC15" s="74"/>
      <c r="BZD15" s="72"/>
      <c r="BZK15" s="74"/>
      <c r="BZL15" s="72"/>
      <c r="BZS15" s="74"/>
      <c r="BZT15" s="72"/>
      <c r="CAA15" s="74"/>
      <c r="CAB15" s="72"/>
      <c r="CAI15" s="74"/>
      <c r="CAJ15" s="72"/>
      <c r="CAQ15" s="74"/>
      <c r="CAR15" s="72"/>
      <c r="CAY15" s="74"/>
      <c r="CAZ15" s="72"/>
      <c r="CBG15" s="74"/>
      <c r="CBH15" s="72"/>
      <c r="CBO15" s="74"/>
      <c r="CBP15" s="72"/>
      <c r="CBW15" s="74"/>
      <c r="CBX15" s="72"/>
      <c r="CCE15" s="74"/>
      <c r="CCF15" s="72"/>
      <c r="CCM15" s="74"/>
      <c r="CCN15" s="72"/>
      <c r="CCU15" s="74"/>
      <c r="CCV15" s="72"/>
      <c r="CDC15" s="74"/>
      <c r="CDD15" s="72"/>
      <c r="CDK15" s="74"/>
      <c r="CDL15" s="72"/>
      <c r="CDS15" s="74"/>
      <c r="CDT15" s="72"/>
      <c r="CEA15" s="74"/>
      <c r="CEB15" s="72"/>
      <c r="CEI15" s="74"/>
      <c r="CEJ15" s="72"/>
      <c r="CEQ15" s="74"/>
      <c r="CER15" s="72"/>
      <c r="CEY15" s="74"/>
      <c r="CEZ15" s="72"/>
      <c r="CFG15" s="74"/>
      <c r="CFH15" s="72"/>
      <c r="CFO15" s="74"/>
      <c r="CFP15" s="72"/>
      <c r="CFW15" s="74"/>
      <c r="CFX15" s="72"/>
      <c r="CGE15" s="74"/>
      <c r="CGF15" s="72"/>
      <c r="CGM15" s="74"/>
      <c r="CGN15" s="72"/>
      <c r="CGU15" s="74"/>
      <c r="CGV15" s="72"/>
      <c r="CHC15" s="74"/>
      <c r="CHD15" s="72"/>
      <c r="CHK15" s="74"/>
      <c r="CHL15" s="72"/>
      <c r="CHS15" s="74"/>
      <c r="CHT15" s="72"/>
      <c r="CIA15" s="74"/>
      <c r="CIB15" s="72"/>
      <c r="CII15" s="74"/>
      <c r="CIJ15" s="72"/>
      <c r="CIQ15" s="74"/>
      <c r="CIR15" s="72"/>
      <c r="CIY15" s="74"/>
      <c r="CIZ15" s="72"/>
      <c r="CJG15" s="74"/>
      <c r="CJH15" s="72"/>
      <c r="CJO15" s="74"/>
      <c r="CJP15" s="72"/>
      <c r="CJW15" s="74"/>
      <c r="CJX15" s="72"/>
      <c r="CKE15" s="74"/>
      <c r="CKF15" s="72"/>
      <c r="CKM15" s="74"/>
      <c r="CKN15" s="72"/>
      <c r="CKU15" s="74"/>
      <c r="CKV15" s="72"/>
      <c r="CLC15" s="74"/>
      <c r="CLD15" s="72"/>
      <c r="CLK15" s="74"/>
      <c r="CLL15" s="72"/>
      <c r="CLS15" s="74"/>
      <c r="CLT15" s="72"/>
      <c r="CMA15" s="74"/>
      <c r="CMB15" s="72"/>
      <c r="CMI15" s="74"/>
      <c r="CMJ15" s="72"/>
      <c r="CMQ15" s="74"/>
      <c r="CMR15" s="72"/>
      <c r="CMY15" s="74"/>
      <c r="CMZ15" s="72"/>
      <c r="CNG15" s="74"/>
      <c r="CNH15" s="72"/>
      <c r="CNO15" s="74"/>
      <c r="CNP15" s="72"/>
      <c r="CNW15" s="74"/>
      <c r="CNX15" s="72"/>
      <c r="COE15" s="74"/>
      <c r="COF15" s="72"/>
      <c r="COM15" s="74"/>
      <c r="CON15" s="72"/>
      <c r="COU15" s="74"/>
      <c r="COV15" s="72"/>
      <c r="CPC15" s="74"/>
      <c r="CPD15" s="72"/>
      <c r="CPK15" s="74"/>
      <c r="CPL15" s="72"/>
      <c r="CPS15" s="74"/>
      <c r="CPT15" s="72"/>
      <c r="CQA15" s="74"/>
      <c r="CQB15" s="72"/>
      <c r="CQI15" s="74"/>
      <c r="CQJ15" s="72"/>
      <c r="CQQ15" s="74"/>
      <c r="CQR15" s="72"/>
      <c r="CQY15" s="74"/>
      <c r="CQZ15" s="72"/>
      <c r="CRG15" s="74"/>
      <c r="CRH15" s="72"/>
      <c r="CRO15" s="74"/>
      <c r="CRP15" s="72"/>
      <c r="CRW15" s="74"/>
      <c r="CRX15" s="72"/>
      <c r="CSE15" s="74"/>
      <c r="CSF15" s="72"/>
      <c r="CSM15" s="74"/>
      <c r="CSN15" s="72"/>
      <c r="CSU15" s="74"/>
      <c r="CSV15" s="72"/>
      <c r="CTC15" s="74"/>
      <c r="CTD15" s="72"/>
      <c r="CTK15" s="74"/>
      <c r="CTL15" s="72"/>
      <c r="CTS15" s="74"/>
      <c r="CTT15" s="72"/>
      <c r="CUA15" s="74"/>
      <c r="CUB15" s="72"/>
      <c r="CUI15" s="74"/>
      <c r="CUJ15" s="72"/>
      <c r="CUQ15" s="74"/>
      <c r="CUR15" s="72"/>
      <c r="CUY15" s="74"/>
      <c r="CUZ15" s="72"/>
      <c r="CVG15" s="74"/>
      <c r="CVH15" s="72"/>
      <c r="CVO15" s="74"/>
      <c r="CVP15" s="72"/>
      <c r="CVW15" s="74"/>
      <c r="CVX15" s="72"/>
      <c r="CWE15" s="74"/>
      <c r="CWF15" s="72"/>
      <c r="CWM15" s="74"/>
      <c r="CWN15" s="72"/>
      <c r="CWU15" s="74"/>
      <c r="CWV15" s="72"/>
      <c r="CXC15" s="74"/>
      <c r="CXD15" s="72"/>
      <c r="CXK15" s="74"/>
      <c r="CXL15" s="72"/>
      <c r="CXS15" s="74"/>
      <c r="CXT15" s="72"/>
      <c r="CYA15" s="74"/>
      <c r="CYB15" s="72"/>
      <c r="CYI15" s="74"/>
      <c r="CYJ15" s="72"/>
      <c r="CYQ15" s="74"/>
      <c r="CYR15" s="72"/>
      <c r="CYY15" s="74"/>
      <c r="CYZ15" s="72"/>
      <c r="CZG15" s="74"/>
      <c r="CZH15" s="72"/>
      <c r="CZO15" s="74"/>
      <c r="CZP15" s="72"/>
      <c r="CZW15" s="74"/>
      <c r="CZX15" s="72"/>
      <c r="DAE15" s="74"/>
      <c r="DAF15" s="72"/>
      <c r="DAM15" s="74"/>
      <c r="DAN15" s="72"/>
      <c r="DAU15" s="74"/>
      <c r="DAV15" s="72"/>
      <c r="DBC15" s="74"/>
      <c r="DBD15" s="72"/>
      <c r="DBK15" s="74"/>
      <c r="DBL15" s="72"/>
      <c r="DBS15" s="74"/>
      <c r="DBT15" s="72"/>
      <c r="DCA15" s="74"/>
      <c r="DCB15" s="72"/>
      <c r="DCI15" s="74"/>
      <c r="DCJ15" s="72"/>
      <c r="DCQ15" s="74"/>
      <c r="DCR15" s="72"/>
      <c r="DCY15" s="74"/>
      <c r="DCZ15" s="72"/>
      <c r="DDG15" s="74"/>
      <c r="DDH15" s="72"/>
      <c r="DDO15" s="74"/>
      <c r="DDP15" s="72"/>
      <c r="DDW15" s="74"/>
      <c r="DDX15" s="72"/>
      <c r="DEE15" s="74"/>
      <c r="DEF15" s="72"/>
      <c r="DEM15" s="74"/>
      <c r="DEN15" s="72"/>
      <c r="DEU15" s="74"/>
      <c r="DEV15" s="72"/>
      <c r="DFC15" s="74"/>
      <c r="DFD15" s="72"/>
      <c r="DFK15" s="74"/>
      <c r="DFL15" s="72"/>
      <c r="DFS15" s="74"/>
      <c r="DFT15" s="72"/>
      <c r="DGA15" s="74"/>
      <c r="DGB15" s="72"/>
      <c r="DGI15" s="74"/>
      <c r="DGJ15" s="72"/>
      <c r="DGQ15" s="74"/>
      <c r="DGR15" s="72"/>
      <c r="DGY15" s="74"/>
      <c r="DGZ15" s="72"/>
      <c r="DHG15" s="74"/>
      <c r="DHH15" s="72"/>
      <c r="DHO15" s="74"/>
      <c r="DHP15" s="72"/>
      <c r="DHW15" s="74"/>
      <c r="DHX15" s="72"/>
      <c r="DIE15" s="74"/>
      <c r="DIF15" s="72"/>
      <c r="DIM15" s="74"/>
      <c r="DIN15" s="72"/>
      <c r="DIU15" s="74"/>
      <c r="DIV15" s="72"/>
      <c r="DJC15" s="74"/>
      <c r="DJD15" s="72"/>
      <c r="DJK15" s="74"/>
      <c r="DJL15" s="72"/>
      <c r="DJS15" s="74"/>
      <c r="DJT15" s="72"/>
      <c r="DKA15" s="74"/>
      <c r="DKB15" s="72"/>
      <c r="DKI15" s="74"/>
      <c r="DKJ15" s="72"/>
      <c r="DKQ15" s="74"/>
      <c r="DKR15" s="72"/>
      <c r="DKY15" s="74"/>
      <c r="DKZ15" s="72"/>
      <c r="DLG15" s="74"/>
      <c r="DLH15" s="72"/>
      <c r="DLO15" s="74"/>
      <c r="DLP15" s="72"/>
      <c r="DLW15" s="74"/>
      <c r="DLX15" s="72"/>
      <c r="DME15" s="74"/>
      <c r="DMF15" s="72"/>
      <c r="DMM15" s="74"/>
      <c r="DMN15" s="72"/>
      <c r="DMU15" s="74"/>
      <c r="DMV15" s="72"/>
      <c r="DNC15" s="74"/>
      <c r="DND15" s="72"/>
      <c r="DNK15" s="74"/>
      <c r="DNL15" s="72"/>
      <c r="DNS15" s="74"/>
      <c r="DNT15" s="72"/>
      <c r="DOA15" s="74"/>
      <c r="DOB15" s="72"/>
      <c r="DOI15" s="74"/>
      <c r="DOJ15" s="72"/>
      <c r="DOQ15" s="74"/>
      <c r="DOR15" s="72"/>
      <c r="DOY15" s="74"/>
      <c r="DOZ15" s="72"/>
      <c r="DPG15" s="74"/>
      <c r="DPH15" s="72"/>
      <c r="DPO15" s="74"/>
      <c r="DPP15" s="72"/>
      <c r="DPW15" s="74"/>
      <c r="DPX15" s="72"/>
      <c r="DQE15" s="74"/>
      <c r="DQF15" s="72"/>
      <c r="DQM15" s="74"/>
      <c r="DQN15" s="72"/>
      <c r="DQU15" s="74"/>
      <c r="DQV15" s="72"/>
      <c r="DRC15" s="74"/>
      <c r="DRD15" s="72"/>
      <c r="DRK15" s="74"/>
      <c r="DRL15" s="72"/>
      <c r="DRS15" s="74"/>
      <c r="DRT15" s="72"/>
      <c r="DSA15" s="74"/>
      <c r="DSB15" s="72"/>
      <c r="DSI15" s="74"/>
      <c r="DSJ15" s="72"/>
      <c r="DSQ15" s="74"/>
      <c r="DSR15" s="72"/>
      <c r="DSY15" s="74"/>
      <c r="DSZ15" s="72"/>
      <c r="DTG15" s="74"/>
      <c r="DTH15" s="72"/>
      <c r="DTO15" s="74"/>
      <c r="DTP15" s="72"/>
      <c r="DTW15" s="74"/>
      <c r="DTX15" s="72"/>
      <c r="DUE15" s="74"/>
      <c r="DUF15" s="72"/>
      <c r="DUM15" s="74"/>
      <c r="DUN15" s="72"/>
      <c r="DUU15" s="74"/>
      <c r="DUV15" s="72"/>
      <c r="DVC15" s="74"/>
      <c r="DVD15" s="72"/>
      <c r="DVK15" s="74"/>
      <c r="DVL15" s="72"/>
      <c r="DVS15" s="74"/>
      <c r="DVT15" s="72"/>
      <c r="DWA15" s="74"/>
      <c r="DWB15" s="72"/>
      <c r="DWI15" s="74"/>
      <c r="DWJ15" s="72"/>
      <c r="DWQ15" s="74"/>
      <c r="DWR15" s="72"/>
      <c r="DWY15" s="74"/>
      <c r="DWZ15" s="72"/>
      <c r="DXG15" s="74"/>
      <c r="DXH15" s="72"/>
      <c r="DXO15" s="74"/>
      <c r="DXP15" s="72"/>
      <c r="DXW15" s="74"/>
      <c r="DXX15" s="72"/>
      <c r="DYE15" s="74"/>
      <c r="DYF15" s="72"/>
      <c r="DYM15" s="74"/>
      <c r="DYN15" s="72"/>
      <c r="DYU15" s="74"/>
      <c r="DYV15" s="72"/>
      <c r="DZC15" s="74"/>
      <c r="DZD15" s="72"/>
      <c r="DZK15" s="74"/>
      <c r="DZL15" s="72"/>
      <c r="DZS15" s="74"/>
      <c r="DZT15" s="72"/>
      <c r="EAA15" s="74"/>
      <c r="EAB15" s="72"/>
      <c r="EAI15" s="74"/>
      <c r="EAJ15" s="72"/>
      <c r="EAQ15" s="74"/>
      <c r="EAR15" s="72"/>
      <c r="EAY15" s="74"/>
      <c r="EAZ15" s="72"/>
      <c r="EBG15" s="74"/>
      <c r="EBH15" s="72"/>
      <c r="EBO15" s="74"/>
      <c r="EBP15" s="72"/>
      <c r="EBW15" s="74"/>
      <c r="EBX15" s="72"/>
      <c r="ECE15" s="74"/>
      <c r="ECF15" s="72"/>
      <c r="ECM15" s="74"/>
      <c r="ECN15" s="72"/>
      <c r="ECU15" s="74"/>
      <c r="ECV15" s="72"/>
      <c r="EDC15" s="74"/>
      <c r="EDD15" s="72"/>
      <c r="EDK15" s="74"/>
      <c r="EDL15" s="72"/>
      <c r="EDS15" s="74"/>
      <c r="EDT15" s="72"/>
      <c r="EEA15" s="74"/>
      <c r="EEB15" s="72"/>
      <c r="EEI15" s="74"/>
      <c r="EEJ15" s="72"/>
      <c r="EEQ15" s="74"/>
      <c r="EER15" s="72"/>
      <c r="EEY15" s="74"/>
      <c r="EEZ15" s="72"/>
      <c r="EFG15" s="74"/>
      <c r="EFH15" s="72"/>
      <c r="EFO15" s="74"/>
      <c r="EFP15" s="72"/>
      <c r="EFW15" s="74"/>
      <c r="EFX15" s="72"/>
      <c r="EGE15" s="74"/>
      <c r="EGF15" s="72"/>
      <c r="EGM15" s="74"/>
      <c r="EGN15" s="72"/>
      <c r="EGU15" s="74"/>
      <c r="EGV15" s="72"/>
      <c r="EHC15" s="74"/>
      <c r="EHD15" s="72"/>
      <c r="EHK15" s="74"/>
      <c r="EHL15" s="72"/>
      <c r="EHS15" s="74"/>
      <c r="EHT15" s="72"/>
      <c r="EIA15" s="74"/>
      <c r="EIB15" s="72"/>
      <c r="EII15" s="74"/>
      <c r="EIJ15" s="72"/>
      <c r="EIQ15" s="74"/>
      <c r="EIR15" s="72"/>
      <c r="EIY15" s="74"/>
      <c r="EIZ15" s="72"/>
      <c r="EJG15" s="74"/>
      <c r="EJH15" s="72"/>
      <c r="EJO15" s="74"/>
      <c r="EJP15" s="72"/>
      <c r="EJW15" s="74"/>
      <c r="EJX15" s="72"/>
      <c r="EKE15" s="74"/>
      <c r="EKF15" s="72"/>
      <c r="EKM15" s="74"/>
      <c r="EKN15" s="72"/>
      <c r="EKU15" s="74"/>
      <c r="EKV15" s="72"/>
      <c r="ELC15" s="74"/>
      <c r="ELD15" s="72"/>
      <c r="ELK15" s="74"/>
      <c r="ELL15" s="72"/>
      <c r="ELS15" s="74"/>
      <c r="ELT15" s="72"/>
      <c r="EMA15" s="74"/>
      <c r="EMB15" s="72"/>
      <c r="EMI15" s="74"/>
      <c r="EMJ15" s="72"/>
      <c r="EMQ15" s="74"/>
      <c r="EMR15" s="72"/>
      <c r="EMY15" s="74"/>
      <c r="EMZ15" s="72"/>
      <c r="ENG15" s="74"/>
      <c r="ENH15" s="72"/>
      <c r="ENO15" s="74"/>
      <c r="ENP15" s="72"/>
      <c r="ENW15" s="74"/>
      <c r="ENX15" s="72"/>
      <c r="EOE15" s="74"/>
      <c r="EOF15" s="72"/>
      <c r="EOM15" s="74"/>
      <c r="EON15" s="72"/>
      <c r="EOU15" s="74"/>
      <c r="EOV15" s="72"/>
      <c r="EPC15" s="74"/>
      <c r="EPD15" s="72"/>
      <c r="EPK15" s="74"/>
      <c r="EPL15" s="72"/>
      <c r="EPS15" s="74"/>
      <c r="EPT15" s="72"/>
      <c r="EQA15" s="74"/>
      <c r="EQB15" s="72"/>
      <c r="EQI15" s="74"/>
      <c r="EQJ15" s="72"/>
      <c r="EQQ15" s="74"/>
      <c r="EQR15" s="72"/>
      <c r="EQY15" s="74"/>
      <c r="EQZ15" s="72"/>
      <c r="ERG15" s="74"/>
      <c r="ERH15" s="72"/>
      <c r="ERO15" s="74"/>
      <c r="ERP15" s="72"/>
      <c r="ERW15" s="74"/>
      <c r="ERX15" s="72"/>
      <c r="ESE15" s="74"/>
      <c r="ESF15" s="72"/>
      <c r="ESM15" s="74"/>
      <c r="ESN15" s="72"/>
      <c r="ESU15" s="74"/>
      <c r="ESV15" s="72"/>
      <c r="ETC15" s="74"/>
      <c r="ETD15" s="72"/>
      <c r="ETK15" s="74"/>
      <c r="ETL15" s="72"/>
      <c r="ETS15" s="74"/>
      <c r="ETT15" s="72"/>
      <c r="EUA15" s="74"/>
      <c r="EUB15" s="72"/>
      <c r="EUI15" s="74"/>
      <c r="EUJ15" s="72"/>
      <c r="EUQ15" s="74"/>
      <c r="EUR15" s="72"/>
      <c r="EUY15" s="74"/>
      <c r="EUZ15" s="72"/>
      <c r="EVG15" s="74"/>
      <c r="EVH15" s="72"/>
      <c r="EVO15" s="74"/>
      <c r="EVP15" s="72"/>
      <c r="EVW15" s="74"/>
      <c r="EVX15" s="72"/>
      <c r="EWE15" s="74"/>
      <c r="EWF15" s="72"/>
      <c r="EWM15" s="74"/>
      <c r="EWN15" s="72"/>
      <c r="EWU15" s="74"/>
      <c r="EWV15" s="72"/>
      <c r="EXC15" s="74"/>
      <c r="EXD15" s="72"/>
      <c r="EXK15" s="74"/>
      <c r="EXL15" s="72"/>
      <c r="EXS15" s="74"/>
      <c r="EXT15" s="72"/>
      <c r="EYA15" s="74"/>
      <c r="EYB15" s="72"/>
      <c r="EYI15" s="74"/>
      <c r="EYJ15" s="72"/>
      <c r="EYQ15" s="74"/>
      <c r="EYR15" s="72"/>
      <c r="EYY15" s="74"/>
      <c r="EYZ15" s="72"/>
      <c r="EZG15" s="74"/>
      <c r="EZH15" s="72"/>
      <c r="EZO15" s="74"/>
      <c r="EZP15" s="72"/>
      <c r="EZW15" s="74"/>
      <c r="EZX15" s="72"/>
      <c r="FAE15" s="74"/>
      <c r="FAF15" s="72"/>
      <c r="FAM15" s="74"/>
      <c r="FAN15" s="72"/>
      <c r="FAU15" s="74"/>
      <c r="FAV15" s="72"/>
      <c r="FBC15" s="74"/>
      <c r="FBD15" s="72"/>
      <c r="FBK15" s="74"/>
      <c r="FBL15" s="72"/>
      <c r="FBS15" s="74"/>
      <c r="FBT15" s="72"/>
      <c r="FCA15" s="74"/>
      <c r="FCB15" s="72"/>
      <c r="FCI15" s="74"/>
      <c r="FCJ15" s="72"/>
      <c r="FCQ15" s="74"/>
      <c r="FCR15" s="72"/>
      <c r="FCY15" s="74"/>
      <c r="FCZ15" s="72"/>
      <c r="FDG15" s="74"/>
      <c r="FDH15" s="72"/>
      <c r="FDO15" s="74"/>
      <c r="FDP15" s="72"/>
      <c r="FDW15" s="74"/>
      <c r="FDX15" s="72"/>
      <c r="FEE15" s="74"/>
      <c r="FEF15" s="72"/>
      <c r="FEM15" s="74"/>
      <c r="FEN15" s="72"/>
      <c r="FEU15" s="74"/>
      <c r="FEV15" s="72"/>
      <c r="FFC15" s="74"/>
      <c r="FFD15" s="72"/>
      <c r="FFK15" s="74"/>
      <c r="FFL15" s="72"/>
      <c r="FFS15" s="74"/>
      <c r="FFT15" s="72"/>
      <c r="FGA15" s="74"/>
      <c r="FGB15" s="72"/>
      <c r="FGI15" s="74"/>
      <c r="FGJ15" s="72"/>
      <c r="FGQ15" s="74"/>
      <c r="FGR15" s="72"/>
      <c r="FGY15" s="74"/>
      <c r="FGZ15" s="72"/>
      <c r="FHG15" s="74"/>
      <c r="FHH15" s="72"/>
      <c r="FHO15" s="74"/>
      <c r="FHP15" s="72"/>
      <c r="FHW15" s="74"/>
      <c r="FHX15" s="72"/>
      <c r="FIE15" s="74"/>
      <c r="FIF15" s="72"/>
      <c r="FIM15" s="74"/>
      <c r="FIN15" s="72"/>
      <c r="FIU15" s="74"/>
      <c r="FIV15" s="72"/>
      <c r="FJC15" s="74"/>
      <c r="FJD15" s="72"/>
      <c r="FJK15" s="74"/>
      <c r="FJL15" s="72"/>
      <c r="FJS15" s="74"/>
      <c r="FJT15" s="72"/>
      <c r="FKA15" s="74"/>
      <c r="FKB15" s="72"/>
      <c r="FKI15" s="74"/>
      <c r="FKJ15" s="72"/>
      <c r="FKQ15" s="74"/>
      <c r="FKR15" s="72"/>
      <c r="FKY15" s="74"/>
      <c r="FKZ15" s="72"/>
      <c r="FLG15" s="74"/>
      <c r="FLH15" s="72"/>
      <c r="FLO15" s="74"/>
      <c r="FLP15" s="72"/>
      <c r="FLW15" s="74"/>
      <c r="FLX15" s="72"/>
      <c r="FME15" s="74"/>
      <c r="FMF15" s="72"/>
      <c r="FMM15" s="74"/>
      <c r="FMN15" s="72"/>
      <c r="FMU15" s="74"/>
      <c r="FMV15" s="72"/>
      <c r="FNC15" s="74"/>
      <c r="FND15" s="72"/>
      <c r="FNK15" s="74"/>
      <c r="FNL15" s="72"/>
      <c r="FNS15" s="74"/>
      <c r="FNT15" s="72"/>
      <c r="FOA15" s="74"/>
      <c r="FOB15" s="72"/>
      <c r="FOI15" s="74"/>
      <c r="FOJ15" s="72"/>
      <c r="FOQ15" s="74"/>
      <c r="FOR15" s="72"/>
      <c r="FOY15" s="74"/>
      <c r="FOZ15" s="72"/>
      <c r="FPG15" s="74"/>
      <c r="FPH15" s="72"/>
      <c r="FPO15" s="74"/>
      <c r="FPP15" s="72"/>
      <c r="FPW15" s="74"/>
      <c r="FPX15" s="72"/>
      <c r="FQE15" s="74"/>
      <c r="FQF15" s="72"/>
      <c r="FQM15" s="74"/>
      <c r="FQN15" s="72"/>
      <c r="FQU15" s="74"/>
      <c r="FQV15" s="72"/>
      <c r="FRC15" s="74"/>
      <c r="FRD15" s="72"/>
      <c r="FRK15" s="74"/>
      <c r="FRL15" s="72"/>
      <c r="FRS15" s="74"/>
      <c r="FRT15" s="72"/>
      <c r="FSA15" s="74"/>
      <c r="FSB15" s="72"/>
      <c r="FSI15" s="74"/>
      <c r="FSJ15" s="72"/>
      <c r="FSQ15" s="74"/>
      <c r="FSR15" s="72"/>
      <c r="FSY15" s="74"/>
      <c r="FSZ15" s="72"/>
      <c r="FTG15" s="74"/>
      <c r="FTH15" s="72"/>
      <c r="FTO15" s="74"/>
      <c r="FTP15" s="72"/>
      <c r="FTW15" s="74"/>
      <c r="FTX15" s="72"/>
      <c r="FUE15" s="74"/>
      <c r="FUF15" s="72"/>
      <c r="FUM15" s="74"/>
      <c r="FUN15" s="72"/>
      <c r="FUU15" s="74"/>
      <c r="FUV15" s="72"/>
      <c r="FVC15" s="74"/>
      <c r="FVD15" s="72"/>
      <c r="FVK15" s="74"/>
      <c r="FVL15" s="72"/>
      <c r="FVS15" s="74"/>
      <c r="FVT15" s="72"/>
      <c r="FWA15" s="74"/>
      <c r="FWB15" s="72"/>
      <c r="FWI15" s="74"/>
      <c r="FWJ15" s="72"/>
      <c r="FWQ15" s="74"/>
      <c r="FWR15" s="72"/>
      <c r="FWY15" s="74"/>
      <c r="FWZ15" s="72"/>
      <c r="FXG15" s="74"/>
      <c r="FXH15" s="72"/>
      <c r="FXO15" s="74"/>
      <c r="FXP15" s="72"/>
      <c r="FXW15" s="74"/>
      <c r="FXX15" s="72"/>
      <c r="FYE15" s="74"/>
      <c r="FYF15" s="72"/>
      <c r="FYM15" s="74"/>
      <c r="FYN15" s="72"/>
      <c r="FYU15" s="74"/>
      <c r="FYV15" s="72"/>
      <c r="FZC15" s="74"/>
      <c r="FZD15" s="72"/>
      <c r="FZK15" s="74"/>
      <c r="FZL15" s="72"/>
      <c r="FZS15" s="74"/>
      <c r="FZT15" s="72"/>
      <c r="GAA15" s="74"/>
      <c r="GAB15" s="72"/>
      <c r="GAI15" s="74"/>
      <c r="GAJ15" s="72"/>
      <c r="GAQ15" s="74"/>
      <c r="GAR15" s="72"/>
      <c r="GAY15" s="74"/>
      <c r="GAZ15" s="72"/>
      <c r="GBG15" s="74"/>
      <c r="GBH15" s="72"/>
      <c r="GBO15" s="74"/>
      <c r="GBP15" s="72"/>
      <c r="GBW15" s="74"/>
      <c r="GBX15" s="72"/>
      <c r="GCE15" s="74"/>
      <c r="GCF15" s="72"/>
      <c r="GCM15" s="74"/>
      <c r="GCN15" s="72"/>
      <c r="GCU15" s="74"/>
      <c r="GCV15" s="72"/>
      <c r="GDC15" s="74"/>
      <c r="GDD15" s="72"/>
      <c r="GDK15" s="74"/>
      <c r="GDL15" s="72"/>
      <c r="GDS15" s="74"/>
      <c r="GDT15" s="72"/>
      <c r="GEA15" s="74"/>
      <c r="GEB15" s="72"/>
      <c r="GEI15" s="74"/>
      <c r="GEJ15" s="72"/>
      <c r="GEQ15" s="74"/>
      <c r="GER15" s="72"/>
      <c r="GEY15" s="74"/>
      <c r="GEZ15" s="72"/>
      <c r="GFG15" s="74"/>
      <c r="GFH15" s="72"/>
      <c r="GFO15" s="74"/>
      <c r="GFP15" s="72"/>
      <c r="GFW15" s="74"/>
      <c r="GFX15" s="72"/>
      <c r="GGE15" s="74"/>
      <c r="GGF15" s="72"/>
      <c r="GGM15" s="74"/>
      <c r="GGN15" s="72"/>
      <c r="GGU15" s="74"/>
      <c r="GGV15" s="72"/>
      <c r="GHC15" s="74"/>
      <c r="GHD15" s="72"/>
      <c r="GHK15" s="74"/>
      <c r="GHL15" s="72"/>
      <c r="GHS15" s="74"/>
      <c r="GHT15" s="72"/>
      <c r="GIA15" s="74"/>
      <c r="GIB15" s="72"/>
      <c r="GII15" s="74"/>
      <c r="GIJ15" s="72"/>
      <c r="GIQ15" s="74"/>
      <c r="GIR15" s="72"/>
      <c r="GIY15" s="74"/>
      <c r="GIZ15" s="72"/>
      <c r="GJG15" s="74"/>
      <c r="GJH15" s="72"/>
      <c r="GJO15" s="74"/>
      <c r="GJP15" s="72"/>
      <c r="GJW15" s="74"/>
      <c r="GJX15" s="72"/>
      <c r="GKE15" s="74"/>
      <c r="GKF15" s="72"/>
      <c r="GKM15" s="74"/>
      <c r="GKN15" s="72"/>
      <c r="GKU15" s="74"/>
      <c r="GKV15" s="72"/>
      <c r="GLC15" s="74"/>
      <c r="GLD15" s="72"/>
      <c r="GLK15" s="74"/>
      <c r="GLL15" s="72"/>
      <c r="GLS15" s="74"/>
      <c r="GLT15" s="72"/>
      <c r="GMA15" s="74"/>
      <c r="GMB15" s="72"/>
      <c r="GMI15" s="74"/>
      <c r="GMJ15" s="72"/>
      <c r="GMQ15" s="74"/>
      <c r="GMR15" s="72"/>
      <c r="GMY15" s="74"/>
      <c r="GMZ15" s="72"/>
      <c r="GNG15" s="74"/>
      <c r="GNH15" s="72"/>
      <c r="GNO15" s="74"/>
      <c r="GNP15" s="72"/>
      <c r="GNW15" s="74"/>
      <c r="GNX15" s="72"/>
      <c r="GOE15" s="74"/>
      <c r="GOF15" s="72"/>
      <c r="GOM15" s="74"/>
      <c r="GON15" s="72"/>
      <c r="GOU15" s="74"/>
      <c r="GOV15" s="72"/>
      <c r="GPC15" s="74"/>
      <c r="GPD15" s="72"/>
      <c r="GPK15" s="74"/>
      <c r="GPL15" s="72"/>
      <c r="GPS15" s="74"/>
      <c r="GPT15" s="72"/>
      <c r="GQA15" s="74"/>
      <c r="GQB15" s="72"/>
      <c r="GQI15" s="74"/>
      <c r="GQJ15" s="72"/>
      <c r="GQQ15" s="74"/>
      <c r="GQR15" s="72"/>
      <c r="GQY15" s="74"/>
      <c r="GQZ15" s="72"/>
      <c r="GRG15" s="74"/>
      <c r="GRH15" s="72"/>
      <c r="GRO15" s="74"/>
      <c r="GRP15" s="72"/>
      <c r="GRW15" s="74"/>
      <c r="GRX15" s="72"/>
      <c r="GSE15" s="74"/>
      <c r="GSF15" s="72"/>
      <c r="GSM15" s="74"/>
      <c r="GSN15" s="72"/>
      <c r="GSU15" s="74"/>
      <c r="GSV15" s="72"/>
      <c r="GTC15" s="74"/>
      <c r="GTD15" s="72"/>
      <c r="GTK15" s="74"/>
      <c r="GTL15" s="72"/>
      <c r="GTS15" s="74"/>
      <c r="GTT15" s="72"/>
      <c r="GUA15" s="74"/>
      <c r="GUB15" s="72"/>
      <c r="GUI15" s="74"/>
      <c r="GUJ15" s="72"/>
      <c r="GUQ15" s="74"/>
      <c r="GUR15" s="72"/>
      <c r="GUY15" s="74"/>
      <c r="GUZ15" s="72"/>
      <c r="GVG15" s="74"/>
      <c r="GVH15" s="72"/>
      <c r="GVO15" s="74"/>
      <c r="GVP15" s="72"/>
      <c r="GVW15" s="74"/>
      <c r="GVX15" s="72"/>
      <c r="GWE15" s="74"/>
      <c r="GWF15" s="72"/>
      <c r="GWM15" s="74"/>
      <c r="GWN15" s="72"/>
      <c r="GWU15" s="74"/>
      <c r="GWV15" s="72"/>
      <c r="GXC15" s="74"/>
      <c r="GXD15" s="72"/>
      <c r="GXK15" s="74"/>
      <c r="GXL15" s="72"/>
      <c r="GXS15" s="74"/>
      <c r="GXT15" s="72"/>
      <c r="GYA15" s="74"/>
      <c r="GYB15" s="72"/>
      <c r="GYI15" s="74"/>
      <c r="GYJ15" s="72"/>
      <c r="GYQ15" s="74"/>
      <c r="GYR15" s="72"/>
      <c r="GYY15" s="74"/>
      <c r="GYZ15" s="72"/>
      <c r="GZG15" s="74"/>
      <c r="GZH15" s="72"/>
      <c r="GZO15" s="74"/>
      <c r="GZP15" s="72"/>
      <c r="GZW15" s="74"/>
      <c r="GZX15" s="72"/>
      <c r="HAE15" s="74"/>
      <c r="HAF15" s="72"/>
      <c r="HAM15" s="74"/>
      <c r="HAN15" s="72"/>
      <c r="HAU15" s="74"/>
      <c r="HAV15" s="72"/>
      <c r="HBC15" s="74"/>
      <c r="HBD15" s="72"/>
      <c r="HBK15" s="74"/>
      <c r="HBL15" s="72"/>
      <c r="HBS15" s="74"/>
      <c r="HBT15" s="72"/>
      <c r="HCA15" s="74"/>
      <c r="HCB15" s="72"/>
      <c r="HCI15" s="74"/>
      <c r="HCJ15" s="72"/>
      <c r="HCQ15" s="74"/>
      <c r="HCR15" s="72"/>
      <c r="HCY15" s="74"/>
      <c r="HCZ15" s="72"/>
      <c r="HDG15" s="74"/>
      <c r="HDH15" s="72"/>
      <c r="HDO15" s="74"/>
      <c r="HDP15" s="72"/>
      <c r="HDW15" s="74"/>
      <c r="HDX15" s="72"/>
      <c r="HEE15" s="74"/>
      <c r="HEF15" s="72"/>
      <c r="HEM15" s="74"/>
      <c r="HEN15" s="72"/>
      <c r="HEU15" s="74"/>
      <c r="HEV15" s="72"/>
      <c r="HFC15" s="74"/>
      <c r="HFD15" s="72"/>
      <c r="HFK15" s="74"/>
      <c r="HFL15" s="72"/>
      <c r="HFS15" s="74"/>
      <c r="HFT15" s="72"/>
      <c r="HGA15" s="74"/>
      <c r="HGB15" s="72"/>
      <c r="HGI15" s="74"/>
      <c r="HGJ15" s="72"/>
      <c r="HGQ15" s="74"/>
      <c r="HGR15" s="72"/>
      <c r="HGY15" s="74"/>
      <c r="HGZ15" s="72"/>
      <c r="HHG15" s="74"/>
      <c r="HHH15" s="72"/>
      <c r="HHO15" s="74"/>
      <c r="HHP15" s="72"/>
      <c r="HHW15" s="74"/>
      <c r="HHX15" s="72"/>
      <c r="HIE15" s="74"/>
      <c r="HIF15" s="72"/>
      <c r="HIM15" s="74"/>
      <c r="HIN15" s="72"/>
      <c r="HIU15" s="74"/>
      <c r="HIV15" s="72"/>
      <c r="HJC15" s="74"/>
      <c r="HJD15" s="72"/>
      <c r="HJK15" s="74"/>
      <c r="HJL15" s="72"/>
      <c r="HJS15" s="74"/>
      <c r="HJT15" s="72"/>
      <c r="HKA15" s="74"/>
      <c r="HKB15" s="72"/>
      <c r="HKI15" s="74"/>
      <c r="HKJ15" s="72"/>
      <c r="HKQ15" s="74"/>
      <c r="HKR15" s="72"/>
      <c r="HKY15" s="74"/>
      <c r="HKZ15" s="72"/>
      <c r="HLG15" s="74"/>
      <c r="HLH15" s="72"/>
      <c r="HLO15" s="74"/>
      <c r="HLP15" s="72"/>
      <c r="HLW15" s="74"/>
      <c r="HLX15" s="72"/>
      <c r="HME15" s="74"/>
      <c r="HMF15" s="72"/>
      <c r="HMM15" s="74"/>
      <c r="HMN15" s="72"/>
      <c r="HMU15" s="74"/>
      <c r="HMV15" s="72"/>
      <c r="HNC15" s="74"/>
      <c r="HND15" s="72"/>
      <c r="HNK15" s="74"/>
      <c r="HNL15" s="72"/>
      <c r="HNS15" s="74"/>
      <c r="HNT15" s="72"/>
      <c r="HOA15" s="74"/>
      <c r="HOB15" s="72"/>
      <c r="HOI15" s="74"/>
      <c r="HOJ15" s="72"/>
      <c r="HOQ15" s="74"/>
      <c r="HOR15" s="72"/>
      <c r="HOY15" s="74"/>
      <c r="HOZ15" s="72"/>
      <c r="HPG15" s="74"/>
      <c r="HPH15" s="72"/>
      <c r="HPO15" s="74"/>
      <c r="HPP15" s="72"/>
      <c r="HPW15" s="74"/>
      <c r="HPX15" s="72"/>
      <c r="HQE15" s="74"/>
      <c r="HQF15" s="72"/>
      <c r="HQM15" s="74"/>
      <c r="HQN15" s="72"/>
      <c r="HQU15" s="74"/>
      <c r="HQV15" s="72"/>
      <c r="HRC15" s="74"/>
      <c r="HRD15" s="72"/>
      <c r="HRK15" s="74"/>
      <c r="HRL15" s="72"/>
      <c r="HRS15" s="74"/>
      <c r="HRT15" s="72"/>
      <c r="HSA15" s="74"/>
      <c r="HSB15" s="72"/>
      <c r="HSI15" s="74"/>
      <c r="HSJ15" s="72"/>
      <c r="HSQ15" s="74"/>
      <c r="HSR15" s="72"/>
      <c r="HSY15" s="74"/>
      <c r="HSZ15" s="72"/>
      <c r="HTG15" s="74"/>
      <c r="HTH15" s="72"/>
      <c r="HTO15" s="74"/>
      <c r="HTP15" s="72"/>
      <c r="HTW15" s="74"/>
      <c r="HTX15" s="72"/>
      <c r="HUE15" s="74"/>
      <c r="HUF15" s="72"/>
      <c r="HUM15" s="74"/>
      <c r="HUN15" s="72"/>
      <c r="HUU15" s="74"/>
      <c r="HUV15" s="72"/>
      <c r="HVC15" s="74"/>
      <c r="HVD15" s="72"/>
      <c r="HVK15" s="74"/>
      <c r="HVL15" s="72"/>
      <c r="HVS15" s="74"/>
      <c r="HVT15" s="72"/>
      <c r="HWA15" s="74"/>
      <c r="HWB15" s="72"/>
      <c r="HWI15" s="74"/>
      <c r="HWJ15" s="72"/>
      <c r="HWQ15" s="74"/>
      <c r="HWR15" s="72"/>
      <c r="HWY15" s="74"/>
      <c r="HWZ15" s="72"/>
      <c r="HXG15" s="74"/>
      <c r="HXH15" s="72"/>
      <c r="HXO15" s="74"/>
      <c r="HXP15" s="72"/>
      <c r="HXW15" s="74"/>
      <c r="HXX15" s="72"/>
      <c r="HYE15" s="74"/>
      <c r="HYF15" s="72"/>
      <c r="HYM15" s="74"/>
      <c r="HYN15" s="72"/>
      <c r="HYU15" s="74"/>
      <c r="HYV15" s="72"/>
      <c r="HZC15" s="74"/>
      <c r="HZD15" s="72"/>
      <c r="HZK15" s="74"/>
      <c r="HZL15" s="72"/>
      <c r="HZS15" s="74"/>
      <c r="HZT15" s="72"/>
      <c r="IAA15" s="74"/>
      <c r="IAB15" s="72"/>
      <c r="IAI15" s="74"/>
      <c r="IAJ15" s="72"/>
      <c r="IAQ15" s="74"/>
      <c r="IAR15" s="72"/>
      <c r="IAY15" s="74"/>
      <c r="IAZ15" s="72"/>
      <c r="IBG15" s="74"/>
      <c r="IBH15" s="72"/>
      <c r="IBO15" s="74"/>
      <c r="IBP15" s="72"/>
      <c r="IBW15" s="74"/>
      <c r="IBX15" s="72"/>
      <c r="ICE15" s="74"/>
      <c r="ICF15" s="72"/>
      <c r="ICM15" s="74"/>
      <c r="ICN15" s="72"/>
      <c r="ICU15" s="74"/>
      <c r="ICV15" s="72"/>
      <c r="IDC15" s="74"/>
      <c r="IDD15" s="72"/>
      <c r="IDK15" s="74"/>
      <c r="IDL15" s="72"/>
      <c r="IDS15" s="74"/>
      <c r="IDT15" s="72"/>
      <c r="IEA15" s="74"/>
      <c r="IEB15" s="72"/>
      <c r="IEI15" s="74"/>
      <c r="IEJ15" s="72"/>
      <c r="IEQ15" s="74"/>
      <c r="IER15" s="72"/>
      <c r="IEY15" s="74"/>
      <c r="IEZ15" s="72"/>
      <c r="IFG15" s="74"/>
      <c r="IFH15" s="72"/>
      <c r="IFO15" s="74"/>
      <c r="IFP15" s="72"/>
      <c r="IFW15" s="74"/>
      <c r="IFX15" s="72"/>
      <c r="IGE15" s="74"/>
      <c r="IGF15" s="72"/>
      <c r="IGM15" s="74"/>
      <c r="IGN15" s="72"/>
      <c r="IGU15" s="74"/>
      <c r="IGV15" s="72"/>
      <c r="IHC15" s="74"/>
      <c r="IHD15" s="72"/>
      <c r="IHK15" s="74"/>
      <c r="IHL15" s="72"/>
      <c r="IHS15" s="74"/>
      <c r="IHT15" s="72"/>
      <c r="IIA15" s="74"/>
      <c r="IIB15" s="72"/>
      <c r="III15" s="74"/>
      <c r="IIJ15" s="72"/>
      <c r="IIQ15" s="74"/>
      <c r="IIR15" s="72"/>
      <c r="IIY15" s="74"/>
      <c r="IIZ15" s="72"/>
      <c r="IJG15" s="74"/>
      <c r="IJH15" s="72"/>
      <c r="IJO15" s="74"/>
      <c r="IJP15" s="72"/>
      <c r="IJW15" s="74"/>
      <c r="IJX15" s="72"/>
      <c r="IKE15" s="74"/>
      <c r="IKF15" s="72"/>
      <c r="IKM15" s="74"/>
      <c r="IKN15" s="72"/>
      <c r="IKU15" s="74"/>
      <c r="IKV15" s="72"/>
      <c r="ILC15" s="74"/>
      <c r="ILD15" s="72"/>
      <c r="ILK15" s="74"/>
      <c r="ILL15" s="72"/>
      <c r="ILS15" s="74"/>
      <c r="ILT15" s="72"/>
      <c r="IMA15" s="74"/>
      <c r="IMB15" s="72"/>
      <c r="IMI15" s="74"/>
      <c r="IMJ15" s="72"/>
      <c r="IMQ15" s="74"/>
      <c r="IMR15" s="72"/>
      <c r="IMY15" s="74"/>
      <c r="IMZ15" s="72"/>
      <c r="ING15" s="74"/>
      <c r="INH15" s="72"/>
      <c r="INO15" s="74"/>
      <c r="INP15" s="72"/>
      <c r="INW15" s="74"/>
      <c r="INX15" s="72"/>
      <c r="IOE15" s="74"/>
      <c r="IOF15" s="72"/>
      <c r="IOM15" s="74"/>
      <c r="ION15" s="72"/>
      <c r="IOU15" s="74"/>
      <c r="IOV15" s="72"/>
      <c r="IPC15" s="74"/>
      <c r="IPD15" s="72"/>
      <c r="IPK15" s="74"/>
      <c r="IPL15" s="72"/>
      <c r="IPS15" s="74"/>
      <c r="IPT15" s="72"/>
      <c r="IQA15" s="74"/>
      <c r="IQB15" s="72"/>
      <c r="IQI15" s="74"/>
      <c r="IQJ15" s="72"/>
      <c r="IQQ15" s="74"/>
      <c r="IQR15" s="72"/>
      <c r="IQY15" s="74"/>
      <c r="IQZ15" s="72"/>
      <c r="IRG15" s="74"/>
      <c r="IRH15" s="72"/>
      <c r="IRO15" s="74"/>
      <c r="IRP15" s="72"/>
      <c r="IRW15" s="74"/>
      <c r="IRX15" s="72"/>
      <c r="ISE15" s="74"/>
      <c r="ISF15" s="72"/>
      <c r="ISM15" s="74"/>
      <c r="ISN15" s="72"/>
      <c r="ISU15" s="74"/>
      <c r="ISV15" s="72"/>
      <c r="ITC15" s="74"/>
      <c r="ITD15" s="72"/>
      <c r="ITK15" s="74"/>
      <c r="ITL15" s="72"/>
      <c r="ITS15" s="74"/>
      <c r="ITT15" s="72"/>
      <c r="IUA15" s="74"/>
      <c r="IUB15" s="72"/>
      <c r="IUI15" s="74"/>
      <c r="IUJ15" s="72"/>
      <c r="IUQ15" s="74"/>
      <c r="IUR15" s="72"/>
      <c r="IUY15" s="74"/>
      <c r="IUZ15" s="72"/>
      <c r="IVG15" s="74"/>
      <c r="IVH15" s="72"/>
      <c r="IVO15" s="74"/>
      <c r="IVP15" s="72"/>
      <c r="IVW15" s="74"/>
      <c r="IVX15" s="72"/>
      <c r="IWE15" s="74"/>
      <c r="IWF15" s="72"/>
      <c r="IWM15" s="74"/>
      <c r="IWN15" s="72"/>
      <c r="IWU15" s="74"/>
      <c r="IWV15" s="72"/>
      <c r="IXC15" s="74"/>
      <c r="IXD15" s="72"/>
      <c r="IXK15" s="74"/>
      <c r="IXL15" s="72"/>
      <c r="IXS15" s="74"/>
      <c r="IXT15" s="72"/>
      <c r="IYA15" s="74"/>
      <c r="IYB15" s="72"/>
      <c r="IYI15" s="74"/>
      <c r="IYJ15" s="72"/>
      <c r="IYQ15" s="74"/>
      <c r="IYR15" s="72"/>
      <c r="IYY15" s="74"/>
      <c r="IYZ15" s="72"/>
      <c r="IZG15" s="74"/>
      <c r="IZH15" s="72"/>
      <c r="IZO15" s="74"/>
      <c r="IZP15" s="72"/>
      <c r="IZW15" s="74"/>
      <c r="IZX15" s="72"/>
      <c r="JAE15" s="74"/>
      <c r="JAF15" s="72"/>
      <c r="JAM15" s="74"/>
      <c r="JAN15" s="72"/>
      <c r="JAU15" s="74"/>
      <c r="JAV15" s="72"/>
      <c r="JBC15" s="74"/>
      <c r="JBD15" s="72"/>
      <c r="JBK15" s="74"/>
      <c r="JBL15" s="72"/>
      <c r="JBS15" s="74"/>
      <c r="JBT15" s="72"/>
      <c r="JCA15" s="74"/>
      <c r="JCB15" s="72"/>
      <c r="JCI15" s="74"/>
      <c r="JCJ15" s="72"/>
      <c r="JCQ15" s="74"/>
      <c r="JCR15" s="72"/>
      <c r="JCY15" s="74"/>
      <c r="JCZ15" s="72"/>
      <c r="JDG15" s="74"/>
      <c r="JDH15" s="72"/>
      <c r="JDO15" s="74"/>
      <c r="JDP15" s="72"/>
      <c r="JDW15" s="74"/>
      <c r="JDX15" s="72"/>
      <c r="JEE15" s="74"/>
      <c r="JEF15" s="72"/>
      <c r="JEM15" s="74"/>
      <c r="JEN15" s="72"/>
      <c r="JEU15" s="74"/>
      <c r="JEV15" s="72"/>
      <c r="JFC15" s="74"/>
      <c r="JFD15" s="72"/>
      <c r="JFK15" s="74"/>
      <c r="JFL15" s="72"/>
      <c r="JFS15" s="74"/>
      <c r="JFT15" s="72"/>
      <c r="JGA15" s="74"/>
      <c r="JGB15" s="72"/>
      <c r="JGI15" s="74"/>
      <c r="JGJ15" s="72"/>
      <c r="JGQ15" s="74"/>
      <c r="JGR15" s="72"/>
      <c r="JGY15" s="74"/>
      <c r="JGZ15" s="72"/>
      <c r="JHG15" s="74"/>
      <c r="JHH15" s="72"/>
      <c r="JHO15" s="74"/>
      <c r="JHP15" s="72"/>
      <c r="JHW15" s="74"/>
      <c r="JHX15" s="72"/>
      <c r="JIE15" s="74"/>
      <c r="JIF15" s="72"/>
      <c r="JIM15" s="74"/>
      <c r="JIN15" s="72"/>
      <c r="JIU15" s="74"/>
      <c r="JIV15" s="72"/>
      <c r="JJC15" s="74"/>
      <c r="JJD15" s="72"/>
      <c r="JJK15" s="74"/>
      <c r="JJL15" s="72"/>
      <c r="JJS15" s="74"/>
      <c r="JJT15" s="72"/>
      <c r="JKA15" s="74"/>
      <c r="JKB15" s="72"/>
      <c r="JKI15" s="74"/>
      <c r="JKJ15" s="72"/>
      <c r="JKQ15" s="74"/>
      <c r="JKR15" s="72"/>
      <c r="JKY15" s="74"/>
      <c r="JKZ15" s="72"/>
      <c r="JLG15" s="74"/>
      <c r="JLH15" s="72"/>
      <c r="JLO15" s="74"/>
      <c r="JLP15" s="72"/>
      <c r="JLW15" s="74"/>
      <c r="JLX15" s="72"/>
      <c r="JME15" s="74"/>
      <c r="JMF15" s="72"/>
      <c r="JMM15" s="74"/>
      <c r="JMN15" s="72"/>
      <c r="JMU15" s="74"/>
      <c r="JMV15" s="72"/>
      <c r="JNC15" s="74"/>
      <c r="JND15" s="72"/>
      <c r="JNK15" s="74"/>
      <c r="JNL15" s="72"/>
      <c r="JNS15" s="74"/>
      <c r="JNT15" s="72"/>
      <c r="JOA15" s="74"/>
      <c r="JOB15" s="72"/>
      <c r="JOI15" s="74"/>
      <c r="JOJ15" s="72"/>
      <c r="JOQ15" s="74"/>
      <c r="JOR15" s="72"/>
      <c r="JOY15" s="74"/>
      <c r="JOZ15" s="72"/>
      <c r="JPG15" s="74"/>
      <c r="JPH15" s="72"/>
      <c r="JPO15" s="74"/>
      <c r="JPP15" s="72"/>
      <c r="JPW15" s="74"/>
      <c r="JPX15" s="72"/>
      <c r="JQE15" s="74"/>
      <c r="JQF15" s="72"/>
      <c r="JQM15" s="74"/>
      <c r="JQN15" s="72"/>
      <c r="JQU15" s="74"/>
      <c r="JQV15" s="72"/>
      <c r="JRC15" s="74"/>
      <c r="JRD15" s="72"/>
      <c r="JRK15" s="74"/>
      <c r="JRL15" s="72"/>
      <c r="JRS15" s="74"/>
      <c r="JRT15" s="72"/>
      <c r="JSA15" s="74"/>
      <c r="JSB15" s="72"/>
      <c r="JSI15" s="74"/>
      <c r="JSJ15" s="72"/>
      <c r="JSQ15" s="74"/>
      <c r="JSR15" s="72"/>
      <c r="JSY15" s="74"/>
      <c r="JSZ15" s="72"/>
      <c r="JTG15" s="74"/>
      <c r="JTH15" s="72"/>
      <c r="JTO15" s="74"/>
      <c r="JTP15" s="72"/>
      <c r="JTW15" s="74"/>
      <c r="JTX15" s="72"/>
      <c r="JUE15" s="74"/>
      <c r="JUF15" s="72"/>
      <c r="JUM15" s="74"/>
      <c r="JUN15" s="72"/>
      <c r="JUU15" s="74"/>
      <c r="JUV15" s="72"/>
      <c r="JVC15" s="74"/>
      <c r="JVD15" s="72"/>
      <c r="JVK15" s="74"/>
      <c r="JVL15" s="72"/>
      <c r="JVS15" s="74"/>
      <c r="JVT15" s="72"/>
      <c r="JWA15" s="74"/>
      <c r="JWB15" s="72"/>
      <c r="JWI15" s="74"/>
      <c r="JWJ15" s="72"/>
      <c r="JWQ15" s="74"/>
      <c r="JWR15" s="72"/>
      <c r="JWY15" s="74"/>
      <c r="JWZ15" s="72"/>
      <c r="JXG15" s="74"/>
      <c r="JXH15" s="72"/>
      <c r="JXO15" s="74"/>
      <c r="JXP15" s="72"/>
      <c r="JXW15" s="74"/>
      <c r="JXX15" s="72"/>
      <c r="JYE15" s="74"/>
      <c r="JYF15" s="72"/>
      <c r="JYM15" s="74"/>
      <c r="JYN15" s="72"/>
      <c r="JYU15" s="74"/>
      <c r="JYV15" s="72"/>
      <c r="JZC15" s="74"/>
      <c r="JZD15" s="72"/>
      <c r="JZK15" s="74"/>
      <c r="JZL15" s="72"/>
      <c r="JZS15" s="74"/>
      <c r="JZT15" s="72"/>
      <c r="KAA15" s="74"/>
      <c r="KAB15" s="72"/>
      <c r="KAI15" s="74"/>
      <c r="KAJ15" s="72"/>
      <c r="KAQ15" s="74"/>
      <c r="KAR15" s="72"/>
      <c r="KAY15" s="74"/>
      <c r="KAZ15" s="72"/>
      <c r="KBG15" s="74"/>
      <c r="KBH15" s="72"/>
      <c r="KBO15" s="74"/>
      <c r="KBP15" s="72"/>
      <c r="KBW15" s="74"/>
      <c r="KBX15" s="72"/>
      <c r="KCE15" s="74"/>
      <c r="KCF15" s="72"/>
      <c r="KCM15" s="74"/>
      <c r="KCN15" s="72"/>
      <c r="KCU15" s="74"/>
      <c r="KCV15" s="72"/>
      <c r="KDC15" s="74"/>
      <c r="KDD15" s="72"/>
      <c r="KDK15" s="74"/>
      <c r="KDL15" s="72"/>
      <c r="KDS15" s="74"/>
      <c r="KDT15" s="72"/>
      <c r="KEA15" s="74"/>
      <c r="KEB15" s="72"/>
      <c r="KEI15" s="74"/>
      <c r="KEJ15" s="72"/>
      <c r="KEQ15" s="74"/>
      <c r="KER15" s="72"/>
      <c r="KEY15" s="74"/>
      <c r="KEZ15" s="72"/>
      <c r="KFG15" s="74"/>
      <c r="KFH15" s="72"/>
      <c r="KFO15" s="74"/>
      <c r="KFP15" s="72"/>
      <c r="KFW15" s="74"/>
      <c r="KFX15" s="72"/>
      <c r="KGE15" s="74"/>
      <c r="KGF15" s="72"/>
      <c r="KGM15" s="74"/>
      <c r="KGN15" s="72"/>
      <c r="KGU15" s="74"/>
      <c r="KGV15" s="72"/>
      <c r="KHC15" s="74"/>
      <c r="KHD15" s="72"/>
      <c r="KHK15" s="74"/>
      <c r="KHL15" s="72"/>
      <c r="KHS15" s="74"/>
      <c r="KHT15" s="72"/>
      <c r="KIA15" s="74"/>
      <c r="KIB15" s="72"/>
      <c r="KII15" s="74"/>
      <c r="KIJ15" s="72"/>
      <c r="KIQ15" s="74"/>
      <c r="KIR15" s="72"/>
      <c r="KIY15" s="74"/>
      <c r="KIZ15" s="72"/>
      <c r="KJG15" s="74"/>
      <c r="KJH15" s="72"/>
      <c r="KJO15" s="74"/>
      <c r="KJP15" s="72"/>
      <c r="KJW15" s="74"/>
      <c r="KJX15" s="72"/>
      <c r="KKE15" s="74"/>
      <c r="KKF15" s="72"/>
      <c r="KKM15" s="74"/>
      <c r="KKN15" s="72"/>
      <c r="KKU15" s="74"/>
      <c r="KKV15" s="72"/>
      <c r="KLC15" s="74"/>
      <c r="KLD15" s="72"/>
      <c r="KLK15" s="74"/>
      <c r="KLL15" s="72"/>
      <c r="KLS15" s="74"/>
      <c r="KLT15" s="72"/>
      <c r="KMA15" s="74"/>
      <c r="KMB15" s="72"/>
      <c r="KMI15" s="74"/>
      <c r="KMJ15" s="72"/>
      <c r="KMQ15" s="74"/>
      <c r="KMR15" s="72"/>
      <c r="KMY15" s="74"/>
      <c r="KMZ15" s="72"/>
      <c r="KNG15" s="74"/>
      <c r="KNH15" s="72"/>
      <c r="KNO15" s="74"/>
      <c r="KNP15" s="72"/>
      <c r="KNW15" s="74"/>
      <c r="KNX15" s="72"/>
      <c r="KOE15" s="74"/>
      <c r="KOF15" s="72"/>
      <c r="KOM15" s="74"/>
      <c r="KON15" s="72"/>
      <c r="KOU15" s="74"/>
      <c r="KOV15" s="72"/>
      <c r="KPC15" s="74"/>
      <c r="KPD15" s="72"/>
      <c r="KPK15" s="74"/>
      <c r="KPL15" s="72"/>
      <c r="KPS15" s="74"/>
      <c r="KPT15" s="72"/>
      <c r="KQA15" s="74"/>
      <c r="KQB15" s="72"/>
      <c r="KQI15" s="74"/>
      <c r="KQJ15" s="72"/>
      <c r="KQQ15" s="74"/>
      <c r="KQR15" s="72"/>
      <c r="KQY15" s="74"/>
      <c r="KQZ15" s="72"/>
      <c r="KRG15" s="74"/>
      <c r="KRH15" s="72"/>
      <c r="KRO15" s="74"/>
      <c r="KRP15" s="72"/>
      <c r="KRW15" s="74"/>
      <c r="KRX15" s="72"/>
      <c r="KSE15" s="74"/>
      <c r="KSF15" s="72"/>
      <c r="KSM15" s="74"/>
      <c r="KSN15" s="72"/>
      <c r="KSU15" s="74"/>
      <c r="KSV15" s="72"/>
      <c r="KTC15" s="74"/>
      <c r="KTD15" s="72"/>
      <c r="KTK15" s="74"/>
      <c r="KTL15" s="72"/>
      <c r="KTS15" s="74"/>
      <c r="KTT15" s="72"/>
      <c r="KUA15" s="74"/>
      <c r="KUB15" s="72"/>
      <c r="KUI15" s="74"/>
      <c r="KUJ15" s="72"/>
      <c r="KUQ15" s="74"/>
      <c r="KUR15" s="72"/>
      <c r="KUY15" s="74"/>
      <c r="KUZ15" s="72"/>
      <c r="KVG15" s="74"/>
      <c r="KVH15" s="72"/>
      <c r="KVO15" s="74"/>
      <c r="KVP15" s="72"/>
      <c r="KVW15" s="74"/>
      <c r="KVX15" s="72"/>
      <c r="KWE15" s="74"/>
      <c r="KWF15" s="72"/>
      <c r="KWM15" s="74"/>
      <c r="KWN15" s="72"/>
      <c r="KWU15" s="74"/>
      <c r="KWV15" s="72"/>
      <c r="KXC15" s="74"/>
      <c r="KXD15" s="72"/>
      <c r="KXK15" s="74"/>
      <c r="KXL15" s="72"/>
      <c r="KXS15" s="74"/>
      <c r="KXT15" s="72"/>
      <c r="KYA15" s="74"/>
      <c r="KYB15" s="72"/>
      <c r="KYI15" s="74"/>
      <c r="KYJ15" s="72"/>
      <c r="KYQ15" s="74"/>
      <c r="KYR15" s="72"/>
      <c r="KYY15" s="74"/>
      <c r="KYZ15" s="72"/>
      <c r="KZG15" s="74"/>
      <c r="KZH15" s="72"/>
      <c r="KZO15" s="74"/>
      <c r="KZP15" s="72"/>
      <c r="KZW15" s="74"/>
      <c r="KZX15" s="72"/>
      <c r="LAE15" s="74"/>
      <c r="LAF15" s="72"/>
      <c r="LAM15" s="74"/>
      <c r="LAN15" s="72"/>
      <c r="LAU15" s="74"/>
      <c r="LAV15" s="72"/>
      <c r="LBC15" s="74"/>
      <c r="LBD15" s="72"/>
      <c r="LBK15" s="74"/>
      <c r="LBL15" s="72"/>
      <c r="LBS15" s="74"/>
      <c r="LBT15" s="72"/>
      <c r="LCA15" s="74"/>
      <c r="LCB15" s="72"/>
      <c r="LCI15" s="74"/>
      <c r="LCJ15" s="72"/>
      <c r="LCQ15" s="74"/>
      <c r="LCR15" s="72"/>
      <c r="LCY15" s="74"/>
      <c r="LCZ15" s="72"/>
      <c r="LDG15" s="74"/>
      <c r="LDH15" s="72"/>
      <c r="LDO15" s="74"/>
      <c r="LDP15" s="72"/>
      <c r="LDW15" s="74"/>
      <c r="LDX15" s="72"/>
      <c r="LEE15" s="74"/>
      <c r="LEF15" s="72"/>
      <c r="LEM15" s="74"/>
      <c r="LEN15" s="72"/>
      <c r="LEU15" s="74"/>
      <c r="LEV15" s="72"/>
      <c r="LFC15" s="74"/>
      <c r="LFD15" s="72"/>
      <c r="LFK15" s="74"/>
      <c r="LFL15" s="72"/>
      <c r="LFS15" s="74"/>
      <c r="LFT15" s="72"/>
      <c r="LGA15" s="74"/>
      <c r="LGB15" s="72"/>
      <c r="LGI15" s="74"/>
      <c r="LGJ15" s="72"/>
      <c r="LGQ15" s="74"/>
      <c r="LGR15" s="72"/>
      <c r="LGY15" s="74"/>
      <c r="LGZ15" s="72"/>
      <c r="LHG15" s="74"/>
      <c r="LHH15" s="72"/>
      <c r="LHO15" s="74"/>
      <c r="LHP15" s="72"/>
      <c r="LHW15" s="74"/>
      <c r="LHX15" s="72"/>
      <c r="LIE15" s="74"/>
      <c r="LIF15" s="72"/>
      <c r="LIM15" s="74"/>
      <c r="LIN15" s="72"/>
      <c r="LIU15" s="74"/>
      <c r="LIV15" s="72"/>
      <c r="LJC15" s="74"/>
      <c r="LJD15" s="72"/>
      <c r="LJK15" s="74"/>
      <c r="LJL15" s="72"/>
      <c r="LJS15" s="74"/>
      <c r="LJT15" s="72"/>
      <c r="LKA15" s="74"/>
      <c r="LKB15" s="72"/>
      <c r="LKI15" s="74"/>
      <c r="LKJ15" s="72"/>
      <c r="LKQ15" s="74"/>
      <c r="LKR15" s="72"/>
      <c r="LKY15" s="74"/>
      <c r="LKZ15" s="72"/>
      <c r="LLG15" s="74"/>
      <c r="LLH15" s="72"/>
      <c r="LLO15" s="74"/>
      <c r="LLP15" s="72"/>
      <c r="LLW15" s="74"/>
      <c r="LLX15" s="72"/>
      <c r="LME15" s="74"/>
      <c r="LMF15" s="72"/>
      <c r="LMM15" s="74"/>
      <c r="LMN15" s="72"/>
      <c r="LMU15" s="74"/>
      <c r="LMV15" s="72"/>
      <c r="LNC15" s="74"/>
      <c r="LND15" s="72"/>
      <c r="LNK15" s="74"/>
      <c r="LNL15" s="72"/>
      <c r="LNS15" s="74"/>
      <c r="LNT15" s="72"/>
      <c r="LOA15" s="74"/>
      <c r="LOB15" s="72"/>
      <c r="LOI15" s="74"/>
      <c r="LOJ15" s="72"/>
      <c r="LOQ15" s="74"/>
      <c r="LOR15" s="72"/>
      <c r="LOY15" s="74"/>
      <c r="LOZ15" s="72"/>
      <c r="LPG15" s="74"/>
      <c r="LPH15" s="72"/>
      <c r="LPO15" s="74"/>
      <c r="LPP15" s="72"/>
      <c r="LPW15" s="74"/>
      <c r="LPX15" s="72"/>
      <c r="LQE15" s="74"/>
      <c r="LQF15" s="72"/>
      <c r="LQM15" s="74"/>
      <c r="LQN15" s="72"/>
      <c r="LQU15" s="74"/>
      <c r="LQV15" s="72"/>
      <c r="LRC15" s="74"/>
      <c r="LRD15" s="72"/>
      <c r="LRK15" s="74"/>
      <c r="LRL15" s="72"/>
      <c r="LRS15" s="74"/>
      <c r="LRT15" s="72"/>
      <c r="LSA15" s="74"/>
      <c r="LSB15" s="72"/>
      <c r="LSI15" s="74"/>
      <c r="LSJ15" s="72"/>
      <c r="LSQ15" s="74"/>
      <c r="LSR15" s="72"/>
      <c r="LSY15" s="74"/>
      <c r="LSZ15" s="72"/>
      <c r="LTG15" s="74"/>
      <c r="LTH15" s="72"/>
      <c r="LTO15" s="74"/>
      <c r="LTP15" s="72"/>
      <c r="LTW15" s="74"/>
      <c r="LTX15" s="72"/>
      <c r="LUE15" s="74"/>
      <c r="LUF15" s="72"/>
      <c r="LUM15" s="74"/>
      <c r="LUN15" s="72"/>
      <c r="LUU15" s="74"/>
      <c r="LUV15" s="72"/>
      <c r="LVC15" s="74"/>
      <c r="LVD15" s="72"/>
      <c r="LVK15" s="74"/>
      <c r="LVL15" s="72"/>
      <c r="LVS15" s="74"/>
      <c r="LVT15" s="72"/>
      <c r="LWA15" s="74"/>
      <c r="LWB15" s="72"/>
      <c r="LWI15" s="74"/>
      <c r="LWJ15" s="72"/>
      <c r="LWQ15" s="74"/>
      <c r="LWR15" s="72"/>
      <c r="LWY15" s="74"/>
      <c r="LWZ15" s="72"/>
      <c r="LXG15" s="74"/>
      <c r="LXH15" s="72"/>
      <c r="LXO15" s="74"/>
      <c r="LXP15" s="72"/>
      <c r="LXW15" s="74"/>
      <c r="LXX15" s="72"/>
      <c r="LYE15" s="74"/>
      <c r="LYF15" s="72"/>
      <c r="LYM15" s="74"/>
      <c r="LYN15" s="72"/>
      <c r="LYU15" s="74"/>
      <c r="LYV15" s="72"/>
      <c r="LZC15" s="74"/>
      <c r="LZD15" s="72"/>
      <c r="LZK15" s="74"/>
      <c r="LZL15" s="72"/>
      <c r="LZS15" s="74"/>
      <c r="LZT15" s="72"/>
      <c r="MAA15" s="74"/>
      <c r="MAB15" s="72"/>
      <c r="MAI15" s="74"/>
      <c r="MAJ15" s="72"/>
      <c r="MAQ15" s="74"/>
      <c r="MAR15" s="72"/>
      <c r="MAY15" s="74"/>
      <c r="MAZ15" s="72"/>
      <c r="MBG15" s="74"/>
      <c r="MBH15" s="72"/>
      <c r="MBO15" s="74"/>
      <c r="MBP15" s="72"/>
      <c r="MBW15" s="74"/>
      <c r="MBX15" s="72"/>
      <c r="MCE15" s="74"/>
      <c r="MCF15" s="72"/>
      <c r="MCM15" s="74"/>
      <c r="MCN15" s="72"/>
      <c r="MCU15" s="74"/>
      <c r="MCV15" s="72"/>
      <c r="MDC15" s="74"/>
      <c r="MDD15" s="72"/>
      <c r="MDK15" s="74"/>
      <c r="MDL15" s="72"/>
      <c r="MDS15" s="74"/>
      <c r="MDT15" s="72"/>
      <c r="MEA15" s="74"/>
      <c r="MEB15" s="72"/>
      <c r="MEI15" s="74"/>
      <c r="MEJ15" s="72"/>
      <c r="MEQ15" s="74"/>
      <c r="MER15" s="72"/>
      <c r="MEY15" s="74"/>
      <c r="MEZ15" s="72"/>
      <c r="MFG15" s="74"/>
      <c r="MFH15" s="72"/>
      <c r="MFO15" s="74"/>
      <c r="MFP15" s="72"/>
      <c r="MFW15" s="74"/>
      <c r="MFX15" s="72"/>
      <c r="MGE15" s="74"/>
      <c r="MGF15" s="72"/>
      <c r="MGM15" s="74"/>
      <c r="MGN15" s="72"/>
      <c r="MGU15" s="74"/>
      <c r="MGV15" s="72"/>
      <c r="MHC15" s="74"/>
      <c r="MHD15" s="72"/>
      <c r="MHK15" s="74"/>
      <c r="MHL15" s="72"/>
      <c r="MHS15" s="74"/>
      <c r="MHT15" s="72"/>
      <c r="MIA15" s="74"/>
      <c r="MIB15" s="72"/>
      <c r="MII15" s="74"/>
      <c r="MIJ15" s="72"/>
      <c r="MIQ15" s="74"/>
      <c r="MIR15" s="72"/>
      <c r="MIY15" s="74"/>
      <c r="MIZ15" s="72"/>
      <c r="MJG15" s="74"/>
      <c r="MJH15" s="72"/>
      <c r="MJO15" s="74"/>
      <c r="MJP15" s="72"/>
      <c r="MJW15" s="74"/>
      <c r="MJX15" s="72"/>
      <c r="MKE15" s="74"/>
      <c r="MKF15" s="72"/>
      <c r="MKM15" s="74"/>
      <c r="MKN15" s="72"/>
      <c r="MKU15" s="74"/>
      <c r="MKV15" s="72"/>
      <c r="MLC15" s="74"/>
      <c r="MLD15" s="72"/>
      <c r="MLK15" s="74"/>
      <c r="MLL15" s="72"/>
      <c r="MLS15" s="74"/>
      <c r="MLT15" s="72"/>
      <c r="MMA15" s="74"/>
      <c r="MMB15" s="72"/>
      <c r="MMI15" s="74"/>
      <c r="MMJ15" s="72"/>
      <c r="MMQ15" s="74"/>
      <c r="MMR15" s="72"/>
      <c r="MMY15" s="74"/>
      <c r="MMZ15" s="72"/>
      <c r="MNG15" s="74"/>
      <c r="MNH15" s="72"/>
      <c r="MNO15" s="74"/>
      <c r="MNP15" s="72"/>
      <c r="MNW15" s="74"/>
      <c r="MNX15" s="72"/>
      <c r="MOE15" s="74"/>
      <c r="MOF15" s="72"/>
      <c r="MOM15" s="74"/>
      <c r="MON15" s="72"/>
      <c r="MOU15" s="74"/>
      <c r="MOV15" s="72"/>
      <c r="MPC15" s="74"/>
      <c r="MPD15" s="72"/>
      <c r="MPK15" s="74"/>
      <c r="MPL15" s="72"/>
      <c r="MPS15" s="74"/>
      <c r="MPT15" s="72"/>
      <c r="MQA15" s="74"/>
      <c r="MQB15" s="72"/>
      <c r="MQI15" s="74"/>
      <c r="MQJ15" s="72"/>
      <c r="MQQ15" s="74"/>
      <c r="MQR15" s="72"/>
      <c r="MQY15" s="74"/>
      <c r="MQZ15" s="72"/>
      <c r="MRG15" s="74"/>
      <c r="MRH15" s="72"/>
      <c r="MRO15" s="74"/>
      <c r="MRP15" s="72"/>
      <c r="MRW15" s="74"/>
      <c r="MRX15" s="72"/>
      <c r="MSE15" s="74"/>
      <c r="MSF15" s="72"/>
      <c r="MSM15" s="74"/>
      <c r="MSN15" s="72"/>
      <c r="MSU15" s="74"/>
      <c r="MSV15" s="72"/>
      <c r="MTC15" s="74"/>
      <c r="MTD15" s="72"/>
      <c r="MTK15" s="74"/>
      <c r="MTL15" s="72"/>
      <c r="MTS15" s="74"/>
      <c r="MTT15" s="72"/>
      <c r="MUA15" s="74"/>
      <c r="MUB15" s="72"/>
      <c r="MUI15" s="74"/>
      <c r="MUJ15" s="72"/>
      <c r="MUQ15" s="74"/>
      <c r="MUR15" s="72"/>
      <c r="MUY15" s="74"/>
      <c r="MUZ15" s="72"/>
      <c r="MVG15" s="74"/>
      <c r="MVH15" s="72"/>
      <c r="MVO15" s="74"/>
      <c r="MVP15" s="72"/>
      <c r="MVW15" s="74"/>
      <c r="MVX15" s="72"/>
      <c r="MWE15" s="74"/>
      <c r="MWF15" s="72"/>
      <c r="MWM15" s="74"/>
      <c r="MWN15" s="72"/>
      <c r="MWU15" s="74"/>
      <c r="MWV15" s="72"/>
      <c r="MXC15" s="74"/>
      <c r="MXD15" s="72"/>
      <c r="MXK15" s="74"/>
      <c r="MXL15" s="72"/>
      <c r="MXS15" s="74"/>
      <c r="MXT15" s="72"/>
      <c r="MYA15" s="74"/>
      <c r="MYB15" s="72"/>
      <c r="MYI15" s="74"/>
      <c r="MYJ15" s="72"/>
      <c r="MYQ15" s="74"/>
      <c r="MYR15" s="72"/>
      <c r="MYY15" s="74"/>
      <c r="MYZ15" s="72"/>
      <c r="MZG15" s="74"/>
      <c r="MZH15" s="72"/>
      <c r="MZO15" s="74"/>
      <c r="MZP15" s="72"/>
      <c r="MZW15" s="74"/>
      <c r="MZX15" s="72"/>
      <c r="NAE15" s="74"/>
      <c r="NAF15" s="72"/>
      <c r="NAM15" s="74"/>
      <c r="NAN15" s="72"/>
      <c r="NAU15" s="74"/>
      <c r="NAV15" s="72"/>
      <c r="NBC15" s="74"/>
      <c r="NBD15" s="72"/>
      <c r="NBK15" s="74"/>
      <c r="NBL15" s="72"/>
      <c r="NBS15" s="74"/>
      <c r="NBT15" s="72"/>
      <c r="NCA15" s="74"/>
      <c r="NCB15" s="72"/>
      <c r="NCI15" s="74"/>
      <c r="NCJ15" s="72"/>
      <c r="NCQ15" s="74"/>
      <c r="NCR15" s="72"/>
      <c r="NCY15" s="74"/>
      <c r="NCZ15" s="72"/>
      <c r="NDG15" s="74"/>
      <c r="NDH15" s="72"/>
      <c r="NDO15" s="74"/>
      <c r="NDP15" s="72"/>
      <c r="NDW15" s="74"/>
      <c r="NDX15" s="72"/>
      <c r="NEE15" s="74"/>
      <c r="NEF15" s="72"/>
      <c r="NEM15" s="74"/>
      <c r="NEN15" s="72"/>
      <c r="NEU15" s="74"/>
      <c r="NEV15" s="72"/>
      <c r="NFC15" s="74"/>
      <c r="NFD15" s="72"/>
      <c r="NFK15" s="74"/>
      <c r="NFL15" s="72"/>
      <c r="NFS15" s="74"/>
      <c r="NFT15" s="72"/>
      <c r="NGA15" s="74"/>
      <c r="NGB15" s="72"/>
      <c r="NGI15" s="74"/>
      <c r="NGJ15" s="72"/>
      <c r="NGQ15" s="74"/>
      <c r="NGR15" s="72"/>
      <c r="NGY15" s="74"/>
      <c r="NGZ15" s="72"/>
      <c r="NHG15" s="74"/>
      <c r="NHH15" s="72"/>
      <c r="NHO15" s="74"/>
      <c r="NHP15" s="72"/>
      <c r="NHW15" s="74"/>
      <c r="NHX15" s="72"/>
      <c r="NIE15" s="74"/>
      <c r="NIF15" s="72"/>
      <c r="NIM15" s="74"/>
      <c r="NIN15" s="72"/>
      <c r="NIU15" s="74"/>
      <c r="NIV15" s="72"/>
      <c r="NJC15" s="74"/>
      <c r="NJD15" s="72"/>
      <c r="NJK15" s="74"/>
      <c r="NJL15" s="72"/>
      <c r="NJS15" s="74"/>
      <c r="NJT15" s="72"/>
      <c r="NKA15" s="74"/>
      <c r="NKB15" s="72"/>
      <c r="NKI15" s="74"/>
      <c r="NKJ15" s="72"/>
      <c r="NKQ15" s="74"/>
      <c r="NKR15" s="72"/>
      <c r="NKY15" s="74"/>
      <c r="NKZ15" s="72"/>
      <c r="NLG15" s="74"/>
      <c r="NLH15" s="72"/>
      <c r="NLO15" s="74"/>
      <c r="NLP15" s="72"/>
      <c r="NLW15" s="74"/>
      <c r="NLX15" s="72"/>
      <c r="NME15" s="74"/>
      <c r="NMF15" s="72"/>
      <c r="NMM15" s="74"/>
      <c r="NMN15" s="72"/>
      <c r="NMU15" s="74"/>
      <c r="NMV15" s="72"/>
      <c r="NNC15" s="74"/>
      <c r="NND15" s="72"/>
      <c r="NNK15" s="74"/>
      <c r="NNL15" s="72"/>
      <c r="NNS15" s="74"/>
      <c r="NNT15" s="72"/>
      <c r="NOA15" s="74"/>
      <c r="NOB15" s="72"/>
      <c r="NOI15" s="74"/>
      <c r="NOJ15" s="72"/>
      <c r="NOQ15" s="74"/>
      <c r="NOR15" s="72"/>
      <c r="NOY15" s="74"/>
      <c r="NOZ15" s="72"/>
      <c r="NPG15" s="74"/>
      <c r="NPH15" s="72"/>
      <c r="NPO15" s="74"/>
      <c r="NPP15" s="72"/>
      <c r="NPW15" s="74"/>
      <c r="NPX15" s="72"/>
      <c r="NQE15" s="74"/>
      <c r="NQF15" s="72"/>
      <c r="NQM15" s="74"/>
      <c r="NQN15" s="72"/>
      <c r="NQU15" s="74"/>
      <c r="NQV15" s="72"/>
      <c r="NRC15" s="74"/>
      <c r="NRD15" s="72"/>
      <c r="NRK15" s="74"/>
      <c r="NRL15" s="72"/>
      <c r="NRS15" s="74"/>
      <c r="NRT15" s="72"/>
      <c r="NSA15" s="74"/>
      <c r="NSB15" s="72"/>
      <c r="NSI15" s="74"/>
      <c r="NSJ15" s="72"/>
      <c r="NSQ15" s="74"/>
      <c r="NSR15" s="72"/>
      <c r="NSY15" s="74"/>
      <c r="NSZ15" s="72"/>
      <c r="NTG15" s="74"/>
      <c r="NTH15" s="72"/>
      <c r="NTO15" s="74"/>
      <c r="NTP15" s="72"/>
      <c r="NTW15" s="74"/>
      <c r="NTX15" s="72"/>
      <c r="NUE15" s="74"/>
      <c r="NUF15" s="72"/>
      <c r="NUM15" s="74"/>
      <c r="NUN15" s="72"/>
      <c r="NUU15" s="74"/>
      <c r="NUV15" s="72"/>
      <c r="NVC15" s="74"/>
      <c r="NVD15" s="72"/>
      <c r="NVK15" s="74"/>
      <c r="NVL15" s="72"/>
      <c r="NVS15" s="74"/>
      <c r="NVT15" s="72"/>
      <c r="NWA15" s="74"/>
      <c r="NWB15" s="72"/>
      <c r="NWI15" s="74"/>
      <c r="NWJ15" s="72"/>
      <c r="NWQ15" s="74"/>
      <c r="NWR15" s="72"/>
      <c r="NWY15" s="74"/>
      <c r="NWZ15" s="72"/>
      <c r="NXG15" s="74"/>
      <c r="NXH15" s="72"/>
      <c r="NXO15" s="74"/>
      <c r="NXP15" s="72"/>
      <c r="NXW15" s="74"/>
      <c r="NXX15" s="72"/>
      <c r="NYE15" s="74"/>
      <c r="NYF15" s="72"/>
      <c r="NYM15" s="74"/>
      <c r="NYN15" s="72"/>
      <c r="NYU15" s="74"/>
      <c r="NYV15" s="72"/>
      <c r="NZC15" s="74"/>
      <c r="NZD15" s="72"/>
      <c r="NZK15" s="74"/>
      <c r="NZL15" s="72"/>
      <c r="NZS15" s="74"/>
      <c r="NZT15" s="72"/>
      <c r="OAA15" s="74"/>
      <c r="OAB15" s="72"/>
      <c r="OAI15" s="74"/>
      <c r="OAJ15" s="72"/>
      <c r="OAQ15" s="74"/>
      <c r="OAR15" s="72"/>
      <c r="OAY15" s="74"/>
      <c r="OAZ15" s="72"/>
      <c r="OBG15" s="74"/>
      <c r="OBH15" s="72"/>
      <c r="OBO15" s="74"/>
      <c r="OBP15" s="72"/>
      <c r="OBW15" s="74"/>
      <c r="OBX15" s="72"/>
      <c r="OCE15" s="74"/>
      <c r="OCF15" s="72"/>
      <c r="OCM15" s="74"/>
      <c r="OCN15" s="72"/>
      <c r="OCU15" s="74"/>
      <c r="OCV15" s="72"/>
      <c r="ODC15" s="74"/>
      <c r="ODD15" s="72"/>
      <c r="ODK15" s="74"/>
      <c r="ODL15" s="72"/>
      <c r="ODS15" s="74"/>
      <c r="ODT15" s="72"/>
      <c r="OEA15" s="74"/>
      <c r="OEB15" s="72"/>
      <c r="OEI15" s="74"/>
      <c r="OEJ15" s="72"/>
      <c r="OEQ15" s="74"/>
      <c r="OER15" s="72"/>
      <c r="OEY15" s="74"/>
      <c r="OEZ15" s="72"/>
      <c r="OFG15" s="74"/>
      <c r="OFH15" s="72"/>
      <c r="OFO15" s="74"/>
      <c r="OFP15" s="72"/>
      <c r="OFW15" s="74"/>
      <c r="OFX15" s="72"/>
      <c r="OGE15" s="74"/>
      <c r="OGF15" s="72"/>
      <c r="OGM15" s="74"/>
      <c r="OGN15" s="72"/>
      <c r="OGU15" s="74"/>
      <c r="OGV15" s="72"/>
      <c r="OHC15" s="74"/>
      <c r="OHD15" s="72"/>
      <c r="OHK15" s="74"/>
      <c r="OHL15" s="72"/>
      <c r="OHS15" s="74"/>
      <c r="OHT15" s="72"/>
      <c r="OIA15" s="74"/>
      <c r="OIB15" s="72"/>
      <c r="OII15" s="74"/>
      <c r="OIJ15" s="72"/>
      <c r="OIQ15" s="74"/>
      <c r="OIR15" s="72"/>
      <c r="OIY15" s="74"/>
      <c r="OIZ15" s="72"/>
      <c r="OJG15" s="74"/>
      <c r="OJH15" s="72"/>
      <c r="OJO15" s="74"/>
      <c r="OJP15" s="72"/>
      <c r="OJW15" s="74"/>
      <c r="OJX15" s="72"/>
      <c r="OKE15" s="74"/>
      <c r="OKF15" s="72"/>
      <c r="OKM15" s="74"/>
      <c r="OKN15" s="72"/>
      <c r="OKU15" s="74"/>
      <c r="OKV15" s="72"/>
      <c r="OLC15" s="74"/>
      <c r="OLD15" s="72"/>
      <c r="OLK15" s="74"/>
      <c r="OLL15" s="72"/>
      <c r="OLS15" s="74"/>
      <c r="OLT15" s="72"/>
      <c r="OMA15" s="74"/>
      <c r="OMB15" s="72"/>
      <c r="OMI15" s="74"/>
      <c r="OMJ15" s="72"/>
      <c r="OMQ15" s="74"/>
      <c r="OMR15" s="72"/>
      <c r="OMY15" s="74"/>
      <c r="OMZ15" s="72"/>
      <c r="ONG15" s="74"/>
      <c r="ONH15" s="72"/>
      <c r="ONO15" s="74"/>
      <c r="ONP15" s="72"/>
      <c r="ONW15" s="74"/>
      <c r="ONX15" s="72"/>
      <c r="OOE15" s="74"/>
      <c r="OOF15" s="72"/>
      <c r="OOM15" s="74"/>
      <c r="OON15" s="72"/>
      <c r="OOU15" s="74"/>
      <c r="OOV15" s="72"/>
      <c r="OPC15" s="74"/>
      <c r="OPD15" s="72"/>
      <c r="OPK15" s="74"/>
      <c r="OPL15" s="72"/>
      <c r="OPS15" s="74"/>
      <c r="OPT15" s="72"/>
      <c r="OQA15" s="74"/>
      <c r="OQB15" s="72"/>
      <c r="OQI15" s="74"/>
      <c r="OQJ15" s="72"/>
      <c r="OQQ15" s="74"/>
      <c r="OQR15" s="72"/>
      <c r="OQY15" s="74"/>
      <c r="OQZ15" s="72"/>
      <c r="ORG15" s="74"/>
      <c r="ORH15" s="72"/>
      <c r="ORO15" s="74"/>
      <c r="ORP15" s="72"/>
      <c r="ORW15" s="74"/>
      <c r="ORX15" s="72"/>
      <c r="OSE15" s="74"/>
      <c r="OSF15" s="72"/>
      <c r="OSM15" s="74"/>
      <c r="OSN15" s="72"/>
      <c r="OSU15" s="74"/>
      <c r="OSV15" s="72"/>
      <c r="OTC15" s="74"/>
      <c r="OTD15" s="72"/>
      <c r="OTK15" s="74"/>
      <c r="OTL15" s="72"/>
      <c r="OTS15" s="74"/>
      <c r="OTT15" s="72"/>
      <c r="OUA15" s="74"/>
      <c r="OUB15" s="72"/>
      <c r="OUI15" s="74"/>
      <c r="OUJ15" s="72"/>
      <c r="OUQ15" s="74"/>
      <c r="OUR15" s="72"/>
      <c r="OUY15" s="74"/>
      <c r="OUZ15" s="72"/>
      <c r="OVG15" s="74"/>
      <c r="OVH15" s="72"/>
      <c r="OVO15" s="74"/>
      <c r="OVP15" s="72"/>
      <c r="OVW15" s="74"/>
      <c r="OVX15" s="72"/>
      <c r="OWE15" s="74"/>
      <c r="OWF15" s="72"/>
      <c r="OWM15" s="74"/>
      <c r="OWN15" s="72"/>
      <c r="OWU15" s="74"/>
      <c r="OWV15" s="72"/>
      <c r="OXC15" s="74"/>
      <c r="OXD15" s="72"/>
      <c r="OXK15" s="74"/>
      <c r="OXL15" s="72"/>
      <c r="OXS15" s="74"/>
      <c r="OXT15" s="72"/>
      <c r="OYA15" s="74"/>
      <c r="OYB15" s="72"/>
      <c r="OYI15" s="74"/>
      <c r="OYJ15" s="72"/>
      <c r="OYQ15" s="74"/>
      <c r="OYR15" s="72"/>
      <c r="OYY15" s="74"/>
      <c r="OYZ15" s="72"/>
      <c r="OZG15" s="74"/>
      <c r="OZH15" s="72"/>
      <c r="OZO15" s="74"/>
      <c r="OZP15" s="72"/>
      <c r="OZW15" s="74"/>
      <c r="OZX15" s="72"/>
      <c r="PAE15" s="74"/>
      <c r="PAF15" s="72"/>
      <c r="PAM15" s="74"/>
      <c r="PAN15" s="72"/>
      <c r="PAU15" s="74"/>
      <c r="PAV15" s="72"/>
      <c r="PBC15" s="74"/>
      <c r="PBD15" s="72"/>
      <c r="PBK15" s="74"/>
      <c r="PBL15" s="72"/>
      <c r="PBS15" s="74"/>
      <c r="PBT15" s="72"/>
      <c r="PCA15" s="74"/>
      <c r="PCB15" s="72"/>
      <c r="PCI15" s="74"/>
      <c r="PCJ15" s="72"/>
      <c r="PCQ15" s="74"/>
      <c r="PCR15" s="72"/>
      <c r="PCY15" s="74"/>
      <c r="PCZ15" s="72"/>
      <c r="PDG15" s="74"/>
      <c r="PDH15" s="72"/>
      <c r="PDO15" s="74"/>
      <c r="PDP15" s="72"/>
      <c r="PDW15" s="74"/>
      <c r="PDX15" s="72"/>
      <c r="PEE15" s="74"/>
      <c r="PEF15" s="72"/>
      <c r="PEM15" s="74"/>
      <c r="PEN15" s="72"/>
      <c r="PEU15" s="74"/>
      <c r="PEV15" s="72"/>
      <c r="PFC15" s="74"/>
      <c r="PFD15" s="72"/>
      <c r="PFK15" s="74"/>
      <c r="PFL15" s="72"/>
      <c r="PFS15" s="74"/>
      <c r="PFT15" s="72"/>
      <c r="PGA15" s="74"/>
      <c r="PGB15" s="72"/>
      <c r="PGI15" s="74"/>
      <c r="PGJ15" s="72"/>
      <c r="PGQ15" s="74"/>
      <c r="PGR15" s="72"/>
      <c r="PGY15" s="74"/>
      <c r="PGZ15" s="72"/>
      <c r="PHG15" s="74"/>
      <c r="PHH15" s="72"/>
      <c r="PHO15" s="74"/>
      <c r="PHP15" s="72"/>
      <c r="PHW15" s="74"/>
      <c r="PHX15" s="72"/>
      <c r="PIE15" s="74"/>
      <c r="PIF15" s="72"/>
      <c r="PIM15" s="74"/>
      <c r="PIN15" s="72"/>
      <c r="PIU15" s="74"/>
      <c r="PIV15" s="72"/>
      <c r="PJC15" s="74"/>
      <c r="PJD15" s="72"/>
      <c r="PJK15" s="74"/>
      <c r="PJL15" s="72"/>
      <c r="PJS15" s="74"/>
      <c r="PJT15" s="72"/>
      <c r="PKA15" s="74"/>
      <c r="PKB15" s="72"/>
      <c r="PKI15" s="74"/>
      <c r="PKJ15" s="72"/>
      <c r="PKQ15" s="74"/>
      <c r="PKR15" s="72"/>
      <c r="PKY15" s="74"/>
      <c r="PKZ15" s="72"/>
      <c r="PLG15" s="74"/>
      <c r="PLH15" s="72"/>
      <c r="PLO15" s="74"/>
      <c r="PLP15" s="72"/>
      <c r="PLW15" s="74"/>
      <c r="PLX15" s="72"/>
      <c r="PME15" s="74"/>
      <c r="PMF15" s="72"/>
      <c r="PMM15" s="74"/>
      <c r="PMN15" s="72"/>
      <c r="PMU15" s="74"/>
      <c r="PMV15" s="72"/>
      <c r="PNC15" s="74"/>
      <c r="PND15" s="72"/>
      <c r="PNK15" s="74"/>
      <c r="PNL15" s="72"/>
      <c r="PNS15" s="74"/>
      <c r="PNT15" s="72"/>
      <c r="POA15" s="74"/>
      <c r="POB15" s="72"/>
      <c r="POI15" s="74"/>
      <c r="POJ15" s="72"/>
      <c r="POQ15" s="74"/>
      <c r="POR15" s="72"/>
      <c r="POY15" s="74"/>
      <c r="POZ15" s="72"/>
      <c r="PPG15" s="74"/>
      <c r="PPH15" s="72"/>
      <c r="PPO15" s="74"/>
      <c r="PPP15" s="72"/>
      <c r="PPW15" s="74"/>
      <c r="PPX15" s="72"/>
      <c r="PQE15" s="74"/>
      <c r="PQF15" s="72"/>
      <c r="PQM15" s="74"/>
      <c r="PQN15" s="72"/>
      <c r="PQU15" s="74"/>
      <c r="PQV15" s="72"/>
      <c r="PRC15" s="74"/>
      <c r="PRD15" s="72"/>
      <c r="PRK15" s="74"/>
      <c r="PRL15" s="72"/>
      <c r="PRS15" s="74"/>
      <c r="PRT15" s="72"/>
      <c r="PSA15" s="74"/>
      <c r="PSB15" s="72"/>
      <c r="PSI15" s="74"/>
      <c r="PSJ15" s="72"/>
      <c r="PSQ15" s="74"/>
      <c r="PSR15" s="72"/>
      <c r="PSY15" s="74"/>
      <c r="PSZ15" s="72"/>
      <c r="PTG15" s="74"/>
      <c r="PTH15" s="72"/>
      <c r="PTO15" s="74"/>
      <c r="PTP15" s="72"/>
      <c r="PTW15" s="74"/>
      <c r="PTX15" s="72"/>
      <c r="PUE15" s="74"/>
      <c r="PUF15" s="72"/>
      <c r="PUM15" s="74"/>
      <c r="PUN15" s="72"/>
      <c r="PUU15" s="74"/>
      <c r="PUV15" s="72"/>
      <c r="PVC15" s="74"/>
      <c r="PVD15" s="72"/>
      <c r="PVK15" s="74"/>
      <c r="PVL15" s="72"/>
      <c r="PVS15" s="74"/>
      <c r="PVT15" s="72"/>
      <c r="PWA15" s="74"/>
      <c r="PWB15" s="72"/>
      <c r="PWI15" s="74"/>
      <c r="PWJ15" s="72"/>
      <c r="PWQ15" s="74"/>
      <c r="PWR15" s="72"/>
      <c r="PWY15" s="74"/>
      <c r="PWZ15" s="72"/>
      <c r="PXG15" s="74"/>
      <c r="PXH15" s="72"/>
      <c r="PXO15" s="74"/>
      <c r="PXP15" s="72"/>
      <c r="PXW15" s="74"/>
      <c r="PXX15" s="72"/>
      <c r="PYE15" s="74"/>
      <c r="PYF15" s="72"/>
      <c r="PYM15" s="74"/>
      <c r="PYN15" s="72"/>
      <c r="PYU15" s="74"/>
      <c r="PYV15" s="72"/>
      <c r="PZC15" s="74"/>
      <c r="PZD15" s="72"/>
      <c r="PZK15" s="74"/>
      <c r="PZL15" s="72"/>
      <c r="PZS15" s="74"/>
      <c r="PZT15" s="72"/>
      <c r="QAA15" s="74"/>
      <c r="QAB15" s="72"/>
      <c r="QAI15" s="74"/>
      <c r="QAJ15" s="72"/>
      <c r="QAQ15" s="74"/>
      <c r="QAR15" s="72"/>
      <c r="QAY15" s="74"/>
      <c r="QAZ15" s="72"/>
      <c r="QBG15" s="74"/>
      <c r="QBH15" s="72"/>
      <c r="QBO15" s="74"/>
      <c r="QBP15" s="72"/>
      <c r="QBW15" s="74"/>
      <c r="QBX15" s="72"/>
      <c r="QCE15" s="74"/>
      <c r="QCF15" s="72"/>
      <c r="QCM15" s="74"/>
      <c r="QCN15" s="72"/>
      <c r="QCU15" s="74"/>
      <c r="QCV15" s="72"/>
      <c r="QDC15" s="74"/>
      <c r="QDD15" s="72"/>
      <c r="QDK15" s="74"/>
      <c r="QDL15" s="72"/>
      <c r="QDS15" s="74"/>
      <c r="QDT15" s="72"/>
      <c r="QEA15" s="74"/>
      <c r="QEB15" s="72"/>
      <c r="QEI15" s="74"/>
      <c r="QEJ15" s="72"/>
      <c r="QEQ15" s="74"/>
      <c r="QER15" s="72"/>
      <c r="QEY15" s="74"/>
      <c r="QEZ15" s="72"/>
      <c r="QFG15" s="74"/>
      <c r="QFH15" s="72"/>
      <c r="QFO15" s="74"/>
      <c r="QFP15" s="72"/>
      <c r="QFW15" s="74"/>
      <c r="QFX15" s="72"/>
      <c r="QGE15" s="74"/>
      <c r="QGF15" s="72"/>
      <c r="QGM15" s="74"/>
      <c r="QGN15" s="72"/>
      <c r="QGU15" s="74"/>
      <c r="QGV15" s="72"/>
      <c r="QHC15" s="74"/>
      <c r="QHD15" s="72"/>
      <c r="QHK15" s="74"/>
      <c r="QHL15" s="72"/>
      <c r="QHS15" s="74"/>
      <c r="QHT15" s="72"/>
      <c r="QIA15" s="74"/>
      <c r="QIB15" s="72"/>
      <c r="QII15" s="74"/>
      <c r="QIJ15" s="72"/>
      <c r="QIQ15" s="74"/>
      <c r="QIR15" s="72"/>
      <c r="QIY15" s="74"/>
      <c r="QIZ15" s="72"/>
      <c r="QJG15" s="74"/>
      <c r="QJH15" s="72"/>
      <c r="QJO15" s="74"/>
      <c r="QJP15" s="72"/>
      <c r="QJW15" s="74"/>
      <c r="QJX15" s="72"/>
      <c r="QKE15" s="74"/>
      <c r="QKF15" s="72"/>
      <c r="QKM15" s="74"/>
      <c r="QKN15" s="72"/>
      <c r="QKU15" s="74"/>
      <c r="QKV15" s="72"/>
      <c r="QLC15" s="74"/>
      <c r="QLD15" s="72"/>
      <c r="QLK15" s="74"/>
      <c r="QLL15" s="72"/>
      <c r="QLS15" s="74"/>
      <c r="QLT15" s="72"/>
      <c r="QMA15" s="74"/>
      <c r="QMB15" s="72"/>
      <c r="QMI15" s="74"/>
      <c r="QMJ15" s="72"/>
      <c r="QMQ15" s="74"/>
      <c r="QMR15" s="72"/>
      <c r="QMY15" s="74"/>
      <c r="QMZ15" s="72"/>
      <c r="QNG15" s="74"/>
      <c r="QNH15" s="72"/>
      <c r="QNO15" s="74"/>
      <c r="QNP15" s="72"/>
      <c r="QNW15" s="74"/>
      <c r="QNX15" s="72"/>
      <c r="QOE15" s="74"/>
      <c r="QOF15" s="72"/>
      <c r="QOM15" s="74"/>
      <c r="QON15" s="72"/>
      <c r="QOU15" s="74"/>
      <c r="QOV15" s="72"/>
      <c r="QPC15" s="74"/>
      <c r="QPD15" s="72"/>
      <c r="QPK15" s="74"/>
      <c r="QPL15" s="72"/>
      <c r="QPS15" s="74"/>
      <c r="QPT15" s="72"/>
      <c r="QQA15" s="74"/>
      <c r="QQB15" s="72"/>
      <c r="QQI15" s="74"/>
      <c r="QQJ15" s="72"/>
      <c r="QQQ15" s="74"/>
      <c r="QQR15" s="72"/>
      <c r="QQY15" s="74"/>
      <c r="QQZ15" s="72"/>
      <c r="QRG15" s="74"/>
      <c r="QRH15" s="72"/>
      <c r="QRO15" s="74"/>
      <c r="QRP15" s="72"/>
      <c r="QRW15" s="74"/>
      <c r="QRX15" s="72"/>
      <c r="QSE15" s="74"/>
      <c r="QSF15" s="72"/>
      <c r="QSM15" s="74"/>
      <c r="QSN15" s="72"/>
      <c r="QSU15" s="74"/>
      <c r="QSV15" s="72"/>
      <c r="QTC15" s="74"/>
      <c r="QTD15" s="72"/>
      <c r="QTK15" s="74"/>
      <c r="QTL15" s="72"/>
      <c r="QTS15" s="74"/>
      <c r="QTT15" s="72"/>
      <c r="QUA15" s="74"/>
      <c r="QUB15" s="72"/>
      <c r="QUI15" s="74"/>
      <c r="QUJ15" s="72"/>
      <c r="QUQ15" s="74"/>
      <c r="QUR15" s="72"/>
      <c r="QUY15" s="74"/>
      <c r="QUZ15" s="72"/>
      <c r="QVG15" s="74"/>
      <c r="QVH15" s="72"/>
      <c r="QVO15" s="74"/>
      <c r="QVP15" s="72"/>
      <c r="QVW15" s="74"/>
      <c r="QVX15" s="72"/>
      <c r="QWE15" s="74"/>
      <c r="QWF15" s="72"/>
      <c r="QWM15" s="74"/>
      <c r="QWN15" s="72"/>
      <c r="QWU15" s="74"/>
      <c r="QWV15" s="72"/>
      <c r="QXC15" s="74"/>
      <c r="QXD15" s="72"/>
      <c r="QXK15" s="74"/>
      <c r="QXL15" s="72"/>
      <c r="QXS15" s="74"/>
      <c r="QXT15" s="72"/>
      <c r="QYA15" s="74"/>
      <c r="QYB15" s="72"/>
      <c r="QYI15" s="74"/>
      <c r="QYJ15" s="72"/>
      <c r="QYQ15" s="74"/>
      <c r="QYR15" s="72"/>
      <c r="QYY15" s="74"/>
      <c r="QYZ15" s="72"/>
      <c r="QZG15" s="74"/>
      <c r="QZH15" s="72"/>
      <c r="QZO15" s="74"/>
      <c r="QZP15" s="72"/>
      <c r="QZW15" s="74"/>
      <c r="QZX15" s="72"/>
      <c r="RAE15" s="74"/>
      <c r="RAF15" s="72"/>
      <c r="RAM15" s="74"/>
      <c r="RAN15" s="72"/>
      <c r="RAU15" s="74"/>
      <c r="RAV15" s="72"/>
      <c r="RBC15" s="74"/>
      <c r="RBD15" s="72"/>
      <c r="RBK15" s="74"/>
      <c r="RBL15" s="72"/>
      <c r="RBS15" s="74"/>
      <c r="RBT15" s="72"/>
      <c r="RCA15" s="74"/>
      <c r="RCB15" s="72"/>
      <c r="RCI15" s="74"/>
      <c r="RCJ15" s="72"/>
      <c r="RCQ15" s="74"/>
      <c r="RCR15" s="72"/>
      <c r="RCY15" s="74"/>
      <c r="RCZ15" s="72"/>
      <c r="RDG15" s="74"/>
      <c r="RDH15" s="72"/>
      <c r="RDO15" s="74"/>
      <c r="RDP15" s="72"/>
      <c r="RDW15" s="74"/>
      <c r="RDX15" s="72"/>
      <c r="REE15" s="74"/>
      <c r="REF15" s="72"/>
      <c r="REM15" s="74"/>
      <c r="REN15" s="72"/>
      <c r="REU15" s="74"/>
      <c r="REV15" s="72"/>
      <c r="RFC15" s="74"/>
      <c r="RFD15" s="72"/>
      <c r="RFK15" s="74"/>
      <c r="RFL15" s="72"/>
      <c r="RFS15" s="74"/>
      <c r="RFT15" s="72"/>
      <c r="RGA15" s="74"/>
      <c r="RGB15" s="72"/>
      <c r="RGI15" s="74"/>
      <c r="RGJ15" s="72"/>
      <c r="RGQ15" s="74"/>
      <c r="RGR15" s="72"/>
      <c r="RGY15" s="74"/>
      <c r="RGZ15" s="72"/>
      <c r="RHG15" s="74"/>
      <c r="RHH15" s="72"/>
      <c r="RHO15" s="74"/>
      <c r="RHP15" s="72"/>
      <c r="RHW15" s="74"/>
      <c r="RHX15" s="72"/>
      <c r="RIE15" s="74"/>
      <c r="RIF15" s="72"/>
      <c r="RIM15" s="74"/>
      <c r="RIN15" s="72"/>
      <c r="RIU15" s="74"/>
      <c r="RIV15" s="72"/>
      <c r="RJC15" s="74"/>
      <c r="RJD15" s="72"/>
      <c r="RJK15" s="74"/>
      <c r="RJL15" s="72"/>
      <c r="RJS15" s="74"/>
      <c r="RJT15" s="72"/>
      <c r="RKA15" s="74"/>
      <c r="RKB15" s="72"/>
      <c r="RKI15" s="74"/>
      <c r="RKJ15" s="72"/>
      <c r="RKQ15" s="74"/>
      <c r="RKR15" s="72"/>
      <c r="RKY15" s="74"/>
      <c r="RKZ15" s="72"/>
      <c r="RLG15" s="74"/>
      <c r="RLH15" s="72"/>
      <c r="RLO15" s="74"/>
      <c r="RLP15" s="72"/>
      <c r="RLW15" s="74"/>
      <c r="RLX15" s="72"/>
      <c r="RME15" s="74"/>
      <c r="RMF15" s="72"/>
      <c r="RMM15" s="74"/>
      <c r="RMN15" s="72"/>
      <c r="RMU15" s="74"/>
      <c r="RMV15" s="72"/>
      <c r="RNC15" s="74"/>
      <c r="RND15" s="72"/>
      <c r="RNK15" s="74"/>
      <c r="RNL15" s="72"/>
      <c r="RNS15" s="74"/>
      <c r="RNT15" s="72"/>
      <c r="ROA15" s="74"/>
      <c r="ROB15" s="72"/>
      <c r="ROI15" s="74"/>
      <c r="ROJ15" s="72"/>
      <c r="ROQ15" s="74"/>
      <c r="ROR15" s="72"/>
      <c r="ROY15" s="74"/>
      <c r="ROZ15" s="72"/>
      <c r="RPG15" s="74"/>
      <c r="RPH15" s="72"/>
      <c r="RPO15" s="74"/>
      <c r="RPP15" s="72"/>
      <c r="RPW15" s="74"/>
      <c r="RPX15" s="72"/>
      <c r="RQE15" s="74"/>
      <c r="RQF15" s="72"/>
      <c r="RQM15" s="74"/>
      <c r="RQN15" s="72"/>
      <c r="RQU15" s="74"/>
      <c r="RQV15" s="72"/>
      <c r="RRC15" s="74"/>
      <c r="RRD15" s="72"/>
      <c r="RRK15" s="74"/>
      <c r="RRL15" s="72"/>
      <c r="RRS15" s="74"/>
      <c r="RRT15" s="72"/>
      <c r="RSA15" s="74"/>
      <c r="RSB15" s="72"/>
      <c r="RSI15" s="74"/>
      <c r="RSJ15" s="72"/>
      <c r="RSQ15" s="74"/>
      <c r="RSR15" s="72"/>
      <c r="RSY15" s="74"/>
      <c r="RSZ15" s="72"/>
      <c r="RTG15" s="74"/>
      <c r="RTH15" s="72"/>
      <c r="RTO15" s="74"/>
      <c r="RTP15" s="72"/>
      <c r="RTW15" s="74"/>
      <c r="RTX15" s="72"/>
      <c r="RUE15" s="74"/>
      <c r="RUF15" s="72"/>
      <c r="RUM15" s="74"/>
      <c r="RUN15" s="72"/>
      <c r="RUU15" s="74"/>
      <c r="RUV15" s="72"/>
      <c r="RVC15" s="74"/>
      <c r="RVD15" s="72"/>
      <c r="RVK15" s="74"/>
      <c r="RVL15" s="72"/>
      <c r="RVS15" s="74"/>
      <c r="RVT15" s="72"/>
      <c r="RWA15" s="74"/>
      <c r="RWB15" s="72"/>
      <c r="RWI15" s="74"/>
      <c r="RWJ15" s="72"/>
      <c r="RWQ15" s="74"/>
      <c r="RWR15" s="72"/>
      <c r="RWY15" s="74"/>
      <c r="RWZ15" s="72"/>
      <c r="RXG15" s="74"/>
      <c r="RXH15" s="72"/>
      <c r="RXO15" s="74"/>
      <c r="RXP15" s="72"/>
      <c r="RXW15" s="74"/>
      <c r="RXX15" s="72"/>
      <c r="RYE15" s="74"/>
      <c r="RYF15" s="72"/>
      <c r="RYM15" s="74"/>
      <c r="RYN15" s="72"/>
      <c r="RYU15" s="74"/>
      <c r="RYV15" s="72"/>
      <c r="RZC15" s="74"/>
      <c r="RZD15" s="72"/>
      <c r="RZK15" s="74"/>
      <c r="RZL15" s="72"/>
      <c r="RZS15" s="74"/>
      <c r="RZT15" s="72"/>
      <c r="SAA15" s="74"/>
      <c r="SAB15" s="72"/>
      <c r="SAI15" s="74"/>
      <c r="SAJ15" s="72"/>
      <c r="SAQ15" s="74"/>
      <c r="SAR15" s="72"/>
      <c r="SAY15" s="74"/>
      <c r="SAZ15" s="72"/>
      <c r="SBG15" s="74"/>
      <c r="SBH15" s="72"/>
      <c r="SBO15" s="74"/>
      <c r="SBP15" s="72"/>
      <c r="SBW15" s="74"/>
      <c r="SBX15" s="72"/>
      <c r="SCE15" s="74"/>
      <c r="SCF15" s="72"/>
      <c r="SCM15" s="74"/>
      <c r="SCN15" s="72"/>
      <c r="SCU15" s="74"/>
      <c r="SCV15" s="72"/>
      <c r="SDC15" s="74"/>
      <c r="SDD15" s="72"/>
      <c r="SDK15" s="74"/>
      <c r="SDL15" s="72"/>
      <c r="SDS15" s="74"/>
      <c r="SDT15" s="72"/>
      <c r="SEA15" s="74"/>
      <c r="SEB15" s="72"/>
      <c r="SEI15" s="74"/>
      <c r="SEJ15" s="72"/>
      <c r="SEQ15" s="74"/>
      <c r="SER15" s="72"/>
      <c r="SEY15" s="74"/>
      <c r="SEZ15" s="72"/>
      <c r="SFG15" s="74"/>
      <c r="SFH15" s="72"/>
      <c r="SFO15" s="74"/>
      <c r="SFP15" s="72"/>
      <c r="SFW15" s="74"/>
      <c r="SFX15" s="72"/>
      <c r="SGE15" s="74"/>
      <c r="SGF15" s="72"/>
      <c r="SGM15" s="74"/>
      <c r="SGN15" s="72"/>
      <c r="SGU15" s="74"/>
      <c r="SGV15" s="72"/>
      <c r="SHC15" s="74"/>
      <c r="SHD15" s="72"/>
      <c r="SHK15" s="74"/>
      <c r="SHL15" s="72"/>
      <c r="SHS15" s="74"/>
      <c r="SHT15" s="72"/>
      <c r="SIA15" s="74"/>
      <c r="SIB15" s="72"/>
      <c r="SII15" s="74"/>
      <c r="SIJ15" s="72"/>
      <c r="SIQ15" s="74"/>
      <c r="SIR15" s="72"/>
      <c r="SIY15" s="74"/>
      <c r="SIZ15" s="72"/>
      <c r="SJG15" s="74"/>
      <c r="SJH15" s="72"/>
      <c r="SJO15" s="74"/>
      <c r="SJP15" s="72"/>
      <c r="SJW15" s="74"/>
      <c r="SJX15" s="72"/>
      <c r="SKE15" s="74"/>
      <c r="SKF15" s="72"/>
      <c r="SKM15" s="74"/>
      <c r="SKN15" s="72"/>
      <c r="SKU15" s="74"/>
      <c r="SKV15" s="72"/>
      <c r="SLC15" s="74"/>
      <c r="SLD15" s="72"/>
      <c r="SLK15" s="74"/>
      <c r="SLL15" s="72"/>
      <c r="SLS15" s="74"/>
      <c r="SLT15" s="72"/>
      <c r="SMA15" s="74"/>
      <c r="SMB15" s="72"/>
      <c r="SMI15" s="74"/>
      <c r="SMJ15" s="72"/>
      <c r="SMQ15" s="74"/>
      <c r="SMR15" s="72"/>
      <c r="SMY15" s="74"/>
      <c r="SMZ15" s="72"/>
      <c r="SNG15" s="74"/>
      <c r="SNH15" s="72"/>
      <c r="SNO15" s="74"/>
      <c r="SNP15" s="72"/>
      <c r="SNW15" s="74"/>
      <c r="SNX15" s="72"/>
      <c r="SOE15" s="74"/>
      <c r="SOF15" s="72"/>
      <c r="SOM15" s="74"/>
      <c r="SON15" s="72"/>
      <c r="SOU15" s="74"/>
      <c r="SOV15" s="72"/>
      <c r="SPC15" s="74"/>
      <c r="SPD15" s="72"/>
      <c r="SPK15" s="74"/>
      <c r="SPL15" s="72"/>
      <c r="SPS15" s="74"/>
      <c r="SPT15" s="72"/>
      <c r="SQA15" s="74"/>
      <c r="SQB15" s="72"/>
      <c r="SQI15" s="74"/>
      <c r="SQJ15" s="72"/>
      <c r="SQQ15" s="74"/>
      <c r="SQR15" s="72"/>
      <c r="SQY15" s="74"/>
      <c r="SQZ15" s="72"/>
      <c r="SRG15" s="74"/>
      <c r="SRH15" s="72"/>
      <c r="SRO15" s="74"/>
      <c r="SRP15" s="72"/>
      <c r="SRW15" s="74"/>
      <c r="SRX15" s="72"/>
      <c r="SSE15" s="74"/>
      <c r="SSF15" s="72"/>
      <c r="SSM15" s="74"/>
      <c r="SSN15" s="72"/>
      <c r="SSU15" s="74"/>
      <c r="SSV15" s="72"/>
      <c r="STC15" s="74"/>
      <c r="STD15" s="72"/>
      <c r="STK15" s="74"/>
      <c r="STL15" s="72"/>
      <c r="STS15" s="74"/>
      <c r="STT15" s="72"/>
      <c r="SUA15" s="74"/>
      <c r="SUB15" s="72"/>
      <c r="SUI15" s="74"/>
      <c r="SUJ15" s="72"/>
      <c r="SUQ15" s="74"/>
      <c r="SUR15" s="72"/>
      <c r="SUY15" s="74"/>
      <c r="SUZ15" s="72"/>
      <c r="SVG15" s="74"/>
      <c r="SVH15" s="72"/>
      <c r="SVO15" s="74"/>
      <c r="SVP15" s="72"/>
      <c r="SVW15" s="74"/>
      <c r="SVX15" s="72"/>
      <c r="SWE15" s="74"/>
      <c r="SWF15" s="72"/>
      <c r="SWM15" s="74"/>
      <c r="SWN15" s="72"/>
      <c r="SWU15" s="74"/>
      <c r="SWV15" s="72"/>
      <c r="SXC15" s="74"/>
      <c r="SXD15" s="72"/>
      <c r="SXK15" s="74"/>
      <c r="SXL15" s="72"/>
      <c r="SXS15" s="74"/>
      <c r="SXT15" s="72"/>
      <c r="SYA15" s="74"/>
      <c r="SYB15" s="72"/>
      <c r="SYI15" s="74"/>
      <c r="SYJ15" s="72"/>
      <c r="SYQ15" s="74"/>
      <c r="SYR15" s="72"/>
      <c r="SYY15" s="74"/>
      <c r="SYZ15" s="72"/>
      <c r="SZG15" s="74"/>
      <c r="SZH15" s="72"/>
      <c r="SZO15" s="74"/>
      <c r="SZP15" s="72"/>
      <c r="SZW15" s="74"/>
      <c r="SZX15" s="72"/>
      <c r="TAE15" s="74"/>
      <c r="TAF15" s="72"/>
      <c r="TAM15" s="74"/>
      <c r="TAN15" s="72"/>
      <c r="TAU15" s="74"/>
      <c r="TAV15" s="72"/>
      <c r="TBC15" s="74"/>
      <c r="TBD15" s="72"/>
      <c r="TBK15" s="74"/>
      <c r="TBL15" s="72"/>
      <c r="TBS15" s="74"/>
      <c r="TBT15" s="72"/>
      <c r="TCA15" s="74"/>
      <c r="TCB15" s="72"/>
      <c r="TCI15" s="74"/>
      <c r="TCJ15" s="72"/>
      <c r="TCQ15" s="74"/>
      <c r="TCR15" s="72"/>
      <c r="TCY15" s="74"/>
      <c r="TCZ15" s="72"/>
      <c r="TDG15" s="74"/>
      <c r="TDH15" s="72"/>
      <c r="TDO15" s="74"/>
      <c r="TDP15" s="72"/>
      <c r="TDW15" s="74"/>
      <c r="TDX15" s="72"/>
      <c r="TEE15" s="74"/>
      <c r="TEF15" s="72"/>
      <c r="TEM15" s="74"/>
      <c r="TEN15" s="72"/>
      <c r="TEU15" s="74"/>
      <c r="TEV15" s="72"/>
      <c r="TFC15" s="74"/>
      <c r="TFD15" s="72"/>
      <c r="TFK15" s="74"/>
      <c r="TFL15" s="72"/>
      <c r="TFS15" s="74"/>
      <c r="TFT15" s="72"/>
      <c r="TGA15" s="74"/>
      <c r="TGB15" s="72"/>
      <c r="TGI15" s="74"/>
      <c r="TGJ15" s="72"/>
      <c r="TGQ15" s="74"/>
      <c r="TGR15" s="72"/>
      <c r="TGY15" s="74"/>
      <c r="TGZ15" s="72"/>
      <c r="THG15" s="74"/>
      <c r="THH15" s="72"/>
      <c r="THO15" s="74"/>
      <c r="THP15" s="72"/>
      <c r="THW15" s="74"/>
      <c r="THX15" s="72"/>
      <c r="TIE15" s="74"/>
      <c r="TIF15" s="72"/>
      <c r="TIM15" s="74"/>
      <c r="TIN15" s="72"/>
      <c r="TIU15" s="74"/>
      <c r="TIV15" s="72"/>
      <c r="TJC15" s="74"/>
      <c r="TJD15" s="72"/>
      <c r="TJK15" s="74"/>
      <c r="TJL15" s="72"/>
      <c r="TJS15" s="74"/>
      <c r="TJT15" s="72"/>
      <c r="TKA15" s="74"/>
      <c r="TKB15" s="72"/>
      <c r="TKI15" s="74"/>
      <c r="TKJ15" s="72"/>
      <c r="TKQ15" s="74"/>
      <c r="TKR15" s="72"/>
      <c r="TKY15" s="74"/>
      <c r="TKZ15" s="72"/>
      <c r="TLG15" s="74"/>
      <c r="TLH15" s="72"/>
      <c r="TLO15" s="74"/>
      <c r="TLP15" s="72"/>
      <c r="TLW15" s="74"/>
      <c r="TLX15" s="72"/>
      <c r="TME15" s="74"/>
      <c r="TMF15" s="72"/>
      <c r="TMM15" s="74"/>
      <c r="TMN15" s="72"/>
      <c r="TMU15" s="74"/>
      <c r="TMV15" s="72"/>
      <c r="TNC15" s="74"/>
      <c r="TND15" s="72"/>
      <c r="TNK15" s="74"/>
      <c r="TNL15" s="72"/>
      <c r="TNS15" s="74"/>
      <c r="TNT15" s="72"/>
      <c r="TOA15" s="74"/>
      <c r="TOB15" s="72"/>
      <c r="TOI15" s="74"/>
      <c r="TOJ15" s="72"/>
      <c r="TOQ15" s="74"/>
      <c r="TOR15" s="72"/>
      <c r="TOY15" s="74"/>
      <c r="TOZ15" s="72"/>
      <c r="TPG15" s="74"/>
      <c r="TPH15" s="72"/>
      <c r="TPO15" s="74"/>
      <c r="TPP15" s="72"/>
      <c r="TPW15" s="74"/>
      <c r="TPX15" s="72"/>
      <c r="TQE15" s="74"/>
      <c r="TQF15" s="72"/>
      <c r="TQM15" s="74"/>
      <c r="TQN15" s="72"/>
      <c r="TQU15" s="74"/>
      <c r="TQV15" s="72"/>
      <c r="TRC15" s="74"/>
      <c r="TRD15" s="72"/>
      <c r="TRK15" s="74"/>
      <c r="TRL15" s="72"/>
      <c r="TRS15" s="74"/>
      <c r="TRT15" s="72"/>
      <c r="TSA15" s="74"/>
      <c r="TSB15" s="72"/>
      <c r="TSI15" s="74"/>
      <c r="TSJ15" s="72"/>
      <c r="TSQ15" s="74"/>
      <c r="TSR15" s="72"/>
      <c r="TSY15" s="74"/>
      <c r="TSZ15" s="72"/>
      <c r="TTG15" s="74"/>
      <c r="TTH15" s="72"/>
      <c r="TTO15" s="74"/>
      <c r="TTP15" s="72"/>
      <c r="TTW15" s="74"/>
      <c r="TTX15" s="72"/>
      <c r="TUE15" s="74"/>
      <c r="TUF15" s="72"/>
      <c r="TUM15" s="74"/>
      <c r="TUN15" s="72"/>
      <c r="TUU15" s="74"/>
      <c r="TUV15" s="72"/>
      <c r="TVC15" s="74"/>
      <c r="TVD15" s="72"/>
      <c r="TVK15" s="74"/>
      <c r="TVL15" s="72"/>
      <c r="TVS15" s="74"/>
      <c r="TVT15" s="72"/>
      <c r="TWA15" s="74"/>
      <c r="TWB15" s="72"/>
      <c r="TWI15" s="74"/>
      <c r="TWJ15" s="72"/>
      <c r="TWQ15" s="74"/>
      <c r="TWR15" s="72"/>
      <c r="TWY15" s="74"/>
      <c r="TWZ15" s="72"/>
      <c r="TXG15" s="74"/>
      <c r="TXH15" s="72"/>
      <c r="TXO15" s="74"/>
      <c r="TXP15" s="72"/>
      <c r="TXW15" s="74"/>
      <c r="TXX15" s="72"/>
      <c r="TYE15" s="74"/>
      <c r="TYF15" s="72"/>
      <c r="TYM15" s="74"/>
      <c r="TYN15" s="72"/>
      <c r="TYU15" s="74"/>
      <c r="TYV15" s="72"/>
      <c r="TZC15" s="74"/>
      <c r="TZD15" s="72"/>
      <c r="TZK15" s="74"/>
      <c r="TZL15" s="72"/>
      <c r="TZS15" s="74"/>
      <c r="TZT15" s="72"/>
      <c r="UAA15" s="74"/>
      <c r="UAB15" s="72"/>
      <c r="UAI15" s="74"/>
      <c r="UAJ15" s="72"/>
      <c r="UAQ15" s="74"/>
      <c r="UAR15" s="72"/>
      <c r="UAY15" s="74"/>
      <c r="UAZ15" s="72"/>
      <c r="UBG15" s="74"/>
      <c r="UBH15" s="72"/>
      <c r="UBO15" s="74"/>
      <c r="UBP15" s="72"/>
      <c r="UBW15" s="74"/>
      <c r="UBX15" s="72"/>
      <c r="UCE15" s="74"/>
      <c r="UCF15" s="72"/>
      <c r="UCM15" s="74"/>
      <c r="UCN15" s="72"/>
      <c r="UCU15" s="74"/>
      <c r="UCV15" s="72"/>
      <c r="UDC15" s="74"/>
      <c r="UDD15" s="72"/>
      <c r="UDK15" s="74"/>
      <c r="UDL15" s="72"/>
      <c r="UDS15" s="74"/>
      <c r="UDT15" s="72"/>
      <c r="UEA15" s="74"/>
      <c r="UEB15" s="72"/>
      <c r="UEI15" s="74"/>
      <c r="UEJ15" s="72"/>
      <c r="UEQ15" s="74"/>
      <c r="UER15" s="72"/>
      <c r="UEY15" s="74"/>
      <c r="UEZ15" s="72"/>
      <c r="UFG15" s="74"/>
      <c r="UFH15" s="72"/>
      <c r="UFO15" s="74"/>
      <c r="UFP15" s="72"/>
      <c r="UFW15" s="74"/>
      <c r="UFX15" s="72"/>
      <c r="UGE15" s="74"/>
      <c r="UGF15" s="72"/>
      <c r="UGM15" s="74"/>
      <c r="UGN15" s="72"/>
      <c r="UGU15" s="74"/>
      <c r="UGV15" s="72"/>
      <c r="UHC15" s="74"/>
      <c r="UHD15" s="72"/>
      <c r="UHK15" s="74"/>
      <c r="UHL15" s="72"/>
      <c r="UHS15" s="74"/>
      <c r="UHT15" s="72"/>
      <c r="UIA15" s="74"/>
      <c r="UIB15" s="72"/>
      <c r="UII15" s="74"/>
      <c r="UIJ15" s="72"/>
      <c r="UIQ15" s="74"/>
      <c r="UIR15" s="72"/>
      <c r="UIY15" s="74"/>
      <c r="UIZ15" s="72"/>
      <c r="UJG15" s="74"/>
      <c r="UJH15" s="72"/>
      <c r="UJO15" s="74"/>
      <c r="UJP15" s="72"/>
      <c r="UJW15" s="74"/>
      <c r="UJX15" s="72"/>
      <c r="UKE15" s="74"/>
      <c r="UKF15" s="72"/>
      <c r="UKM15" s="74"/>
      <c r="UKN15" s="72"/>
      <c r="UKU15" s="74"/>
      <c r="UKV15" s="72"/>
      <c r="ULC15" s="74"/>
      <c r="ULD15" s="72"/>
      <c r="ULK15" s="74"/>
      <c r="ULL15" s="72"/>
      <c r="ULS15" s="74"/>
      <c r="ULT15" s="72"/>
      <c r="UMA15" s="74"/>
      <c r="UMB15" s="72"/>
      <c r="UMI15" s="74"/>
      <c r="UMJ15" s="72"/>
      <c r="UMQ15" s="74"/>
      <c r="UMR15" s="72"/>
      <c r="UMY15" s="74"/>
      <c r="UMZ15" s="72"/>
      <c r="UNG15" s="74"/>
      <c r="UNH15" s="72"/>
      <c r="UNO15" s="74"/>
      <c r="UNP15" s="72"/>
      <c r="UNW15" s="74"/>
      <c r="UNX15" s="72"/>
      <c r="UOE15" s="74"/>
      <c r="UOF15" s="72"/>
      <c r="UOM15" s="74"/>
      <c r="UON15" s="72"/>
      <c r="UOU15" s="74"/>
      <c r="UOV15" s="72"/>
      <c r="UPC15" s="74"/>
      <c r="UPD15" s="72"/>
      <c r="UPK15" s="74"/>
      <c r="UPL15" s="72"/>
      <c r="UPS15" s="74"/>
      <c r="UPT15" s="72"/>
      <c r="UQA15" s="74"/>
      <c r="UQB15" s="72"/>
      <c r="UQI15" s="74"/>
      <c r="UQJ15" s="72"/>
      <c r="UQQ15" s="74"/>
      <c r="UQR15" s="72"/>
      <c r="UQY15" s="74"/>
      <c r="UQZ15" s="72"/>
      <c r="URG15" s="74"/>
      <c r="URH15" s="72"/>
      <c r="URO15" s="74"/>
      <c r="URP15" s="72"/>
      <c r="URW15" s="74"/>
      <c r="URX15" s="72"/>
      <c r="USE15" s="74"/>
      <c r="USF15" s="72"/>
      <c r="USM15" s="74"/>
      <c r="USN15" s="72"/>
      <c r="USU15" s="74"/>
      <c r="USV15" s="72"/>
      <c r="UTC15" s="74"/>
      <c r="UTD15" s="72"/>
      <c r="UTK15" s="74"/>
      <c r="UTL15" s="72"/>
      <c r="UTS15" s="74"/>
      <c r="UTT15" s="72"/>
      <c r="UUA15" s="74"/>
      <c r="UUB15" s="72"/>
      <c r="UUI15" s="74"/>
      <c r="UUJ15" s="72"/>
      <c r="UUQ15" s="74"/>
      <c r="UUR15" s="72"/>
      <c r="UUY15" s="74"/>
      <c r="UUZ15" s="72"/>
      <c r="UVG15" s="74"/>
      <c r="UVH15" s="72"/>
      <c r="UVO15" s="74"/>
      <c r="UVP15" s="72"/>
      <c r="UVW15" s="74"/>
      <c r="UVX15" s="72"/>
      <c r="UWE15" s="74"/>
      <c r="UWF15" s="72"/>
      <c r="UWM15" s="74"/>
      <c r="UWN15" s="72"/>
      <c r="UWU15" s="74"/>
      <c r="UWV15" s="72"/>
      <c r="UXC15" s="74"/>
      <c r="UXD15" s="72"/>
      <c r="UXK15" s="74"/>
      <c r="UXL15" s="72"/>
      <c r="UXS15" s="74"/>
      <c r="UXT15" s="72"/>
      <c r="UYA15" s="74"/>
      <c r="UYB15" s="72"/>
      <c r="UYI15" s="74"/>
      <c r="UYJ15" s="72"/>
      <c r="UYQ15" s="74"/>
      <c r="UYR15" s="72"/>
      <c r="UYY15" s="74"/>
      <c r="UYZ15" s="72"/>
      <c r="UZG15" s="74"/>
      <c r="UZH15" s="72"/>
      <c r="UZO15" s="74"/>
      <c r="UZP15" s="72"/>
      <c r="UZW15" s="74"/>
      <c r="UZX15" s="72"/>
      <c r="VAE15" s="74"/>
      <c r="VAF15" s="72"/>
      <c r="VAM15" s="74"/>
      <c r="VAN15" s="72"/>
      <c r="VAU15" s="74"/>
      <c r="VAV15" s="72"/>
      <c r="VBC15" s="74"/>
      <c r="VBD15" s="72"/>
      <c r="VBK15" s="74"/>
      <c r="VBL15" s="72"/>
      <c r="VBS15" s="74"/>
      <c r="VBT15" s="72"/>
      <c r="VCA15" s="74"/>
      <c r="VCB15" s="72"/>
      <c r="VCI15" s="74"/>
      <c r="VCJ15" s="72"/>
      <c r="VCQ15" s="74"/>
      <c r="VCR15" s="72"/>
      <c r="VCY15" s="74"/>
      <c r="VCZ15" s="72"/>
      <c r="VDG15" s="74"/>
      <c r="VDH15" s="72"/>
      <c r="VDO15" s="74"/>
      <c r="VDP15" s="72"/>
      <c r="VDW15" s="74"/>
      <c r="VDX15" s="72"/>
      <c r="VEE15" s="74"/>
      <c r="VEF15" s="72"/>
      <c r="VEM15" s="74"/>
      <c r="VEN15" s="72"/>
      <c r="VEU15" s="74"/>
      <c r="VEV15" s="72"/>
      <c r="VFC15" s="74"/>
      <c r="VFD15" s="72"/>
      <c r="VFK15" s="74"/>
      <c r="VFL15" s="72"/>
      <c r="VFS15" s="74"/>
      <c r="VFT15" s="72"/>
      <c r="VGA15" s="74"/>
      <c r="VGB15" s="72"/>
      <c r="VGI15" s="74"/>
      <c r="VGJ15" s="72"/>
      <c r="VGQ15" s="74"/>
      <c r="VGR15" s="72"/>
      <c r="VGY15" s="74"/>
      <c r="VGZ15" s="72"/>
      <c r="VHG15" s="74"/>
      <c r="VHH15" s="72"/>
      <c r="VHO15" s="74"/>
      <c r="VHP15" s="72"/>
      <c r="VHW15" s="74"/>
      <c r="VHX15" s="72"/>
      <c r="VIE15" s="74"/>
      <c r="VIF15" s="72"/>
      <c r="VIM15" s="74"/>
      <c r="VIN15" s="72"/>
      <c r="VIU15" s="74"/>
      <c r="VIV15" s="72"/>
      <c r="VJC15" s="74"/>
      <c r="VJD15" s="72"/>
      <c r="VJK15" s="74"/>
      <c r="VJL15" s="72"/>
      <c r="VJS15" s="74"/>
      <c r="VJT15" s="72"/>
      <c r="VKA15" s="74"/>
      <c r="VKB15" s="72"/>
      <c r="VKI15" s="74"/>
      <c r="VKJ15" s="72"/>
      <c r="VKQ15" s="74"/>
      <c r="VKR15" s="72"/>
      <c r="VKY15" s="74"/>
      <c r="VKZ15" s="72"/>
      <c r="VLG15" s="74"/>
      <c r="VLH15" s="72"/>
      <c r="VLO15" s="74"/>
      <c r="VLP15" s="72"/>
      <c r="VLW15" s="74"/>
      <c r="VLX15" s="72"/>
      <c r="VME15" s="74"/>
      <c r="VMF15" s="72"/>
      <c r="VMM15" s="74"/>
      <c r="VMN15" s="72"/>
      <c r="VMU15" s="74"/>
      <c r="VMV15" s="72"/>
      <c r="VNC15" s="74"/>
      <c r="VND15" s="72"/>
      <c r="VNK15" s="74"/>
      <c r="VNL15" s="72"/>
      <c r="VNS15" s="74"/>
      <c r="VNT15" s="72"/>
      <c r="VOA15" s="74"/>
      <c r="VOB15" s="72"/>
      <c r="VOI15" s="74"/>
      <c r="VOJ15" s="72"/>
      <c r="VOQ15" s="74"/>
      <c r="VOR15" s="72"/>
      <c r="VOY15" s="74"/>
      <c r="VOZ15" s="72"/>
      <c r="VPG15" s="74"/>
      <c r="VPH15" s="72"/>
      <c r="VPO15" s="74"/>
      <c r="VPP15" s="72"/>
      <c r="VPW15" s="74"/>
      <c r="VPX15" s="72"/>
      <c r="VQE15" s="74"/>
      <c r="VQF15" s="72"/>
      <c r="VQM15" s="74"/>
      <c r="VQN15" s="72"/>
      <c r="VQU15" s="74"/>
      <c r="VQV15" s="72"/>
      <c r="VRC15" s="74"/>
      <c r="VRD15" s="72"/>
      <c r="VRK15" s="74"/>
      <c r="VRL15" s="72"/>
      <c r="VRS15" s="74"/>
      <c r="VRT15" s="72"/>
      <c r="VSA15" s="74"/>
      <c r="VSB15" s="72"/>
      <c r="VSI15" s="74"/>
      <c r="VSJ15" s="72"/>
      <c r="VSQ15" s="74"/>
      <c r="VSR15" s="72"/>
      <c r="VSY15" s="74"/>
      <c r="VSZ15" s="72"/>
      <c r="VTG15" s="74"/>
      <c r="VTH15" s="72"/>
      <c r="VTO15" s="74"/>
      <c r="VTP15" s="72"/>
      <c r="VTW15" s="74"/>
      <c r="VTX15" s="72"/>
      <c r="VUE15" s="74"/>
      <c r="VUF15" s="72"/>
      <c r="VUM15" s="74"/>
      <c r="VUN15" s="72"/>
      <c r="VUU15" s="74"/>
      <c r="VUV15" s="72"/>
      <c r="VVC15" s="74"/>
      <c r="VVD15" s="72"/>
      <c r="VVK15" s="74"/>
      <c r="VVL15" s="72"/>
      <c r="VVS15" s="74"/>
      <c r="VVT15" s="72"/>
      <c r="VWA15" s="74"/>
      <c r="VWB15" s="72"/>
      <c r="VWI15" s="74"/>
      <c r="VWJ15" s="72"/>
      <c r="VWQ15" s="74"/>
      <c r="VWR15" s="72"/>
      <c r="VWY15" s="74"/>
      <c r="VWZ15" s="72"/>
      <c r="VXG15" s="74"/>
      <c r="VXH15" s="72"/>
      <c r="VXO15" s="74"/>
      <c r="VXP15" s="72"/>
      <c r="VXW15" s="74"/>
      <c r="VXX15" s="72"/>
      <c r="VYE15" s="74"/>
      <c r="VYF15" s="72"/>
      <c r="VYM15" s="74"/>
      <c r="VYN15" s="72"/>
      <c r="VYU15" s="74"/>
      <c r="VYV15" s="72"/>
      <c r="VZC15" s="74"/>
      <c r="VZD15" s="72"/>
      <c r="VZK15" s="74"/>
      <c r="VZL15" s="72"/>
      <c r="VZS15" s="74"/>
      <c r="VZT15" s="72"/>
      <c r="WAA15" s="74"/>
      <c r="WAB15" s="72"/>
      <c r="WAI15" s="74"/>
      <c r="WAJ15" s="72"/>
      <c r="WAQ15" s="74"/>
      <c r="WAR15" s="72"/>
      <c r="WAY15" s="74"/>
      <c r="WAZ15" s="72"/>
      <c r="WBG15" s="74"/>
      <c r="WBH15" s="72"/>
      <c r="WBO15" s="74"/>
      <c r="WBP15" s="72"/>
      <c r="WBW15" s="74"/>
      <c r="WBX15" s="72"/>
      <c r="WCE15" s="74"/>
      <c r="WCF15" s="72"/>
      <c r="WCM15" s="74"/>
      <c r="WCN15" s="72"/>
      <c r="WCU15" s="74"/>
      <c r="WCV15" s="72"/>
      <c r="WDC15" s="74"/>
      <c r="WDD15" s="72"/>
      <c r="WDK15" s="74"/>
      <c r="WDL15" s="72"/>
      <c r="WDS15" s="74"/>
      <c r="WDT15" s="72"/>
      <c r="WEA15" s="74"/>
      <c r="WEB15" s="72"/>
      <c r="WEI15" s="74"/>
      <c r="WEJ15" s="72"/>
      <c r="WEQ15" s="74"/>
      <c r="WER15" s="72"/>
      <c r="WEY15" s="74"/>
      <c r="WEZ15" s="72"/>
      <c r="WFG15" s="74"/>
      <c r="WFH15" s="72"/>
      <c r="WFO15" s="74"/>
      <c r="WFP15" s="72"/>
      <c r="WFW15" s="74"/>
      <c r="WFX15" s="72"/>
      <c r="WGE15" s="74"/>
      <c r="WGF15" s="72"/>
      <c r="WGM15" s="74"/>
      <c r="WGN15" s="72"/>
      <c r="WGU15" s="74"/>
      <c r="WGV15" s="72"/>
      <c r="WHC15" s="74"/>
      <c r="WHD15" s="72"/>
      <c r="WHK15" s="74"/>
      <c r="WHL15" s="72"/>
      <c r="WHS15" s="74"/>
      <c r="WHT15" s="72"/>
      <c r="WIA15" s="74"/>
      <c r="WIB15" s="72"/>
      <c r="WII15" s="74"/>
      <c r="WIJ15" s="72"/>
      <c r="WIQ15" s="74"/>
      <c r="WIR15" s="72"/>
      <c r="WIY15" s="74"/>
      <c r="WIZ15" s="72"/>
      <c r="WJG15" s="74"/>
      <c r="WJH15" s="72"/>
      <c r="WJO15" s="74"/>
      <c r="WJP15" s="72"/>
      <c r="WJW15" s="74"/>
      <c r="WJX15" s="72"/>
      <c r="WKE15" s="74"/>
      <c r="WKF15" s="72"/>
      <c r="WKM15" s="74"/>
      <c r="WKN15" s="72"/>
      <c r="WKU15" s="74"/>
      <c r="WKV15" s="72"/>
      <c r="WLC15" s="74"/>
      <c r="WLD15" s="72"/>
      <c r="WLK15" s="74"/>
      <c r="WLL15" s="72"/>
      <c r="WLS15" s="74"/>
      <c r="WLT15" s="72"/>
      <c r="WMA15" s="74"/>
      <c r="WMB15" s="72"/>
      <c r="WMI15" s="74"/>
      <c r="WMJ15" s="72"/>
      <c r="WMQ15" s="74"/>
      <c r="WMR15" s="72"/>
      <c r="WMY15" s="74"/>
      <c r="WMZ15" s="72"/>
      <c r="WNG15" s="74"/>
      <c r="WNH15" s="72"/>
      <c r="WNO15" s="74"/>
      <c r="WNP15" s="72"/>
      <c r="WNW15" s="74"/>
      <c r="WNX15" s="72"/>
      <c r="WOE15" s="74"/>
      <c r="WOF15" s="72"/>
      <c r="WOM15" s="74"/>
      <c r="WON15" s="72"/>
      <c r="WOU15" s="74"/>
      <c r="WOV15" s="72"/>
      <c r="WPC15" s="74"/>
      <c r="WPD15" s="72"/>
      <c r="WPK15" s="74"/>
      <c r="WPL15" s="72"/>
      <c r="WPS15" s="74"/>
      <c r="WPT15" s="72"/>
      <c r="WQA15" s="74"/>
      <c r="WQB15" s="72"/>
      <c r="WQI15" s="74"/>
      <c r="WQJ15" s="72"/>
      <c r="WQQ15" s="74"/>
      <c r="WQR15" s="72"/>
      <c r="WQY15" s="74"/>
      <c r="WQZ15" s="72"/>
      <c r="WRG15" s="74"/>
      <c r="WRH15" s="72"/>
      <c r="WRO15" s="74"/>
      <c r="WRP15" s="72"/>
      <c r="WRW15" s="74"/>
      <c r="WRX15" s="72"/>
      <c r="WSE15" s="74"/>
      <c r="WSF15" s="72"/>
      <c r="WSM15" s="74"/>
      <c r="WSN15" s="72"/>
      <c r="WSU15" s="74"/>
      <c r="WSV15" s="72"/>
      <c r="WTC15" s="74"/>
      <c r="WTD15" s="72"/>
      <c r="WTK15" s="74"/>
      <c r="WTL15" s="72"/>
      <c r="WTS15" s="74"/>
      <c r="WTT15" s="72"/>
      <c r="WUA15" s="74"/>
      <c r="WUB15" s="72"/>
      <c r="WUI15" s="74"/>
      <c r="WUJ15" s="72"/>
      <c r="WUQ15" s="74"/>
      <c r="WUR15" s="72"/>
      <c r="WUY15" s="74"/>
      <c r="WUZ15" s="72"/>
      <c r="WVG15" s="74"/>
      <c r="WVH15" s="72"/>
      <c r="WVO15" s="74"/>
      <c r="WVP15" s="72"/>
      <c r="WVW15" s="74"/>
      <c r="WVX15" s="72"/>
      <c r="WWE15" s="74"/>
      <c r="WWF15" s="72"/>
      <c r="WWM15" s="74"/>
      <c r="WWN15" s="72"/>
      <c r="WWU15" s="74"/>
      <c r="WWV15" s="72"/>
      <c r="WXC15" s="74"/>
      <c r="WXD15" s="72"/>
      <c r="WXK15" s="74"/>
      <c r="WXL15" s="72"/>
      <c r="WXS15" s="74"/>
      <c r="WXT15" s="72"/>
      <c r="WYA15" s="74"/>
      <c r="WYB15" s="72"/>
      <c r="WYI15" s="74"/>
      <c r="WYJ15" s="72"/>
      <c r="WYQ15" s="74"/>
      <c r="WYR15" s="72"/>
      <c r="WYY15" s="74"/>
      <c r="WYZ15" s="72"/>
      <c r="WZG15" s="74"/>
      <c r="WZH15" s="72"/>
      <c r="WZO15" s="74"/>
      <c r="WZP15" s="72"/>
      <c r="WZW15" s="74"/>
      <c r="WZX15" s="72"/>
      <c r="XAE15" s="74"/>
      <c r="XAF15" s="72"/>
      <c r="XAM15" s="74"/>
      <c r="XAN15" s="72"/>
      <c r="XAU15" s="74"/>
      <c r="XAV15" s="72"/>
      <c r="XBC15" s="74"/>
      <c r="XBD15" s="72"/>
      <c r="XBK15" s="74"/>
      <c r="XBL15" s="72"/>
      <c r="XBS15" s="74"/>
      <c r="XBT15" s="72"/>
      <c r="XCA15" s="74"/>
      <c r="XCB15" s="72"/>
      <c r="XCI15" s="74"/>
      <c r="XCJ15" s="72"/>
      <c r="XCQ15" s="74"/>
      <c r="XCR15" s="72"/>
      <c r="XCY15" s="74"/>
      <c r="XCZ15" s="72"/>
      <c r="XDG15" s="74"/>
      <c r="XDH15" s="72"/>
      <c r="XDO15" s="74"/>
      <c r="XDP15" s="72"/>
      <c r="XDW15" s="74"/>
      <c r="XDX15" s="72"/>
      <c r="XEE15" s="74"/>
      <c r="XEF15" s="72"/>
      <c r="XEM15" s="74"/>
      <c r="XEN15" s="72"/>
      <c r="XEU15" s="74"/>
      <c r="XEV15" s="72"/>
      <c r="XFC15" s="74"/>
      <c r="XFD15" s="72"/>
    </row>
    <row r="16" spans="1:1024 1031:2048 2055:3072 3079:4096 4103:5120 5127:6144 6151:7168 7175:8192 8199:9216 9223:10240 10247:11264 11271:12288 12295:13312 13319:14336 14343:15360 15367:16384" s="73" customFormat="1" ht="15" customHeight="1" thickBot="1">
      <c r="A16" s="4"/>
      <c r="B16" s="59" t="s">
        <v>361</v>
      </c>
      <c r="C16" s="110">
        <v>17482.059814126922</v>
      </c>
      <c r="D16" s="149">
        <f>SUM(E16:H16)</f>
        <v>95917.91338517543</v>
      </c>
      <c r="E16" s="110">
        <v>29238.400000000001</v>
      </c>
      <c r="F16" s="110">
        <v>13083.165794001512</v>
      </c>
      <c r="G16" s="110">
        <v>18913.158219812154</v>
      </c>
      <c r="H16" s="110">
        <v>34683.189371361754</v>
      </c>
      <c r="I16" s="60">
        <f>SUM(J16:M16)</f>
        <v>20919</v>
      </c>
      <c r="J16" s="60">
        <v>8517</v>
      </c>
      <c r="K16" s="60">
        <v>2956</v>
      </c>
      <c r="L16" s="60">
        <v>1436</v>
      </c>
      <c r="M16" s="60">
        <v>8010</v>
      </c>
      <c r="N16" s="11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E16" s="74"/>
      <c r="AF16" s="72"/>
      <c r="AM16" s="74"/>
      <c r="AN16" s="72"/>
      <c r="AU16" s="74"/>
      <c r="AV16" s="72"/>
      <c r="BC16" s="74"/>
      <c r="BD16" s="72"/>
      <c r="BK16" s="74"/>
      <c r="BL16" s="72"/>
      <c r="BS16" s="74"/>
      <c r="BT16" s="72"/>
      <c r="CA16" s="74"/>
      <c r="CB16" s="72"/>
      <c r="CI16" s="74"/>
      <c r="CJ16" s="72"/>
      <c r="CQ16" s="74"/>
      <c r="CR16" s="72"/>
      <c r="CY16" s="74"/>
      <c r="CZ16" s="72"/>
      <c r="DG16" s="74"/>
      <c r="DH16" s="72"/>
      <c r="DO16" s="74"/>
      <c r="DP16" s="72"/>
      <c r="DW16" s="74"/>
      <c r="DX16" s="72"/>
      <c r="EE16" s="74"/>
      <c r="EF16" s="72"/>
      <c r="EM16" s="74"/>
      <c r="EN16" s="72"/>
      <c r="EU16" s="74"/>
      <c r="EV16" s="72"/>
      <c r="FC16" s="74"/>
      <c r="FD16" s="72"/>
      <c r="FK16" s="74"/>
      <c r="FL16" s="72"/>
      <c r="FS16" s="74"/>
      <c r="FT16" s="72"/>
      <c r="GA16" s="74"/>
      <c r="GB16" s="72"/>
      <c r="GI16" s="74"/>
      <c r="GJ16" s="72"/>
      <c r="GQ16" s="74"/>
      <c r="GR16" s="72"/>
      <c r="GY16" s="74"/>
      <c r="GZ16" s="72"/>
      <c r="HG16" s="74"/>
      <c r="HH16" s="72"/>
      <c r="HO16" s="74"/>
      <c r="HP16" s="72"/>
      <c r="HW16" s="74"/>
      <c r="HX16" s="72"/>
      <c r="IE16" s="74"/>
      <c r="IF16" s="72"/>
      <c r="IM16" s="74"/>
      <c r="IN16" s="72"/>
      <c r="IU16" s="74"/>
      <c r="IV16" s="72"/>
      <c r="JC16" s="74"/>
      <c r="JD16" s="72"/>
      <c r="JK16" s="74"/>
      <c r="JL16" s="72"/>
      <c r="JS16" s="74"/>
      <c r="JT16" s="72"/>
      <c r="KA16" s="74"/>
      <c r="KB16" s="72"/>
      <c r="KI16" s="74"/>
      <c r="KJ16" s="72"/>
      <c r="KQ16" s="74"/>
      <c r="KR16" s="72"/>
      <c r="KY16" s="74"/>
      <c r="KZ16" s="72"/>
      <c r="LG16" s="74"/>
      <c r="LH16" s="72"/>
      <c r="LO16" s="74"/>
      <c r="LP16" s="72"/>
      <c r="LW16" s="74"/>
      <c r="LX16" s="72"/>
      <c r="ME16" s="74"/>
      <c r="MF16" s="72"/>
      <c r="MM16" s="74"/>
      <c r="MN16" s="72"/>
      <c r="MU16" s="74"/>
      <c r="MV16" s="72"/>
      <c r="NC16" s="74"/>
      <c r="ND16" s="72"/>
      <c r="NK16" s="74"/>
      <c r="NL16" s="72"/>
      <c r="NS16" s="74"/>
      <c r="NT16" s="72"/>
      <c r="OA16" s="74"/>
      <c r="OB16" s="72"/>
      <c r="OI16" s="74"/>
      <c r="OJ16" s="72"/>
      <c r="OQ16" s="74"/>
      <c r="OR16" s="72"/>
      <c r="OY16" s="74"/>
      <c r="OZ16" s="72"/>
      <c r="PG16" s="74"/>
      <c r="PH16" s="72"/>
      <c r="PO16" s="74"/>
      <c r="PP16" s="72"/>
      <c r="PW16" s="74"/>
      <c r="PX16" s="72"/>
      <c r="QE16" s="74"/>
      <c r="QF16" s="72"/>
      <c r="QM16" s="74"/>
      <c r="QN16" s="72"/>
      <c r="QU16" s="74"/>
      <c r="QV16" s="72"/>
      <c r="RC16" s="74"/>
      <c r="RD16" s="72"/>
      <c r="RK16" s="74"/>
      <c r="RL16" s="72"/>
      <c r="RS16" s="74"/>
      <c r="RT16" s="72"/>
      <c r="SA16" s="74"/>
      <c r="SB16" s="72"/>
      <c r="SI16" s="74"/>
      <c r="SJ16" s="72"/>
      <c r="SQ16" s="74"/>
      <c r="SR16" s="72"/>
      <c r="SY16" s="74"/>
      <c r="SZ16" s="72"/>
      <c r="TG16" s="74"/>
      <c r="TH16" s="72"/>
      <c r="TO16" s="74"/>
      <c r="TP16" s="72"/>
      <c r="TW16" s="74"/>
      <c r="TX16" s="72"/>
      <c r="UE16" s="74"/>
      <c r="UF16" s="72"/>
      <c r="UM16" s="74"/>
      <c r="UN16" s="72"/>
      <c r="UU16" s="74"/>
      <c r="UV16" s="72"/>
      <c r="VC16" s="74"/>
      <c r="VD16" s="72"/>
      <c r="VK16" s="74"/>
      <c r="VL16" s="72"/>
      <c r="VS16" s="74"/>
      <c r="VT16" s="72"/>
      <c r="WA16" s="74"/>
      <c r="WB16" s="72"/>
      <c r="WI16" s="74"/>
      <c r="WJ16" s="72"/>
      <c r="WQ16" s="74"/>
      <c r="WR16" s="72"/>
      <c r="WY16" s="74"/>
      <c r="WZ16" s="72"/>
      <c r="XG16" s="74"/>
      <c r="XH16" s="72"/>
      <c r="XO16" s="74"/>
      <c r="XP16" s="72"/>
      <c r="XW16" s="74"/>
      <c r="XX16" s="72"/>
      <c r="YE16" s="74"/>
      <c r="YF16" s="72"/>
      <c r="YM16" s="74"/>
      <c r="YN16" s="72"/>
      <c r="YU16" s="74"/>
      <c r="YV16" s="72"/>
      <c r="ZC16" s="74"/>
      <c r="ZD16" s="72"/>
      <c r="ZK16" s="74"/>
      <c r="ZL16" s="72"/>
      <c r="ZS16" s="74"/>
      <c r="ZT16" s="72"/>
      <c r="AAA16" s="74"/>
      <c r="AAB16" s="72"/>
      <c r="AAI16" s="74"/>
      <c r="AAJ16" s="72"/>
      <c r="AAQ16" s="74"/>
      <c r="AAR16" s="72"/>
      <c r="AAY16" s="74"/>
      <c r="AAZ16" s="72"/>
      <c r="ABG16" s="74"/>
      <c r="ABH16" s="72"/>
      <c r="ABO16" s="74"/>
      <c r="ABP16" s="72"/>
      <c r="ABW16" s="74"/>
      <c r="ABX16" s="72"/>
      <c r="ACE16" s="74"/>
      <c r="ACF16" s="72"/>
      <c r="ACM16" s="74"/>
      <c r="ACN16" s="72"/>
      <c r="ACU16" s="74"/>
      <c r="ACV16" s="72"/>
      <c r="ADC16" s="74"/>
      <c r="ADD16" s="72"/>
      <c r="ADK16" s="74"/>
      <c r="ADL16" s="72"/>
      <c r="ADS16" s="74"/>
      <c r="ADT16" s="72"/>
      <c r="AEA16" s="74"/>
      <c r="AEB16" s="72"/>
      <c r="AEI16" s="74"/>
      <c r="AEJ16" s="72"/>
      <c r="AEQ16" s="74"/>
      <c r="AER16" s="72"/>
      <c r="AEY16" s="74"/>
      <c r="AEZ16" s="72"/>
      <c r="AFG16" s="74"/>
      <c r="AFH16" s="72"/>
      <c r="AFO16" s="74"/>
      <c r="AFP16" s="72"/>
      <c r="AFW16" s="74"/>
      <c r="AFX16" s="72"/>
      <c r="AGE16" s="74"/>
      <c r="AGF16" s="72"/>
      <c r="AGM16" s="74"/>
      <c r="AGN16" s="72"/>
      <c r="AGU16" s="74"/>
      <c r="AGV16" s="72"/>
      <c r="AHC16" s="74"/>
      <c r="AHD16" s="72"/>
      <c r="AHK16" s="74"/>
      <c r="AHL16" s="72"/>
      <c r="AHS16" s="74"/>
      <c r="AHT16" s="72"/>
      <c r="AIA16" s="74"/>
      <c r="AIB16" s="72"/>
      <c r="AII16" s="74"/>
      <c r="AIJ16" s="72"/>
      <c r="AIQ16" s="74"/>
      <c r="AIR16" s="72"/>
      <c r="AIY16" s="74"/>
      <c r="AIZ16" s="72"/>
      <c r="AJG16" s="74"/>
      <c r="AJH16" s="72"/>
      <c r="AJO16" s="74"/>
      <c r="AJP16" s="72"/>
      <c r="AJW16" s="74"/>
      <c r="AJX16" s="72"/>
      <c r="AKE16" s="74"/>
      <c r="AKF16" s="72"/>
      <c r="AKM16" s="74"/>
      <c r="AKN16" s="72"/>
      <c r="AKU16" s="74"/>
      <c r="AKV16" s="72"/>
      <c r="ALC16" s="74"/>
      <c r="ALD16" s="72"/>
      <c r="ALK16" s="74"/>
      <c r="ALL16" s="72"/>
      <c r="ALS16" s="74"/>
      <c r="ALT16" s="72"/>
      <c r="AMA16" s="74"/>
      <c r="AMB16" s="72"/>
      <c r="AMI16" s="74"/>
      <c r="AMJ16" s="72"/>
      <c r="AMQ16" s="74"/>
      <c r="AMR16" s="72"/>
      <c r="AMY16" s="74"/>
      <c r="AMZ16" s="72"/>
      <c r="ANG16" s="74"/>
      <c r="ANH16" s="72"/>
      <c r="ANO16" s="74"/>
      <c r="ANP16" s="72"/>
      <c r="ANW16" s="74"/>
      <c r="ANX16" s="72"/>
      <c r="AOE16" s="74"/>
      <c r="AOF16" s="72"/>
      <c r="AOM16" s="74"/>
      <c r="AON16" s="72"/>
      <c r="AOU16" s="74"/>
      <c r="AOV16" s="72"/>
      <c r="APC16" s="74"/>
      <c r="APD16" s="72"/>
      <c r="APK16" s="74"/>
      <c r="APL16" s="72"/>
      <c r="APS16" s="74"/>
      <c r="APT16" s="72"/>
      <c r="AQA16" s="74"/>
      <c r="AQB16" s="72"/>
      <c r="AQI16" s="74"/>
      <c r="AQJ16" s="72"/>
      <c r="AQQ16" s="74"/>
      <c r="AQR16" s="72"/>
      <c r="AQY16" s="74"/>
      <c r="AQZ16" s="72"/>
      <c r="ARG16" s="74"/>
      <c r="ARH16" s="72"/>
      <c r="ARO16" s="74"/>
      <c r="ARP16" s="72"/>
      <c r="ARW16" s="74"/>
      <c r="ARX16" s="72"/>
      <c r="ASE16" s="74"/>
      <c r="ASF16" s="72"/>
      <c r="ASM16" s="74"/>
      <c r="ASN16" s="72"/>
      <c r="ASU16" s="74"/>
      <c r="ASV16" s="72"/>
      <c r="ATC16" s="74"/>
      <c r="ATD16" s="72"/>
      <c r="ATK16" s="74"/>
      <c r="ATL16" s="72"/>
      <c r="ATS16" s="74"/>
      <c r="ATT16" s="72"/>
      <c r="AUA16" s="74"/>
      <c r="AUB16" s="72"/>
      <c r="AUI16" s="74"/>
      <c r="AUJ16" s="72"/>
      <c r="AUQ16" s="74"/>
      <c r="AUR16" s="72"/>
      <c r="AUY16" s="74"/>
      <c r="AUZ16" s="72"/>
      <c r="AVG16" s="74"/>
      <c r="AVH16" s="72"/>
      <c r="AVO16" s="74"/>
      <c r="AVP16" s="72"/>
      <c r="AVW16" s="74"/>
      <c r="AVX16" s="72"/>
      <c r="AWE16" s="74"/>
      <c r="AWF16" s="72"/>
      <c r="AWM16" s="74"/>
      <c r="AWN16" s="72"/>
      <c r="AWU16" s="74"/>
      <c r="AWV16" s="72"/>
      <c r="AXC16" s="74"/>
      <c r="AXD16" s="72"/>
      <c r="AXK16" s="74"/>
      <c r="AXL16" s="72"/>
      <c r="AXS16" s="74"/>
      <c r="AXT16" s="72"/>
      <c r="AYA16" s="74"/>
      <c r="AYB16" s="72"/>
      <c r="AYI16" s="74"/>
      <c r="AYJ16" s="72"/>
      <c r="AYQ16" s="74"/>
      <c r="AYR16" s="72"/>
      <c r="AYY16" s="74"/>
      <c r="AYZ16" s="72"/>
      <c r="AZG16" s="74"/>
      <c r="AZH16" s="72"/>
      <c r="AZO16" s="74"/>
      <c r="AZP16" s="72"/>
      <c r="AZW16" s="74"/>
      <c r="AZX16" s="72"/>
      <c r="BAE16" s="74"/>
      <c r="BAF16" s="72"/>
      <c r="BAM16" s="74"/>
      <c r="BAN16" s="72"/>
      <c r="BAU16" s="74"/>
      <c r="BAV16" s="72"/>
      <c r="BBC16" s="74"/>
      <c r="BBD16" s="72"/>
      <c r="BBK16" s="74"/>
      <c r="BBL16" s="72"/>
      <c r="BBS16" s="74"/>
      <c r="BBT16" s="72"/>
      <c r="BCA16" s="74"/>
      <c r="BCB16" s="72"/>
      <c r="BCI16" s="74"/>
      <c r="BCJ16" s="72"/>
      <c r="BCQ16" s="74"/>
      <c r="BCR16" s="72"/>
      <c r="BCY16" s="74"/>
      <c r="BCZ16" s="72"/>
      <c r="BDG16" s="74"/>
      <c r="BDH16" s="72"/>
      <c r="BDO16" s="74"/>
      <c r="BDP16" s="72"/>
      <c r="BDW16" s="74"/>
      <c r="BDX16" s="72"/>
      <c r="BEE16" s="74"/>
      <c r="BEF16" s="72"/>
      <c r="BEM16" s="74"/>
      <c r="BEN16" s="72"/>
      <c r="BEU16" s="74"/>
      <c r="BEV16" s="72"/>
      <c r="BFC16" s="74"/>
      <c r="BFD16" s="72"/>
      <c r="BFK16" s="74"/>
      <c r="BFL16" s="72"/>
      <c r="BFS16" s="74"/>
      <c r="BFT16" s="72"/>
      <c r="BGA16" s="74"/>
      <c r="BGB16" s="72"/>
      <c r="BGI16" s="74"/>
      <c r="BGJ16" s="72"/>
      <c r="BGQ16" s="74"/>
      <c r="BGR16" s="72"/>
      <c r="BGY16" s="74"/>
      <c r="BGZ16" s="72"/>
      <c r="BHG16" s="74"/>
      <c r="BHH16" s="72"/>
      <c r="BHO16" s="74"/>
      <c r="BHP16" s="72"/>
      <c r="BHW16" s="74"/>
      <c r="BHX16" s="72"/>
      <c r="BIE16" s="74"/>
      <c r="BIF16" s="72"/>
      <c r="BIM16" s="74"/>
      <c r="BIN16" s="72"/>
      <c r="BIU16" s="74"/>
      <c r="BIV16" s="72"/>
      <c r="BJC16" s="74"/>
      <c r="BJD16" s="72"/>
      <c r="BJK16" s="74"/>
      <c r="BJL16" s="72"/>
      <c r="BJS16" s="74"/>
      <c r="BJT16" s="72"/>
      <c r="BKA16" s="74"/>
      <c r="BKB16" s="72"/>
      <c r="BKI16" s="74"/>
      <c r="BKJ16" s="72"/>
      <c r="BKQ16" s="74"/>
      <c r="BKR16" s="72"/>
      <c r="BKY16" s="74"/>
      <c r="BKZ16" s="72"/>
      <c r="BLG16" s="74"/>
      <c r="BLH16" s="72"/>
      <c r="BLO16" s="74"/>
      <c r="BLP16" s="72"/>
      <c r="BLW16" s="74"/>
      <c r="BLX16" s="72"/>
      <c r="BME16" s="74"/>
      <c r="BMF16" s="72"/>
      <c r="BMM16" s="74"/>
      <c r="BMN16" s="72"/>
      <c r="BMU16" s="74"/>
      <c r="BMV16" s="72"/>
      <c r="BNC16" s="74"/>
      <c r="BND16" s="72"/>
      <c r="BNK16" s="74"/>
      <c r="BNL16" s="72"/>
      <c r="BNS16" s="74"/>
      <c r="BNT16" s="72"/>
      <c r="BOA16" s="74"/>
      <c r="BOB16" s="72"/>
      <c r="BOI16" s="74"/>
      <c r="BOJ16" s="72"/>
      <c r="BOQ16" s="74"/>
      <c r="BOR16" s="72"/>
      <c r="BOY16" s="74"/>
      <c r="BOZ16" s="72"/>
      <c r="BPG16" s="74"/>
      <c r="BPH16" s="72"/>
      <c r="BPO16" s="74"/>
      <c r="BPP16" s="72"/>
      <c r="BPW16" s="74"/>
      <c r="BPX16" s="72"/>
      <c r="BQE16" s="74"/>
      <c r="BQF16" s="72"/>
      <c r="BQM16" s="74"/>
      <c r="BQN16" s="72"/>
      <c r="BQU16" s="74"/>
      <c r="BQV16" s="72"/>
      <c r="BRC16" s="74"/>
      <c r="BRD16" s="72"/>
      <c r="BRK16" s="74"/>
      <c r="BRL16" s="72"/>
      <c r="BRS16" s="74"/>
      <c r="BRT16" s="72"/>
      <c r="BSA16" s="74"/>
      <c r="BSB16" s="72"/>
      <c r="BSI16" s="74"/>
      <c r="BSJ16" s="72"/>
      <c r="BSQ16" s="74"/>
      <c r="BSR16" s="72"/>
      <c r="BSY16" s="74"/>
      <c r="BSZ16" s="72"/>
      <c r="BTG16" s="74"/>
      <c r="BTH16" s="72"/>
      <c r="BTO16" s="74"/>
      <c r="BTP16" s="72"/>
      <c r="BTW16" s="74"/>
      <c r="BTX16" s="72"/>
      <c r="BUE16" s="74"/>
      <c r="BUF16" s="72"/>
      <c r="BUM16" s="74"/>
      <c r="BUN16" s="72"/>
      <c r="BUU16" s="74"/>
      <c r="BUV16" s="72"/>
      <c r="BVC16" s="74"/>
      <c r="BVD16" s="72"/>
      <c r="BVK16" s="74"/>
      <c r="BVL16" s="72"/>
      <c r="BVS16" s="74"/>
      <c r="BVT16" s="72"/>
      <c r="BWA16" s="74"/>
      <c r="BWB16" s="72"/>
      <c r="BWI16" s="74"/>
      <c r="BWJ16" s="72"/>
      <c r="BWQ16" s="74"/>
      <c r="BWR16" s="72"/>
      <c r="BWY16" s="74"/>
      <c r="BWZ16" s="72"/>
      <c r="BXG16" s="74"/>
      <c r="BXH16" s="72"/>
      <c r="BXO16" s="74"/>
      <c r="BXP16" s="72"/>
      <c r="BXW16" s="74"/>
      <c r="BXX16" s="72"/>
      <c r="BYE16" s="74"/>
      <c r="BYF16" s="72"/>
      <c r="BYM16" s="74"/>
      <c r="BYN16" s="72"/>
      <c r="BYU16" s="74"/>
      <c r="BYV16" s="72"/>
      <c r="BZC16" s="74"/>
      <c r="BZD16" s="72"/>
      <c r="BZK16" s="74"/>
      <c r="BZL16" s="72"/>
      <c r="BZS16" s="74"/>
      <c r="BZT16" s="72"/>
      <c r="CAA16" s="74"/>
      <c r="CAB16" s="72"/>
      <c r="CAI16" s="74"/>
      <c r="CAJ16" s="72"/>
      <c r="CAQ16" s="74"/>
      <c r="CAR16" s="72"/>
      <c r="CAY16" s="74"/>
      <c r="CAZ16" s="72"/>
      <c r="CBG16" s="74"/>
      <c r="CBH16" s="72"/>
      <c r="CBO16" s="74"/>
      <c r="CBP16" s="72"/>
      <c r="CBW16" s="74"/>
      <c r="CBX16" s="72"/>
      <c r="CCE16" s="74"/>
      <c r="CCF16" s="72"/>
      <c r="CCM16" s="74"/>
      <c r="CCN16" s="72"/>
      <c r="CCU16" s="74"/>
      <c r="CCV16" s="72"/>
      <c r="CDC16" s="74"/>
      <c r="CDD16" s="72"/>
      <c r="CDK16" s="74"/>
      <c r="CDL16" s="72"/>
      <c r="CDS16" s="74"/>
      <c r="CDT16" s="72"/>
      <c r="CEA16" s="74"/>
      <c r="CEB16" s="72"/>
      <c r="CEI16" s="74"/>
      <c r="CEJ16" s="72"/>
      <c r="CEQ16" s="74"/>
      <c r="CER16" s="72"/>
      <c r="CEY16" s="74"/>
      <c r="CEZ16" s="72"/>
      <c r="CFG16" s="74"/>
      <c r="CFH16" s="72"/>
      <c r="CFO16" s="74"/>
      <c r="CFP16" s="72"/>
      <c r="CFW16" s="74"/>
      <c r="CFX16" s="72"/>
      <c r="CGE16" s="74"/>
      <c r="CGF16" s="72"/>
      <c r="CGM16" s="74"/>
      <c r="CGN16" s="72"/>
      <c r="CGU16" s="74"/>
      <c r="CGV16" s="72"/>
      <c r="CHC16" s="74"/>
      <c r="CHD16" s="72"/>
      <c r="CHK16" s="74"/>
      <c r="CHL16" s="72"/>
      <c r="CHS16" s="74"/>
      <c r="CHT16" s="72"/>
      <c r="CIA16" s="74"/>
      <c r="CIB16" s="72"/>
      <c r="CII16" s="74"/>
      <c r="CIJ16" s="72"/>
      <c r="CIQ16" s="74"/>
      <c r="CIR16" s="72"/>
      <c r="CIY16" s="74"/>
      <c r="CIZ16" s="72"/>
      <c r="CJG16" s="74"/>
      <c r="CJH16" s="72"/>
      <c r="CJO16" s="74"/>
      <c r="CJP16" s="72"/>
      <c r="CJW16" s="74"/>
      <c r="CJX16" s="72"/>
      <c r="CKE16" s="74"/>
      <c r="CKF16" s="72"/>
      <c r="CKM16" s="74"/>
      <c r="CKN16" s="72"/>
      <c r="CKU16" s="74"/>
      <c r="CKV16" s="72"/>
      <c r="CLC16" s="74"/>
      <c r="CLD16" s="72"/>
      <c r="CLK16" s="74"/>
      <c r="CLL16" s="72"/>
      <c r="CLS16" s="74"/>
      <c r="CLT16" s="72"/>
      <c r="CMA16" s="74"/>
      <c r="CMB16" s="72"/>
      <c r="CMI16" s="74"/>
      <c r="CMJ16" s="72"/>
      <c r="CMQ16" s="74"/>
      <c r="CMR16" s="72"/>
      <c r="CMY16" s="74"/>
      <c r="CMZ16" s="72"/>
      <c r="CNG16" s="74"/>
      <c r="CNH16" s="72"/>
      <c r="CNO16" s="74"/>
      <c r="CNP16" s="72"/>
      <c r="CNW16" s="74"/>
      <c r="CNX16" s="72"/>
      <c r="COE16" s="74"/>
      <c r="COF16" s="72"/>
      <c r="COM16" s="74"/>
      <c r="CON16" s="72"/>
      <c r="COU16" s="74"/>
      <c r="COV16" s="72"/>
      <c r="CPC16" s="74"/>
      <c r="CPD16" s="72"/>
      <c r="CPK16" s="74"/>
      <c r="CPL16" s="72"/>
      <c r="CPS16" s="74"/>
      <c r="CPT16" s="72"/>
      <c r="CQA16" s="74"/>
      <c r="CQB16" s="72"/>
      <c r="CQI16" s="74"/>
      <c r="CQJ16" s="72"/>
      <c r="CQQ16" s="74"/>
      <c r="CQR16" s="72"/>
      <c r="CQY16" s="74"/>
      <c r="CQZ16" s="72"/>
      <c r="CRG16" s="74"/>
      <c r="CRH16" s="72"/>
      <c r="CRO16" s="74"/>
      <c r="CRP16" s="72"/>
      <c r="CRW16" s="74"/>
      <c r="CRX16" s="72"/>
      <c r="CSE16" s="74"/>
      <c r="CSF16" s="72"/>
      <c r="CSM16" s="74"/>
      <c r="CSN16" s="72"/>
      <c r="CSU16" s="74"/>
      <c r="CSV16" s="72"/>
      <c r="CTC16" s="74"/>
      <c r="CTD16" s="72"/>
      <c r="CTK16" s="74"/>
      <c r="CTL16" s="72"/>
      <c r="CTS16" s="74"/>
      <c r="CTT16" s="72"/>
      <c r="CUA16" s="74"/>
      <c r="CUB16" s="72"/>
      <c r="CUI16" s="74"/>
      <c r="CUJ16" s="72"/>
      <c r="CUQ16" s="74"/>
      <c r="CUR16" s="72"/>
      <c r="CUY16" s="74"/>
      <c r="CUZ16" s="72"/>
      <c r="CVG16" s="74"/>
      <c r="CVH16" s="72"/>
      <c r="CVO16" s="74"/>
      <c r="CVP16" s="72"/>
      <c r="CVW16" s="74"/>
      <c r="CVX16" s="72"/>
      <c r="CWE16" s="74"/>
      <c r="CWF16" s="72"/>
      <c r="CWM16" s="74"/>
      <c r="CWN16" s="72"/>
      <c r="CWU16" s="74"/>
      <c r="CWV16" s="72"/>
      <c r="CXC16" s="74"/>
      <c r="CXD16" s="72"/>
      <c r="CXK16" s="74"/>
      <c r="CXL16" s="72"/>
      <c r="CXS16" s="74"/>
      <c r="CXT16" s="72"/>
      <c r="CYA16" s="74"/>
      <c r="CYB16" s="72"/>
      <c r="CYI16" s="74"/>
      <c r="CYJ16" s="72"/>
      <c r="CYQ16" s="74"/>
      <c r="CYR16" s="72"/>
      <c r="CYY16" s="74"/>
      <c r="CYZ16" s="72"/>
      <c r="CZG16" s="74"/>
      <c r="CZH16" s="72"/>
      <c r="CZO16" s="74"/>
      <c r="CZP16" s="72"/>
      <c r="CZW16" s="74"/>
      <c r="CZX16" s="72"/>
      <c r="DAE16" s="74"/>
      <c r="DAF16" s="72"/>
      <c r="DAM16" s="74"/>
      <c r="DAN16" s="72"/>
      <c r="DAU16" s="74"/>
      <c r="DAV16" s="72"/>
      <c r="DBC16" s="74"/>
      <c r="DBD16" s="72"/>
      <c r="DBK16" s="74"/>
      <c r="DBL16" s="72"/>
      <c r="DBS16" s="74"/>
      <c r="DBT16" s="72"/>
      <c r="DCA16" s="74"/>
      <c r="DCB16" s="72"/>
      <c r="DCI16" s="74"/>
      <c r="DCJ16" s="72"/>
      <c r="DCQ16" s="74"/>
      <c r="DCR16" s="72"/>
      <c r="DCY16" s="74"/>
      <c r="DCZ16" s="72"/>
      <c r="DDG16" s="74"/>
      <c r="DDH16" s="72"/>
      <c r="DDO16" s="74"/>
      <c r="DDP16" s="72"/>
      <c r="DDW16" s="74"/>
      <c r="DDX16" s="72"/>
      <c r="DEE16" s="74"/>
      <c r="DEF16" s="72"/>
      <c r="DEM16" s="74"/>
      <c r="DEN16" s="72"/>
      <c r="DEU16" s="74"/>
      <c r="DEV16" s="72"/>
      <c r="DFC16" s="74"/>
      <c r="DFD16" s="72"/>
      <c r="DFK16" s="74"/>
      <c r="DFL16" s="72"/>
      <c r="DFS16" s="74"/>
      <c r="DFT16" s="72"/>
      <c r="DGA16" s="74"/>
      <c r="DGB16" s="72"/>
      <c r="DGI16" s="74"/>
      <c r="DGJ16" s="72"/>
      <c r="DGQ16" s="74"/>
      <c r="DGR16" s="72"/>
      <c r="DGY16" s="74"/>
      <c r="DGZ16" s="72"/>
      <c r="DHG16" s="74"/>
      <c r="DHH16" s="72"/>
      <c r="DHO16" s="74"/>
      <c r="DHP16" s="72"/>
      <c r="DHW16" s="74"/>
      <c r="DHX16" s="72"/>
      <c r="DIE16" s="74"/>
      <c r="DIF16" s="72"/>
      <c r="DIM16" s="74"/>
      <c r="DIN16" s="72"/>
      <c r="DIU16" s="74"/>
      <c r="DIV16" s="72"/>
      <c r="DJC16" s="74"/>
      <c r="DJD16" s="72"/>
      <c r="DJK16" s="74"/>
      <c r="DJL16" s="72"/>
      <c r="DJS16" s="74"/>
      <c r="DJT16" s="72"/>
      <c r="DKA16" s="74"/>
      <c r="DKB16" s="72"/>
      <c r="DKI16" s="74"/>
      <c r="DKJ16" s="72"/>
      <c r="DKQ16" s="74"/>
      <c r="DKR16" s="72"/>
      <c r="DKY16" s="74"/>
      <c r="DKZ16" s="72"/>
      <c r="DLG16" s="74"/>
      <c r="DLH16" s="72"/>
      <c r="DLO16" s="74"/>
      <c r="DLP16" s="72"/>
      <c r="DLW16" s="74"/>
      <c r="DLX16" s="72"/>
      <c r="DME16" s="74"/>
      <c r="DMF16" s="72"/>
      <c r="DMM16" s="74"/>
      <c r="DMN16" s="72"/>
      <c r="DMU16" s="74"/>
      <c r="DMV16" s="72"/>
      <c r="DNC16" s="74"/>
      <c r="DND16" s="72"/>
      <c r="DNK16" s="74"/>
      <c r="DNL16" s="72"/>
      <c r="DNS16" s="74"/>
      <c r="DNT16" s="72"/>
      <c r="DOA16" s="74"/>
      <c r="DOB16" s="72"/>
      <c r="DOI16" s="74"/>
      <c r="DOJ16" s="72"/>
      <c r="DOQ16" s="74"/>
      <c r="DOR16" s="72"/>
      <c r="DOY16" s="74"/>
      <c r="DOZ16" s="72"/>
      <c r="DPG16" s="74"/>
      <c r="DPH16" s="72"/>
      <c r="DPO16" s="74"/>
      <c r="DPP16" s="72"/>
      <c r="DPW16" s="74"/>
      <c r="DPX16" s="72"/>
      <c r="DQE16" s="74"/>
      <c r="DQF16" s="72"/>
      <c r="DQM16" s="74"/>
      <c r="DQN16" s="72"/>
      <c r="DQU16" s="74"/>
      <c r="DQV16" s="72"/>
      <c r="DRC16" s="74"/>
      <c r="DRD16" s="72"/>
      <c r="DRK16" s="74"/>
      <c r="DRL16" s="72"/>
      <c r="DRS16" s="74"/>
      <c r="DRT16" s="72"/>
      <c r="DSA16" s="74"/>
      <c r="DSB16" s="72"/>
      <c r="DSI16" s="74"/>
      <c r="DSJ16" s="72"/>
      <c r="DSQ16" s="74"/>
      <c r="DSR16" s="72"/>
      <c r="DSY16" s="74"/>
      <c r="DSZ16" s="72"/>
      <c r="DTG16" s="74"/>
      <c r="DTH16" s="72"/>
      <c r="DTO16" s="74"/>
      <c r="DTP16" s="72"/>
      <c r="DTW16" s="74"/>
      <c r="DTX16" s="72"/>
      <c r="DUE16" s="74"/>
      <c r="DUF16" s="72"/>
      <c r="DUM16" s="74"/>
      <c r="DUN16" s="72"/>
      <c r="DUU16" s="74"/>
      <c r="DUV16" s="72"/>
      <c r="DVC16" s="74"/>
      <c r="DVD16" s="72"/>
      <c r="DVK16" s="74"/>
      <c r="DVL16" s="72"/>
      <c r="DVS16" s="74"/>
      <c r="DVT16" s="72"/>
      <c r="DWA16" s="74"/>
      <c r="DWB16" s="72"/>
      <c r="DWI16" s="74"/>
      <c r="DWJ16" s="72"/>
      <c r="DWQ16" s="74"/>
      <c r="DWR16" s="72"/>
      <c r="DWY16" s="74"/>
      <c r="DWZ16" s="72"/>
      <c r="DXG16" s="74"/>
      <c r="DXH16" s="72"/>
      <c r="DXO16" s="74"/>
      <c r="DXP16" s="72"/>
      <c r="DXW16" s="74"/>
      <c r="DXX16" s="72"/>
      <c r="DYE16" s="74"/>
      <c r="DYF16" s="72"/>
      <c r="DYM16" s="74"/>
      <c r="DYN16" s="72"/>
      <c r="DYU16" s="74"/>
      <c r="DYV16" s="72"/>
      <c r="DZC16" s="74"/>
      <c r="DZD16" s="72"/>
      <c r="DZK16" s="74"/>
      <c r="DZL16" s="72"/>
      <c r="DZS16" s="74"/>
      <c r="DZT16" s="72"/>
      <c r="EAA16" s="74"/>
      <c r="EAB16" s="72"/>
      <c r="EAI16" s="74"/>
      <c r="EAJ16" s="72"/>
      <c r="EAQ16" s="74"/>
      <c r="EAR16" s="72"/>
      <c r="EAY16" s="74"/>
      <c r="EAZ16" s="72"/>
      <c r="EBG16" s="74"/>
      <c r="EBH16" s="72"/>
      <c r="EBO16" s="74"/>
      <c r="EBP16" s="72"/>
      <c r="EBW16" s="74"/>
      <c r="EBX16" s="72"/>
      <c r="ECE16" s="74"/>
      <c r="ECF16" s="72"/>
      <c r="ECM16" s="74"/>
      <c r="ECN16" s="72"/>
      <c r="ECU16" s="74"/>
      <c r="ECV16" s="72"/>
      <c r="EDC16" s="74"/>
      <c r="EDD16" s="72"/>
      <c r="EDK16" s="74"/>
      <c r="EDL16" s="72"/>
      <c r="EDS16" s="74"/>
      <c r="EDT16" s="72"/>
      <c r="EEA16" s="74"/>
      <c r="EEB16" s="72"/>
      <c r="EEI16" s="74"/>
      <c r="EEJ16" s="72"/>
      <c r="EEQ16" s="74"/>
      <c r="EER16" s="72"/>
      <c r="EEY16" s="74"/>
      <c r="EEZ16" s="72"/>
      <c r="EFG16" s="74"/>
      <c r="EFH16" s="72"/>
      <c r="EFO16" s="74"/>
      <c r="EFP16" s="72"/>
      <c r="EFW16" s="74"/>
      <c r="EFX16" s="72"/>
      <c r="EGE16" s="74"/>
      <c r="EGF16" s="72"/>
      <c r="EGM16" s="74"/>
      <c r="EGN16" s="72"/>
      <c r="EGU16" s="74"/>
      <c r="EGV16" s="72"/>
      <c r="EHC16" s="74"/>
      <c r="EHD16" s="72"/>
      <c r="EHK16" s="74"/>
      <c r="EHL16" s="72"/>
      <c r="EHS16" s="74"/>
      <c r="EHT16" s="72"/>
      <c r="EIA16" s="74"/>
      <c r="EIB16" s="72"/>
      <c r="EII16" s="74"/>
      <c r="EIJ16" s="72"/>
      <c r="EIQ16" s="74"/>
      <c r="EIR16" s="72"/>
      <c r="EIY16" s="74"/>
      <c r="EIZ16" s="72"/>
      <c r="EJG16" s="74"/>
      <c r="EJH16" s="72"/>
      <c r="EJO16" s="74"/>
      <c r="EJP16" s="72"/>
      <c r="EJW16" s="74"/>
      <c r="EJX16" s="72"/>
      <c r="EKE16" s="74"/>
      <c r="EKF16" s="72"/>
      <c r="EKM16" s="74"/>
      <c r="EKN16" s="72"/>
      <c r="EKU16" s="74"/>
      <c r="EKV16" s="72"/>
      <c r="ELC16" s="74"/>
      <c r="ELD16" s="72"/>
      <c r="ELK16" s="74"/>
      <c r="ELL16" s="72"/>
      <c r="ELS16" s="74"/>
      <c r="ELT16" s="72"/>
      <c r="EMA16" s="74"/>
      <c r="EMB16" s="72"/>
      <c r="EMI16" s="74"/>
      <c r="EMJ16" s="72"/>
      <c r="EMQ16" s="74"/>
      <c r="EMR16" s="72"/>
      <c r="EMY16" s="74"/>
      <c r="EMZ16" s="72"/>
      <c r="ENG16" s="74"/>
      <c r="ENH16" s="72"/>
      <c r="ENO16" s="74"/>
      <c r="ENP16" s="72"/>
      <c r="ENW16" s="74"/>
      <c r="ENX16" s="72"/>
      <c r="EOE16" s="74"/>
      <c r="EOF16" s="72"/>
      <c r="EOM16" s="74"/>
      <c r="EON16" s="72"/>
      <c r="EOU16" s="74"/>
      <c r="EOV16" s="72"/>
      <c r="EPC16" s="74"/>
      <c r="EPD16" s="72"/>
      <c r="EPK16" s="74"/>
      <c r="EPL16" s="72"/>
      <c r="EPS16" s="74"/>
      <c r="EPT16" s="72"/>
      <c r="EQA16" s="74"/>
      <c r="EQB16" s="72"/>
      <c r="EQI16" s="74"/>
      <c r="EQJ16" s="72"/>
      <c r="EQQ16" s="74"/>
      <c r="EQR16" s="72"/>
      <c r="EQY16" s="74"/>
      <c r="EQZ16" s="72"/>
      <c r="ERG16" s="74"/>
      <c r="ERH16" s="72"/>
      <c r="ERO16" s="74"/>
      <c r="ERP16" s="72"/>
      <c r="ERW16" s="74"/>
      <c r="ERX16" s="72"/>
      <c r="ESE16" s="74"/>
      <c r="ESF16" s="72"/>
      <c r="ESM16" s="74"/>
      <c r="ESN16" s="72"/>
      <c r="ESU16" s="74"/>
      <c r="ESV16" s="72"/>
      <c r="ETC16" s="74"/>
      <c r="ETD16" s="72"/>
      <c r="ETK16" s="74"/>
      <c r="ETL16" s="72"/>
      <c r="ETS16" s="74"/>
      <c r="ETT16" s="72"/>
      <c r="EUA16" s="74"/>
      <c r="EUB16" s="72"/>
      <c r="EUI16" s="74"/>
      <c r="EUJ16" s="72"/>
      <c r="EUQ16" s="74"/>
      <c r="EUR16" s="72"/>
      <c r="EUY16" s="74"/>
      <c r="EUZ16" s="72"/>
      <c r="EVG16" s="74"/>
      <c r="EVH16" s="72"/>
      <c r="EVO16" s="74"/>
      <c r="EVP16" s="72"/>
      <c r="EVW16" s="74"/>
      <c r="EVX16" s="72"/>
      <c r="EWE16" s="74"/>
      <c r="EWF16" s="72"/>
      <c r="EWM16" s="74"/>
      <c r="EWN16" s="72"/>
      <c r="EWU16" s="74"/>
      <c r="EWV16" s="72"/>
      <c r="EXC16" s="74"/>
      <c r="EXD16" s="72"/>
      <c r="EXK16" s="74"/>
      <c r="EXL16" s="72"/>
      <c r="EXS16" s="74"/>
      <c r="EXT16" s="72"/>
      <c r="EYA16" s="74"/>
      <c r="EYB16" s="72"/>
      <c r="EYI16" s="74"/>
      <c r="EYJ16" s="72"/>
      <c r="EYQ16" s="74"/>
      <c r="EYR16" s="72"/>
      <c r="EYY16" s="74"/>
      <c r="EYZ16" s="72"/>
      <c r="EZG16" s="74"/>
      <c r="EZH16" s="72"/>
      <c r="EZO16" s="74"/>
      <c r="EZP16" s="72"/>
      <c r="EZW16" s="74"/>
      <c r="EZX16" s="72"/>
      <c r="FAE16" s="74"/>
      <c r="FAF16" s="72"/>
      <c r="FAM16" s="74"/>
      <c r="FAN16" s="72"/>
      <c r="FAU16" s="74"/>
      <c r="FAV16" s="72"/>
      <c r="FBC16" s="74"/>
      <c r="FBD16" s="72"/>
      <c r="FBK16" s="74"/>
      <c r="FBL16" s="72"/>
      <c r="FBS16" s="74"/>
      <c r="FBT16" s="72"/>
      <c r="FCA16" s="74"/>
      <c r="FCB16" s="72"/>
      <c r="FCI16" s="74"/>
      <c r="FCJ16" s="72"/>
      <c r="FCQ16" s="74"/>
      <c r="FCR16" s="72"/>
      <c r="FCY16" s="74"/>
      <c r="FCZ16" s="72"/>
      <c r="FDG16" s="74"/>
      <c r="FDH16" s="72"/>
      <c r="FDO16" s="74"/>
      <c r="FDP16" s="72"/>
      <c r="FDW16" s="74"/>
      <c r="FDX16" s="72"/>
      <c r="FEE16" s="74"/>
      <c r="FEF16" s="72"/>
      <c r="FEM16" s="74"/>
      <c r="FEN16" s="72"/>
      <c r="FEU16" s="74"/>
      <c r="FEV16" s="72"/>
      <c r="FFC16" s="74"/>
      <c r="FFD16" s="72"/>
      <c r="FFK16" s="74"/>
      <c r="FFL16" s="72"/>
      <c r="FFS16" s="74"/>
      <c r="FFT16" s="72"/>
      <c r="FGA16" s="74"/>
      <c r="FGB16" s="72"/>
      <c r="FGI16" s="74"/>
      <c r="FGJ16" s="72"/>
      <c r="FGQ16" s="74"/>
      <c r="FGR16" s="72"/>
      <c r="FGY16" s="74"/>
      <c r="FGZ16" s="72"/>
      <c r="FHG16" s="74"/>
      <c r="FHH16" s="72"/>
      <c r="FHO16" s="74"/>
      <c r="FHP16" s="72"/>
      <c r="FHW16" s="74"/>
      <c r="FHX16" s="72"/>
      <c r="FIE16" s="74"/>
      <c r="FIF16" s="72"/>
      <c r="FIM16" s="74"/>
      <c r="FIN16" s="72"/>
      <c r="FIU16" s="74"/>
      <c r="FIV16" s="72"/>
      <c r="FJC16" s="74"/>
      <c r="FJD16" s="72"/>
      <c r="FJK16" s="74"/>
      <c r="FJL16" s="72"/>
      <c r="FJS16" s="74"/>
      <c r="FJT16" s="72"/>
      <c r="FKA16" s="74"/>
      <c r="FKB16" s="72"/>
      <c r="FKI16" s="74"/>
      <c r="FKJ16" s="72"/>
      <c r="FKQ16" s="74"/>
      <c r="FKR16" s="72"/>
      <c r="FKY16" s="74"/>
      <c r="FKZ16" s="72"/>
      <c r="FLG16" s="74"/>
      <c r="FLH16" s="72"/>
      <c r="FLO16" s="74"/>
      <c r="FLP16" s="72"/>
      <c r="FLW16" s="74"/>
      <c r="FLX16" s="72"/>
      <c r="FME16" s="74"/>
      <c r="FMF16" s="72"/>
      <c r="FMM16" s="74"/>
      <c r="FMN16" s="72"/>
      <c r="FMU16" s="74"/>
      <c r="FMV16" s="72"/>
      <c r="FNC16" s="74"/>
      <c r="FND16" s="72"/>
      <c r="FNK16" s="74"/>
      <c r="FNL16" s="72"/>
      <c r="FNS16" s="74"/>
      <c r="FNT16" s="72"/>
      <c r="FOA16" s="74"/>
      <c r="FOB16" s="72"/>
      <c r="FOI16" s="74"/>
      <c r="FOJ16" s="72"/>
      <c r="FOQ16" s="74"/>
      <c r="FOR16" s="72"/>
      <c r="FOY16" s="74"/>
      <c r="FOZ16" s="72"/>
      <c r="FPG16" s="74"/>
      <c r="FPH16" s="72"/>
      <c r="FPO16" s="74"/>
      <c r="FPP16" s="72"/>
      <c r="FPW16" s="74"/>
      <c r="FPX16" s="72"/>
      <c r="FQE16" s="74"/>
      <c r="FQF16" s="72"/>
      <c r="FQM16" s="74"/>
      <c r="FQN16" s="72"/>
      <c r="FQU16" s="74"/>
      <c r="FQV16" s="72"/>
      <c r="FRC16" s="74"/>
      <c r="FRD16" s="72"/>
      <c r="FRK16" s="74"/>
      <c r="FRL16" s="72"/>
      <c r="FRS16" s="74"/>
      <c r="FRT16" s="72"/>
      <c r="FSA16" s="74"/>
      <c r="FSB16" s="72"/>
      <c r="FSI16" s="74"/>
      <c r="FSJ16" s="72"/>
      <c r="FSQ16" s="74"/>
      <c r="FSR16" s="72"/>
      <c r="FSY16" s="74"/>
      <c r="FSZ16" s="72"/>
      <c r="FTG16" s="74"/>
      <c r="FTH16" s="72"/>
      <c r="FTO16" s="74"/>
      <c r="FTP16" s="72"/>
      <c r="FTW16" s="74"/>
      <c r="FTX16" s="72"/>
      <c r="FUE16" s="74"/>
      <c r="FUF16" s="72"/>
      <c r="FUM16" s="74"/>
      <c r="FUN16" s="72"/>
      <c r="FUU16" s="74"/>
      <c r="FUV16" s="72"/>
      <c r="FVC16" s="74"/>
      <c r="FVD16" s="72"/>
      <c r="FVK16" s="74"/>
      <c r="FVL16" s="72"/>
      <c r="FVS16" s="74"/>
      <c r="FVT16" s="72"/>
      <c r="FWA16" s="74"/>
      <c r="FWB16" s="72"/>
      <c r="FWI16" s="74"/>
      <c r="FWJ16" s="72"/>
      <c r="FWQ16" s="74"/>
      <c r="FWR16" s="72"/>
      <c r="FWY16" s="74"/>
      <c r="FWZ16" s="72"/>
      <c r="FXG16" s="74"/>
      <c r="FXH16" s="72"/>
      <c r="FXO16" s="74"/>
      <c r="FXP16" s="72"/>
      <c r="FXW16" s="74"/>
      <c r="FXX16" s="72"/>
      <c r="FYE16" s="74"/>
      <c r="FYF16" s="72"/>
      <c r="FYM16" s="74"/>
      <c r="FYN16" s="72"/>
      <c r="FYU16" s="74"/>
      <c r="FYV16" s="72"/>
      <c r="FZC16" s="74"/>
      <c r="FZD16" s="72"/>
      <c r="FZK16" s="74"/>
      <c r="FZL16" s="72"/>
      <c r="FZS16" s="74"/>
      <c r="FZT16" s="72"/>
      <c r="GAA16" s="74"/>
      <c r="GAB16" s="72"/>
      <c r="GAI16" s="74"/>
      <c r="GAJ16" s="72"/>
      <c r="GAQ16" s="74"/>
      <c r="GAR16" s="72"/>
      <c r="GAY16" s="74"/>
      <c r="GAZ16" s="72"/>
      <c r="GBG16" s="74"/>
      <c r="GBH16" s="72"/>
      <c r="GBO16" s="74"/>
      <c r="GBP16" s="72"/>
      <c r="GBW16" s="74"/>
      <c r="GBX16" s="72"/>
      <c r="GCE16" s="74"/>
      <c r="GCF16" s="72"/>
      <c r="GCM16" s="74"/>
      <c r="GCN16" s="72"/>
      <c r="GCU16" s="74"/>
      <c r="GCV16" s="72"/>
      <c r="GDC16" s="74"/>
      <c r="GDD16" s="72"/>
      <c r="GDK16" s="74"/>
      <c r="GDL16" s="72"/>
      <c r="GDS16" s="74"/>
      <c r="GDT16" s="72"/>
      <c r="GEA16" s="74"/>
      <c r="GEB16" s="72"/>
      <c r="GEI16" s="74"/>
      <c r="GEJ16" s="72"/>
      <c r="GEQ16" s="74"/>
      <c r="GER16" s="72"/>
      <c r="GEY16" s="74"/>
      <c r="GEZ16" s="72"/>
      <c r="GFG16" s="74"/>
      <c r="GFH16" s="72"/>
      <c r="GFO16" s="74"/>
      <c r="GFP16" s="72"/>
      <c r="GFW16" s="74"/>
      <c r="GFX16" s="72"/>
      <c r="GGE16" s="74"/>
      <c r="GGF16" s="72"/>
      <c r="GGM16" s="74"/>
      <c r="GGN16" s="72"/>
      <c r="GGU16" s="74"/>
      <c r="GGV16" s="72"/>
      <c r="GHC16" s="74"/>
      <c r="GHD16" s="72"/>
      <c r="GHK16" s="74"/>
      <c r="GHL16" s="72"/>
      <c r="GHS16" s="74"/>
      <c r="GHT16" s="72"/>
      <c r="GIA16" s="74"/>
      <c r="GIB16" s="72"/>
      <c r="GII16" s="74"/>
      <c r="GIJ16" s="72"/>
      <c r="GIQ16" s="74"/>
      <c r="GIR16" s="72"/>
      <c r="GIY16" s="74"/>
      <c r="GIZ16" s="72"/>
      <c r="GJG16" s="74"/>
      <c r="GJH16" s="72"/>
      <c r="GJO16" s="74"/>
      <c r="GJP16" s="72"/>
      <c r="GJW16" s="74"/>
      <c r="GJX16" s="72"/>
      <c r="GKE16" s="74"/>
      <c r="GKF16" s="72"/>
      <c r="GKM16" s="74"/>
      <c r="GKN16" s="72"/>
      <c r="GKU16" s="74"/>
      <c r="GKV16" s="72"/>
      <c r="GLC16" s="74"/>
      <c r="GLD16" s="72"/>
      <c r="GLK16" s="74"/>
      <c r="GLL16" s="72"/>
      <c r="GLS16" s="74"/>
      <c r="GLT16" s="72"/>
      <c r="GMA16" s="74"/>
      <c r="GMB16" s="72"/>
      <c r="GMI16" s="74"/>
      <c r="GMJ16" s="72"/>
      <c r="GMQ16" s="74"/>
      <c r="GMR16" s="72"/>
      <c r="GMY16" s="74"/>
      <c r="GMZ16" s="72"/>
      <c r="GNG16" s="74"/>
      <c r="GNH16" s="72"/>
      <c r="GNO16" s="74"/>
      <c r="GNP16" s="72"/>
      <c r="GNW16" s="74"/>
      <c r="GNX16" s="72"/>
      <c r="GOE16" s="74"/>
      <c r="GOF16" s="72"/>
      <c r="GOM16" s="74"/>
      <c r="GON16" s="72"/>
      <c r="GOU16" s="74"/>
      <c r="GOV16" s="72"/>
      <c r="GPC16" s="74"/>
      <c r="GPD16" s="72"/>
      <c r="GPK16" s="74"/>
      <c r="GPL16" s="72"/>
      <c r="GPS16" s="74"/>
      <c r="GPT16" s="72"/>
      <c r="GQA16" s="74"/>
      <c r="GQB16" s="72"/>
      <c r="GQI16" s="74"/>
      <c r="GQJ16" s="72"/>
      <c r="GQQ16" s="74"/>
      <c r="GQR16" s="72"/>
      <c r="GQY16" s="74"/>
      <c r="GQZ16" s="72"/>
      <c r="GRG16" s="74"/>
      <c r="GRH16" s="72"/>
      <c r="GRO16" s="74"/>
      <c r="GRP16" s="72"/>
      <c r="GRW16" s="74"/>
      <c r="GRX16" s="72"/>
      <c r="GSE16" s="74"/>
      <c r="GSF16" s="72"/>
      <c r="GSM16" s="74"/>
      <c r="GSN16" s="72"/>
      <c r="GSU16" s="74"/>
      <c r="GSV16" s="72"/>
      <c r="GTC16" s="74"/>
      <c r="GTD16" s="72"/>
      <c r="GTK16" s="74"/>
      <c r="GTL16" s="72"/>
      <c r="GTS16" s="74"/>
      <c r="GTT16" s="72"/>
      <c r="GUA16" s="74"/>
      <c r="GUB16" s="72"/>
      <c r="GUI16" s="74"/>
      <c r="GUJ16" s="72"/>
      <c r="GUQ16" s="74"/>
      <c r="GUR16" s="72"/>
      <c r="GUY16" s="74"/>
      <c r="GUZ16" s="72"/>
      <c r="GVG16" s="74"/>
      <c r="GVH16" s="72"/>
      <c r="GVO16" s="74"/>
      <c r="GVP16" s="72"/>
      <c r="GVW16" s="74"/>
      <c r="GVX16" s="72"/>
      <c r="GWE16" s="74"/>
      <c r="GWF16" s="72"/>
      <c r="GWM16" s="74"/>
      <c r="GWN16" s="72"/>
      <c r="GWU16" s="74"/>
      <c r="GWV16" s="72"/>
      <c r="GXC16" s="74"/>
      <c r="GXD16" s="72"/>
      <c r="GXK16" s="74"/>
      <c r="GXL16" s="72"/>
      <c r="GXS16" s="74"/>
      <c r="GXT16" s="72"/>
      <c r="GYA16" s="74"/>
      <c r="GYB16" s="72"/>
      <c r="GYI16" s="74"/>
      <c r="GYJ16" s="72"/>
      <c r="GYQ16" s="74"/>
      <c r="GYR16" s="72"/>
      <c r="GYY16" s="74"/>
      <c r="GYZ16" s="72"/>
      <c r="GZG16" s="74"/>
      <c r="GZH16" s="72"/>
      <c r="GZO16" s="74"/>
      <c r="GZP16" s="72"/>
      <c r="GZW16" s="74"/>
      <c r="GZX16" s="72"/>
      <c r="HAE16" s="74"/>
      <c r="HAF16" s="72"/>
      <c r="HAM16" s="74"/>
      <c r="HAN16" s="72"/>
      <c r="HAU16" s="74"/>
      <c r="HAV16" s="72"/>
      <c r="HBC16" s="74"/>
      <c r="HBD16" s="72"/>
      <c r="HBK16" s="74"/>
      <c r="HBL16" s="72"/>
      <c r="HBS16" s="74"/>
      <c r="HBT16" s="72"/>
      <c r="HCA16" s="74"/>
      <c r="HCB16" s="72"/>
      <c r="HCI16" s="74"/>
      <c r="HCJ16" s="72"/>
      <c r="HCQ16" s="74"/>
      <c r="HCR16" s="72"/>
      <c r="HCY16" s="74"/>
      <c r="HCZ16" s="72"/>
      <c r="HDG16" s="74"/>
      <c r="HDH16" s="72"/>
      <c r="HDO16" s="74"/>
      <c r="HDP16" s="72"/>
      <c r="HDW16" s="74"/>
      <c r="HDX16" s="72"/>
      <c r="HEE16" s="74"/>
      <c r="HEF16" s="72"/>
      <c r="HEM16" s="74"/>
      <c r="HEN16" s="72"/>
      <c r="HEU16" s="74"/>
      <c r="HEV16" s="72"/>
      <c r="HFC16" s="74"/>
      <c r="HFD16" s="72"/>
      <c r="HFK16" s="74"/>
      <c r="HFL16" s="72"/>
      <c r="HFS16" s="74"/>
      <c r="HFT16" s="72"/>
      <c r="HGA16" s="74"/>
      <c r="HGB16" s="72"/>
      <c r="HGI16" s="74"/>
      <c r="HGJ16" s="72"/>
      <c r="HGQ16" s="74"/>
      <c r="HGR16" s="72"/>
      <c r="HGY16" s="74"/>
      <c r="HGZ16" s="72"/>
      <c r="HHG16" s="74"/>
      <c r="HHH16" s="72"/>
      <c r="HHO16" s="74"/>
      <c r="HHP16" s="72"/>
      <c r="HHW16" s="74"/>
      <c r="HHX16" s="72"/>
      <c r="HIE16" s="74"/>
      <c r="HIF16" s="72"/>
      <c r="HIM16" s="74"/>
      <c r="HIN16" s="72"/>
      <c r="HIU16" s="74"/>
      <c r="HIV16" s="72"/>
      <c r="HJC16" s="74"/>
      <c r="HJD16" s="72"/>
      <c r="HJK16" s="74"/>
      <c r="HJL16" s="72"/>
      <c r="HJS16" s="74"/>
      <c r="HJT16" s="72"/>
      <c r="HKA16" s="74"/>
      <c r="HKB16" s="72"/>
      <c r="HKI16" s="74"/>
      <c r="HKJ16" s="72"/>
      <c r="HKQ16" s="74"/>
      <c r="HKR16" s="72"/>
      <c r="HKY16" s="74"/>
      <c r="HKZ16" s="72"/>
      <c r="HLG16" s="74"/>
      <c r="HLH16" s="72"/>
      <c r="HLO16" s="74"/>
      <c r="HLP16" s="72"/>
      <c r="HLW16" s="74"/>
      <c r="HLX16" s="72"/>
      <c r="HME16" s="74"/>
      <c r="HMF16" s="72"/>
      <c r="HMM16" s="74"/>
      <c r="HMN16" s="72"/>
      <c r="HMU16" s="74"/>
      <c r="HMV16" s="72"/>
      <c r="HNC16" s="74"/>
      <c r="HND16" s="72"/>
      <c r="HNK16" s="74"/>
      <c r="HNL16" s="72"/>
      <c r="HNS16" s="74"/>
      <c r="HNT16" s="72"/>
      <c r="HOA16" s="74"/>
      <c r="HOB16" s="72"/>
      <c r="HOI16" s="74"/>
      <c r="HOJ16" s="72"/>
      <c r="HOQ16" s="74"/>
      <c r="HOR16" s="72"/>
      <c r="HOY16" s="74"/>
      <c r="HOZ16" s="72"/>
      <c r="HPG16" s="74"/>
      <c r="HPH16" s="72"/>
      <c r="HPO16" s="74"/>
      <c r="HPP16" s="72"/>
      <c r="HPW16" s="74"/>
      <c r="HPX16" s="72"/>
      <c r="HQE16" s="74"/>
      <c r="HQF16" s="72"/>
      <c r="HQM16" s="74"/>
      <c r="HQN16" s="72"/>
      <c r="HQU16" s="74"/>
      <c r="HQV16" s="72"/>
      <c r="HRC16" s="74"/>
      <c r="HRD16" s="72"/>
      <c r="HRK16" s="74"/>
      <c r="HRL16" s="72"/>
      <c r="HRS16" s="74"/>
      <c r="HRT16" s="72"/>
      <c r="HSA16" s="74"/>
      <c r="HSB16" s="72"/>
      <c r="HSI16" s="74"/>
      <c r="HSJ16" s="72"/>
      <c r="HSQ16" s="74"/>
      <c r="HSR16" s="72"/>
      <c r="HSY16" s="74"/>
      <c r="HSZ16" s="72"/>
      <c r="HTG16" s="74"/>
      <c r="HTH16" s="72"/>
      <c r="HTO16" s="74"/>
      <c r="HTP16" s="72"/>
      <c r="HTW16" s="74"/>
      <c r="HTX16" s="72"/>
      <c r="HUE16" s="74"/>
      <c r="HUF16" s="72"/>
      <c r="HUM16" s="74"/>
      <c r="HUN16" s="72"/>
      <c r="HUU16" s="74"/>
      <c r="HUV16" s="72"/>
      <c r="HVC16" s="74"/>
      <c r="HVD16" s="72"/>
      <c r="HVK16" s="74"/>
      <c r="HVL16" s="72"/>
      <c r="HVS16" s="74"/>
      <c r="HVT16" s="72"/>
      <c r="HWA16" s="74"/>
      <c r="HWB16" s="72"/>
      <c r="HWI16" s="74"/>
      <c r="HWJ16" s="72"/>
      <c r="HWQ16" s="74"/>
      <c r="HWR16" s="72"/>
      <c r="HWY16" s="74"/>
      <c r="HWZ16" s="72"/>
      <c r="HXG16" s="74"/>
      <c r="HXH16" s="72"/>
      <c r="HXO16" s="74"/>
      <c r="HXP16" s="72"/>
      <c r="HXW16" s="74"/>
      <c r="HXX16" s="72"/>
      <c r="HYE16" s="74"/>
      <c r="HYF16" s="72"/>
      <c r="HYM16" s="74"/>
      <c r="HYN16" s="72"/>
      <c r="HYU16" s="74"/>
      <c r="HYV16" s="72"/>
      <c r="HZC16" s="74"/>
      <c r="HZD16" s="72"/>
      <c r="HZK16" s="74"/>
      <c r="HZL16" s="72"/>
      <c r="HZS16" s="74"/>
      <c r="HZT16" s="72"/>
      <c r="IAA16" s="74"/>
      <c r="IAB16" s="72"/>
      <c r="IAI16" s="74"/>
      <c r="IAJ16" s="72"/>
      <c r="IAQ16" s="74"/>
      <c r="IAR16" s="72"/>
      <c r="IAY16" s="74"/>
      <c r="IAZ16" s="72"/>
      <c r="IBG16" s="74"/>
      <c r="IBH16" s="72"/>
      <c r="IBO16" s="74"/>
      <c r="IBP16" s="72"/>
      <c r="IBW16" s="74"/>
      <c r="IBX16" s="72"/>
      <c r="ICE16" s="74"/>
      <c r="ICF16" s="72"/>
      <c r="ICM16" s="74"/>
      <c r="ICN16" s="72"/>
      <c r="ICU16" s="74"/>
      <c r="ICV16" s="72"/>
      <c r="IDC16" s="74"/>
      <c r="IDD16" s="72"/>
      <c r="IDK16" s="74"/>
      <c r="IDL16" s="72"/>
      <c r="IDS16" s="74"/>
      <c r="IDT16" s="72"/>
      <c r="IEA16" s="74"/>
      <c r="IEB16" s="72"/>
      <c r="IEI16" s="74"/>
      <c r="IEJ16" s="72"/>
      <c r="IEQ16" s="74"/>
      <c r="IER16" s="72"/>
      <c r="IEY16" s="74"/>
      <c r="IEZ16" s="72"/>
      <c r="IFG16" s="74"/>
      <c r="IFH16" s="72"/>
      <c r="IFO16" s="74"/>
      <c r="IFP16" s="72"/>
      <c r="IFW16" s="74"/>
      <c r="IFX16" s="72"/>
      <c r="IGE16" s="74"/>
      <c r="IGF16" s="72"/>
      <c r="IGM16" s="74"/>
      <c r="IGN16" s="72"/>
      <c r="IGU16" s="74"/>
      <c r="IGV16" s="72"/>
      <c r="IHC16" s="74"/>
      <c r="IHD16" s="72"/>
      <c r="IHK16" s="74"/>
      <c r="IHL16" s="72"/>
      <c r="IHS16" s="74"/>
      <c r="IHT16" s="72"/>
      <c r="IIA16" s="74"/>
      <c r="IIB16" s="72"/>
      <c r="III16" s="74"/>
      <c r="IIJ16" s="72"/>
      <c r="IIQ16" s="74"/>
      <c r="IIR16" s="72"/>
      <c r="IIY16" s="74"/>
      <c r="IIZ16" s="72"/>
      <c r="IJG16" s="74"/>
      <c r="IJH16" s="72"/>
      <c r="IJO16" s="74"/>
      <c r="IJP16" s="72"/>
      <c r="IJW16" s="74"/>
      <c r="IJX16" s="72"/>
      <c r="IKE16" s="74"/>
      <c r="IKF16" s="72"/>
      <c r="IKM16" s="74"/>
      <c r="IKN16" s="72"/>
      <c r="IKU16" s="74"/>
      <c r="IKV16" s="72"/>
      <c r="ILC16" s="74"/>
      <c r="ILD16" s="72"/>
      <c r="ILK16" s="74"/>
      <c r="ILL16" s="72"/>
      <c r="ILS16" s="74"/>
      <c r="ILT16" s="72"/>
      <c r="IMA16" s="74"/>
      <c r="IMB16" s="72"/>
      <c r="IMI16" s="74"/>
      <c r="IMJ16" s="72"/>
      <c r="IMQ16" s="74"/>
      <c r="IMR16" s="72"/>
      <c r="IMY16" s="74"/>
      <c r="IMZ16" s="72"/>
      <c r="ING16" s="74"/>
      <c r="INH16" s="72"/>
      <c r="INO16" s="74"/>
      <c r="INP16" s="72"/>
      <c r="INW16" s="74"/>
      <c r="INX16" s="72"/>
      <c r="IOE16" s="74"/>
      <c r="IOF16" s="72"/>
      <c r="IOM16" s="74"/>
      <c r="ION16" s="72"/>
      <c r="IOU16" s="74"/>
      <c r="IOV16" s="72"/>
      <c r="IPC16" s="74"/>
      <c r="IPD16" s="72"/>
      <c r="IPK16" s="74"/>
      <c r="IPL16" s="72"/>
      <c r="IPS16" s="74"/>
      <c r="IPT16" s="72"/>
      <c r="IQA16" s="74"/>
      <c r="IQB16" s="72"/>
      <c r="IQI16" s="74"/>
      <c r="IQJ16" s="72"/>
      <c r="IQQ16" s="74"/>
      <c r="IQR16" s="72"/>
      <c r="IQY16" s="74"/>
      <c r="IQZ16" s="72"/>
      <c r="IRG16" s="74"/>
      <c r="IRH16" s="72"/>
      <c r="IRO16" s="74"/>
      <c r="IRP16" s="72"/>
      <c r="IRW16" s="74"/>
      <c r="IRX16" s="72"/>
      <c r="ISE16" s="74"/>
      <c r="ISF16" s="72"/>
      <c r="ISM16" s="74"/>
      <c r="ISN16" s="72"/>
      <c r="ISU16" s="74"/>
      <c r="ISV16" s="72"/>
      <c r="ITC16" s="74"/>
      <c r="ITD16" s="72"/>
      <c r="ITK16" s="74"/>
      <c r="ITL16" s="72"/>
      <c r="ITS16" s="74"/>
      <c r="ITT16" s="72"/>
      <c r="IUA16" s="74"/>
      <c r="IUB16" s="72"/>
      <c r="IUI16" s="74"/>
      <c r="IUJ16" s="72"/>
      <c r="IUQ16" s="74"/>
      <c r="IUR16" s="72"/>
      <c r="IUY16" s="74"/>
      <c r="IUZ16" s="72"/>
      <c r="IVG16" s="74"/>
      <c r="IVH16" s="72"/>
      <c r="IVO16" s="74"/>
      <c r="IVP16" s="72"/>
      <c r="IVW16" s="74"/>
      <c r="IVX16" s="72"/>
      <c r="IWE16" s="74"/>
      <c r="IWF16" s="72"/>
      <c r="IWM16" s="74"/>
      <c r="IWN16" s="72"/>
      <c r="IWU16" s="74"/>
      <c r="IWV16" s="72"/>
      <c r="IXC16" s="74"/>
      <c r="IXD16" s="72"/>
      <c r="IXK16" s="74"/>
      <c r="IXL16" s="72"/>
      <c r="IXS16" s="74"/>
      <c r="IXT16" s="72"/>
      <c r="IYA16" s="74"/>
      <c r="IYB16" s="72"/>
      <c r="IYI16" s="74"/>
      <c r="IYJ16" s="72"/>
      <c r="IYQ16" s="74"/>
      <c r="IYR16" s="72"/>
      <c r="IYY16" s="74"/>
      <c r="IYZ16" s="72"/>
      <c r="IZG16" s="74"/>
      <c r="IZH16" s="72"/>
      <c r="IZO16" s="74"/>
      <c r="IZP16" s="72"/>
      <c r="IZW16" s="74"/>
      <c r="IZX16" s="72"/>
      <c r="JAE16" s="74"/>
      <c r="JAF16" s="72"/>
      <c r="JAM16" s="74"/>
      <c r="JAN16" s="72"/>
      <c r="JAU16" s="74"/>
      <c r="JAV16" s="72"/>
      <c r="JBC16" s="74"/>
      <c r="JBD16" s="72"/>
      <c r="JBK16" s="74"/>
      <c r="JBL16" s="72"/>
      <c r="JBS16" s="74"/>
      <c r="JBT16" s="72"/>
      <c r="JCA16" s="74"/>
      <c r="JCB16" s="72"/>
      <c r="JCI16" s="74"/>
      <c r="JCJ16" s="72"/>
      <c r="JCQ16" s="74"/>
      <c r="JCR16" s="72"/>
      <c r="JCY16" s="74"/>
      <c r="JCZ16" s="72"/>
      <c r="JDG16" s="74"/>
      <c r="JDH16" s="72"/>
      <c r="JDO16" s="74"/>
      <c r="JDP16" s="72"/>
      <c r="JDW16" s="74"/>
      <c r="JDX16" s="72"/>
      <c r="JEE16" s="74"/>
      <c r="JEF16" s="72"/>
      <c r="JEM16" s="74"/>
      <c r="JEN16" s="72"/>
      <c r="JEU16" s="74"/>
      <c r="JEV16" s="72"/>
      <c r="JFC16" s="74"/>
      <c r="JFD16" s="72"/>
      <c r="JFK16" s="74"/>
      <c r="JFL16" s="72"/>
      <c r="JFS16" s="74"/>
      <c r="JFT16" s="72"/>
      <c r="JGA16" s="74"/>
      <c r="JGB16" s="72"/>
      <c r="JGI16" s="74"/>
      <c r="JGJ16" s="72"/>
      <c r="JGQ16" s="74"/>
      <c r="JGR16" s="72"/>
      <c r="JGY16" s="74"/>
      <c r="JGZ16" s="72"/>
      <c r="JHG16" s="74"/>
      <c r="JHH16" s="72"/>
      <c r="JHO16" s="74"/>
      <c r="JHP16" s="72"/>
      <c r="JHW16" s="74"/>
      <c r="JHX16" s="72"/>
      <c r="JIE16" s="74"/>
      <c r="JIF16" s="72"/>
      <c r="JIM16" s="74"/>
      <c r="JIN16" s="72"/>
      <c r="JIU16" s="74"/>
      <c r="JIV16" s="72"/>
      <c r="JJC16" s="74"/>
      <c r="JJD16" s="72"/>
      <c r="JJK16" s="74"/>
      <c r="JJL16" s="72"/>
      <c r="JJS16" s="74"/>
      <c r="JJT16" s="72"/>
      <c r="JKA16" s="74"/>
      <c r="JKB16" s="72"/>
      <c r="JKI16" s="74"/>
      <c r="JKJ16" s="72"/>
      <c r="JKQ16" s="74"/>
      <c r="JKR16" s="72"/>
      <c r="JKY16" s="74"/>
      <c r="JKZ16" s="72"/>
      <c r="JLG16" s="74"/>
      <c r="JLH16" s="72"/>
      <c r="JLO16" s="74"/>
      <c r="JLP16" s="72"/>
      <c r="JLW16" s="74"/>
      <c r="JLX16" s="72"/>
      <c r="JME16" s="74"/>
      <c r="JMF16" s="72"/>
      <c r="JMM16" s="74"/>
      <c r="JMN16" s="72"/>
      <c r="JMU16" s="74"/>
      <c r="JMV16" s="72"/>
      <c r="JNC16" s="74"/>
      <c r="JND16" s="72"/>
      <c r="JNK16" s="74"/>
      <c r="JNL16" s="72"/>
      <c r="JNS16" s="74"/>
      <c r="JNT16" s="72"/>
      <c r="JOA16" s="74"/>
      <c r="JOB16" s="72"/>
      <c r="JOI16" s="74"/>
      <c r="JOJ16" s="72"/>
      <c r="JOQ16" s="74"/>
      <c r="JOR16" s="72"/>
      <c r="JOY16" s="74"/>
      <c r="JOZ16" s="72"/>
      <c r="JPG16" s="74"/>
      <c r="JPH16" s="72"/>
      <c r="JPO16" s="74"/>
      <c r="JPP16" s="72"/>
      <c r="JPW16" s="74"/>
      <c r="JPX16" s="72"/>
      <c r="JQE16" s="74"/>
      <c r="JQF16" s="72"/>
      <c r="JQM16" s="74"/>
      <c r="JQN16" s="72"/>
      <c r="JQU16" s="74"/>
      <c r="JQV16" s="72"/>
      <c r="JRC16" s="74"/>
      <c r="JRD16" s="72"/>
      <c r="JRK16" s="74"/>
      <c r="JRL16" s="72"/>
      <c r="JRS16" s="74"/>
      <c r="JRT16" s="72"/>
      <c r="JSA16" s="74"/>
      <c r="JSB16" s="72"/>
      <c r="JSI16" s="74"/>
      <c r="JSJ16" s="72"/>
      <c r="JSQ16" s="74"/>
      <c r="JSR16" s="72"/>
      <c r="JSY16" s="74"/>
      <c r="JSZ16" s="72"/>
      <c r="JTG16" s="74"/>
      <c r="JTH16" s="72"/>
      <c r="JTO16" s="74"/>
      <c r="JTP16" s="72"/>
      <c r="JTW16" s="74"/>
      <c r="JTX16" s="72"/>
      <c r="JUE16" s="74"/>
      <c r="JUF16" s="72"/>
      <c r="JUM16" s="74"/>
      <c r="JUN16" s="72"/>
      <c r="JUU16" s="74"/>
      <c r="JUV16" s="72"/>
      <c r="JVC16" s="74"/>
      <c r="JVD16" s="72"/>
      <c r="JVK16" s="74"/>
      <c r="JVL16" s="72"/>
      <c r="JVS16" s="74"/>
      <c r="JVT16" s="72"/>
      <c r="JWA16" s="74"/>
      <c r="JWB16" s="72"/>
      <c r="JWI16" s="74"/>
      <c r="JWJ16" s="72"/>
      <c r="JWQ16" s="74"/>
      <c r="JWR16" s="72"/>
      <c r="JWY16" s="74"/>
      <c r="JWZ16" s="72"/>
      <c r="JXG16" s="74"/>
      <c r="JXH16" s="72"/>
      <c r="JXO16" s="74"/>
      <c r="JXP16" s="72"/>
      <c r="JXW16" s="74"/>
      <c r="JXX16" s="72"/>
      <c r="JYE16" s="74"/>
      <c r="JYF16" s="72"/>
      <c r="JYM16" s="74"/>
      <c r="JYN16" s="72"/>
      <c r="JYU16" s="74"/>
      <c r="JYV16" s="72"/>
      <c r="JZC16" s="74"/>
      <c r="JZD16" s="72"/>
      <c r="JZK16" s="74"/>
      <c r="JZL16" s="72"/>
      <c r="JZS16" s="74"/>
      <c r="JZT16" s="72"/>
      <c r="KAA16" s="74"/>
      <c r="KAB16" s="72"/>
      <c r="KAI16" s="74"/>
      <c r="KAJ16" s="72"/>
      <c r="KAQ16" s="74"/>
      <c r="KAR16" s="72"/>
      <c r="KAY16" s="74"/>
      <c r="KAZ16" s="72"/>
      <c r="KBG16" s="74"/>
      <c r="KBH16" s="72"/>
      <c r="KBO16" s="74"/>
      <c r="KBP16" s="72"/>
      <c r="KBW16" s="74"/>
      <c r="KBX16" s="72"/>
      <c r="KCE16" s="74"/>
      <c r="KCF16" s="72"/>
      <c r="KCM16" s="74"/>
      <c r="KCN16" s="72"/>
      <c r="KCU16" s="74"/>
      <c r="KCV16" s="72"/>
      <c r="KDC16" s="74"/>
      <c r="KDD16" s="72"/>
      <c r="KDK16" s="74"/>
      <c r="KDL16" s="72"/>
      <c r="KDS16" s="74"/>
      <c r="KDT16" s="72"/>
      <c r="KEA16" s="74"/>
      <c r="KEB16" s="72"/>
      <c r="KEI16" s="74"/>
      <c r="KEJ16" s="72"/>
      <c r="KEQ16" s="74"/>
      <c r="KER16" s="72"/>
      <c r="KEY16" s="74"/>
      <c r="KEZ16" s="72"/>
      <c r="KFG16" s="74"/>
      <c r="KFH16" s="72"/>
      <c r="KFO16" s="74"/>
      <c r="KFP16" s="72"/>
      <c r="KFW16" s="74"/>
      <c r="KFX16" s="72"/>
      <c r="KGE16" s="74"/>
      <c r="KGF16" s="72"/>
      <c r="KGM16" s="74"/>
      <c r="KGN16" s="72"/>
      <c r="KGU16" s="74"/>
      <c r="KGV16" s="72"/>
      <c r="KHC16" s="74"/>
      <c r="KHD16" s="72"/>
      <c r="KHK16" s="74"/>
      <c r="KHL16" s="72"/>
      <c r="KHS16" s="74"/>
      <c r="KHT16" s="72"/>
      <c r="KIA16" s="74"/>
      <c r="KIB16" s="72"/>
      <c r="KII16" s="74"/>
      <c r="KIJ16" s="72"/>
      <c r="KIQ16" s="74"/>
      <c r="KIR16" s="72"/>
      <c r="KIY16" s="74"/>
      <c r="KIZ16" s="72"/>
      <c r="KJG16" s="74"/>
      <c r="KJH16" s="72"/>
      <c r="KJO16" s="74"/>
      <c r="KJP16" s="72"/>
      <c r="KJW16" s="74"/>
      <c r="KJX16" s="72"/>
      <c r="KKE16" s="74"/>
      <c r="KKF16" s="72"/>
      <c r="KKM16" s="74"/>
      <c r="KKN16" s="72"/>
      <c r="KKU16" s="74"/>
      <c r="KKV16" s="72"/>
      <c r="KLC16" s="74"/>
      <c r="KLD16" s="72"/>
      <c r="KLK16" s="74"/>
      <c r="KLL16" s="72"/>
      <c r="KLS16" s="74"/>
      <c r="KLT16" s="72"/>
      <c r="KMA16" s="74"/>
      <c r="KMB16" s="72"/>
      <c r="KMI16" s="74"/>
      <c r="KMJ16" s="72"/>
      <c r="KMQ16" s="74"/>
      <c r="KMR16" s="72"/>
      <c r="KMY16" s="74"/>
      <c r="KMZ16" s="72"/>
      <c r="KNG16" s="74"/>
      <c r="KNH16" s="72"/>
      <c r="KNO16" s="74"/>
      <c r="KNP16" s="72"/>
      <c r="KNW16" s="74"/>
      <c r="KNX16" s="72"/>
      <c r="KOE16" s="74"/>
      <c r="KOF16" s="72"/>
      <c r="KOM16" s="74"/>
      <c r="KON16" s="72"/>
      <c r="KOU16" s="74"/>
      <c r="KOV16" s="72"/>
      <c r="KPC16" s="74"/>
      <c r="KPD16" s="72"/>
      <c r="KPK16" s="74"/>
      <c r="KPL16" s="72"/>
      <c r="KPS16" s="74"/>
      <c r="KPT16" s="72"/>
      <c r="KQA16" s="74"/>
      <c r="KQB16" s="72"/>
      <c r="KQI16" s="74"/>
      <c r="KQJ16" s="72"/>
      <c r="KQQ16" s="74"/>
      <c r="KQR16" s="72"/>
      <c r="KQY16" s="74"/>
      <c r="KQZ16" s="72"/>
      <c r="KRG16" s="74"/>
      <c r="KRH16" s="72"/>
      <c r="KRO16" s="74"/>
      <c r="KRP16" s="72"/>
      <c r="KRW16" s="74"/>
      <c r="KRX16" s="72"/>
      <c r="KSE16" s="74"/>
      <c r="KSF16" s="72"/>
      <c r="KSM16" s="74"/>
      <c r="KSN16" s="72"/>
      <c r="KSU16" s="74"/>
      <c r="KSV16" s="72"/>
      <c r="KTC16" s="74"/>
      <c r="KTD16" s="72"/>
      <c r="KTK16" s="74"/>
      <c r="KTL16" s="72"/>
      <c r="KTS16" s="74"/>
      <c r="KTT16" s="72"/>
      <c r="KUA16" s="74"/>
      <c r="KUB16" s="72"/>
      <c r="KUI16" s="74"/>
      <c r="KUJ16" s="72"/>
      <c r="KUQ16" s="74"/>
      <c r="KUR16" s="72"/>
      <c r="KUY16" s="74"/>
      <c r="KUZ16" s="72"/>
      <c r="KVG16" s="74"/>
      <c r="KVH16" s="72"/>
      <c r="KVO16" s="74"/>
      <c r="KVP16" s="72"/>
      <c r="KVW16" s="74"/>
      <c r="KVX16" s="72"/>
      <c r="KWE16" s="74"/>
      <c r="KWF16" s="72"/>
      <c r="KWM16" s="74"/>
      <c r="KWN16" s="72"/>
      <c r="KWU16" s="74"/>
      <c r="KWV16" s="72"/>
      <c r="KXC16" s="74"/>
      <c r="KXD16" s="72"/>
      <c r="KXK16" s="74"/>
      <c r="KXL16" s="72"/>
      <c r="KXS16" s="74"/>
      <c r="KXT16" s="72"/>
      <c r="KYA16" s="74"/>
      <c r="KYB16" s="72"/>
      <c r="KYI16" s="74"/>
      <c r="KYJ16" s="72"/>
      <c r="KYQ16" s="74"/>
      <c r="KYR16" s="72"/>
      <c r="KYY16" s="74"/>
      <c r="KYZ16" s="72"/>
      <c r="KZG16" s="74"/>
      <c r="KZH16" s="72"/>
      <c r="KZO16" s="74"/>
      <c r="KZP16" s="72"/>
      <c r="KZW16" s="74"/>
      <c r="KZX16" s="72"/>
      <c r="LAE16" s="74"/>
      <c r="LAF16" s="72"/>
      <c r="LAM16" s="74"/>
      <c r="LAN16" s="72"/>
      <c r="LAU16" s="74"/>
      <c r="LAV16" s="72"/>
      <c r="LBC16" s="74"/>
      <c r="LBD16" s="72"/>
      <c r="LBK16" s="74"/>
      <c r="LBL16" s="72"/>
      <c r="LBS16" s="74"/>
      <c r="LBT16" s="72"/>
      <c r="LCA16" s="74"/>
      <c r="LCB16" s="72"/>
      <c r="LCI16" s="74"/>
      <c r="LCJ16" s="72"/>
      <c r="LCQ16" s="74"/>
      <c r="LCR16" s="72"/>
      <c r="LCY16" s="74"/>
      <c r="LCZ16" s="72"/>
      <c r="LDG16" s="74"/>
      <c r="LDH16" s="72"/>
      <c r="LDO16" s="74"/>
      <c r="LDP16" s="72"/>
      <c r="LDW16" s="74"/>
      <c r="LDX16" s="72"/>
      <c r="LEE16" s="74"/>
      <c r="LEF16" s="72"/>
      <c r="LEM16" s="74"/>
      <c r="LEN16" s="72"/>
      <c r="LEU16" s="74"/>
      <c r="LEV16" s="72"/>
      <c r="LFC16" s="74"/>
      <c r="LFD16" s="72"/>
      <c r="LFK16" s="74"/>
      <c r="LFL16" s="72"/>
      <c r="LFS16" s="74"/>
      <c r="LFT16" s="72"/>
      <c r="LGA16" s="74"/>
      <c r="LGB16" s="72"/>
      <c r="LGI16" s="74"/>
      <c r="LGJ16" s="72"/>
      <c r="LGQ16" s="74"/>
      <c r="LGR16" s="72"/>
      <c r="LGY16" s="74"/>
      <c r="LGZ16" s="72"/>
      <c r="LHG16" s="74"/>
      <c r="LHH16" s="72"/>
      <c r="LHO16" s="74"/>
      <c r="LHP16" s="72"/>
      <c r="LHW16" s="74"/>
      <c r="LHX16" s="72"/>
      <c r="LIE16" s="74"/>
      <c r="LIF16" s="72"/>
      <c r="LIM16" s="74"/>
      <c r="LIN16" s="72"/>
      <c r="LIU16" s="74"/>
      <c r="LIV16" s="72"/>
      <c r="LJC16" s="74"/>
      <c r="LJD16" s="72"/>
      <c r="LJK16" s="74"/>
      <c r="LJL16" s="72"/>
      <c r="LJS16" s="74"/>
      <c r="LJT16" s="72"/>
      <c r="LKA16" s="74"/>
      <c r="LKB16" s="72"/>
      <c r="LKI16" s="74"/>
      <c r="LKJ16" s="72"/>
      <c r="LKQ16" s="74"/>
      <c r="LKR16" s="72"/>
      <c r="LKY16" s="74"/>
      <c r="LKZ16" s="72"/>
      <c r="LLG16" s="74"/>
      <c r="LLH16" s="72"/>
      <c r="LLO16" s="74"/>
      <c r="LLP16" s="72"/>
      <c r="LLW16" s="74"/>
      <c r="LLX16" s="72"/>
      <c r="LME16" s="74"/>
      <c r="LMF16" s="72"/>
      <c r="LMM16" s="74"/>
      <c r="LMN16" s="72"/>
      <c r="LMU16" s="74"/>
      <c r="LMV16" s="72"/>
      <c r="LNC16" s="74"/>
      <c r="LND16" s="72"/>
      <c r="LNK16" s="74"/>
      <c r="LNL16" s="72"/>
      <c r="LNS16" s="74"/>
      <c r="LNT16" s="72"/>
      <c r="LOA16" s="74"/>
      <c r="LOB16" s="72"/>
      <c r="LOI16" s="74"/>
      <c r="LOJ16" s="72"/>
      <c r="LOQ16" s="74"/>
      <c r="LOR16" s="72"/>
      <c r="LOY16" s="74"/>
      <c r="LOZ16" s="72"/>
      <c r="LPG16" s="74"/>
      <c r="LPH16" s="72"/>
      <c r="LPO16" s="74"/>
      <c r="LPP16" s="72"/>
      <c r="LPW16" s="74"/>
      <c r="LPX16" s="72"/>
      <c r="LQE16" s="74"/>
      <c r="LQF16" s="72"/>
      <c r="LQM16" s="74"/>
      <c r="LQN16" s="72"/>
      <c r="LQU16" s="74"/>
      <c r="LQV16" s="72"/>
      <c r="LRC16" s="74"/>
      <c r="LRD16" s="72"/>
      <c r="LRK16" s="74"/>
      <c r="LRL16" s="72"/>
      <c r="LRS16" s="74"/>
      <c r="LRT16" s="72"/>
      <c r="LSA16" s="74"/>
      <c r="LSB16" s="72"/>
      <c r="LSI16" s="74"/>
      <c r="LSJ16" s="72"/>
      <c r="LSQ16" s="74"/>
      <c r="LSR16" s="72"/>
      <c r="LSY16" s="74"/>
      <c r="LSZ16" s="72"/>
      <c r="LTG16" s="74"/>
      <c r="LTH16" s="72"/>
      <c r="LTO16" s="74"/>
      <c r="LTP16" s="72"/>
      <c r="LTW16" s="74"/>
      <c r="LTX16" s="72"/>
      <c r="LUE16" s="74"/>
      <c r="LUF16" s="72"/>
      <c r="LUM16" s="74"/>
      <c r="LUN16" s="72"/>
      <c r="LUU16" s="74"/>
      <c r="LUV16" s="72"/>
      <c r="LVC16" s="74"/>
      <c r="LVD16" s="72"/>
      <c r="LVK16" s="74"/>
      <c r="LVL16" s="72"/>
      <c r="LVS16" s="74"/>
      <c r="LVT16" s="72"/>
      <c r="LWA16" s="74"/>
      <c r="LWB16" s="72"/>
      <c r="LWI16" s="74"/>
      <c r="LWJ16" s="72"/>
      <c r="LWQ16" s="74"/>
      <c r="LWR16" s="72"/>
      <c r="LWY16" s="74"/>
      <c r="LWZ16" s="72"/>
      <c r="LXG16" s="74"/>
      <c r="LXH16" s="72"/>
      <c r="LXO16" s="74"/>
      <c r="LXP16" s="72"/>
      <c r="LXW16" s="74"/>
      <c r="LXX16" s="72"/>
      <c r="LYE16" s="74"/>
      <c r="LYF16" s="72"/>
      <c r="LYM16" s="74"/>
      <c r="LYN16" s="72"/>
      <c r="LYU16" s="74"/>
      <c r="LYV16" s="72"/>
      <c r="LZC16" s="74"/>
      <c r="LZD16" s="72"/>
      <c r="LZK16" s="74"/>
      <c r="LZL16" s="72"/>
      <c r="LZS16" s="74"/>
      <c r="LZT16" s="72"/>
      <c r="MAA16" s="74"/>
      <c r="MAB16" s="72"/>
      <c r="MAI16" s="74"/>
      <c r="MAJ16" s="72"/>
      <c r="MAQ16" s="74"/>
      <c r="MAR16" s="72"/>
      <c r="MAY16" s="74"/>
      <c r="MAZ16" s="72"/>
      <c r="MBG16" s="74"/>
      <c r="MBH16" s="72"/>
      <c r="MBO16" s="74"/>
      <c r="MBP16" s="72"/>
      <c r="MBW16" s="74"/>
      <c r="MBX16" s="72"/>
      <c r="MCE16" s="74"/>
      <c r="MCF16" s="72"/>
      <c r="MCM16" s="74"/>
      <c r="MCN16" s="72"/>
      <c r="MCU16" s="74"/>
      <c r="MCV16" s="72"/>
      <c r="MDC16" s="74"/>
      <c r="MDD16" s="72"/>
      <c r="MDK16" s="74"/>
      <c r="MDL16" s="72"/>
      <c r="MDS16" s="74"/>
      <c r="MDT16" s="72"/>
      <c r="MEA16" s="74"/>
      <c r="MEB16" s="72"/>
      <c r="MEI16" s="74"/>
      <c r="MEJ16" s="72"/>
      <c r="MEQ16" s="74"/>
      <c r="MER16" s="72"/>
      <c r="MEY16" s="74"/>
      <c r="MEZ16" s="72"/>
      <c r="MFG16" s="74"/>
      <c r="MFH16" s="72"/>
      <c r="MFO16" s="74"/>
      <c r="MFP16" s="72"/>
      <c r="MFW16" s="74"/>
      <c r="MFX16" s="72"/>
      <c r="MGE16" s="74"/>
      <c r="MGF16" s="72"/>
      <c r="MGM16" s="74"/>
      <c r="MGN16" s="72"/>
      <c r="MGU16" s="74"/>
      <c r="MGV16" s="72"/>
      <c r="MHC16" s="74"/>
      <c r="MHD16" s="72"/>
      <c r="MHK16" s="74"/>
      <c r="MHL16" s="72"/>
      <c r="MHS16" s="74"/>
      <c r="MHT16" s="72"/>
      <c r="MIA16" s="74"/>
      <c r="MIB16" s="72"/>
      <c r="MII16" s="74"/>
      <c r="MIJ16" s="72"/>
      <c r="MIQ16" s="74"/>
      <c r="MIR16" s="72"/>
      <c r="MIY16" s="74"/>
      <c r="MIZ16" s="72"/>
      <c r="MJG16" s="74"/>
      <c r="MJH16" s="72"/>
      <c r="MJO16" s="74"/>
      <c r="MJP16" s="72"/>
      <c r="MJW16" s="74"/>
      <c r="MJX16" s="72"/>
      <c r="MKE16" s="74"/>
      <c r="MKF16" s="72"/>
      <c r="MKM16" s="74"/>
      <c r="MKN16" s="72"/>
      <c r="MKU16" s="74"/>
      <c r="MKV16" s="72"/>
      <c r="MLC16" s="74"/>
      <c r="MLD16" s="72"/>
      <c r="MLK16" s="74"/>
      <c r="MLL16" s="72"/>
      <c r="MLS16" s="74"/>
      <c r="MLT16" s="72"/>
      <c r="MMA16" s="74"/>
      <c r="MMB16" s="72"/>
      <c r="MMI16" s="74"/>
      <c r="MMJ16" s="72"/>
      <c r="MMQ16" s="74"/>
      <c r="MMR16" s="72"/>
      <c r="MMY16" s="74"/>
      <c r="MMZ16" s="72"/>
      <c r="MNG16" s="74"/>
      <c r="MNH16" s="72"/>
      <c r="MNO16" s="74"/>
      <c r="MNP16" s="72"/>
      <c r="MNW16" s="74"/>
      <c r="MNX16" s="72"/>
      <c r="MOE16" s="74"/>
      <c r="MOF16" s="72"/>
      <c r="MOM16" s="74"/>
      <c r="MON16" s="72"/>
      <c r="MOU16" s="74"/>
      <c r="MOV16" s="72"/>
      <c r="MPC16" s="74"/>
      <c r="MPD16" s="72"/>
      <c r="MPK16" s="74"/>
      <c r="MPL16" s="72"/>
      <c r="MPS16" s="74"/>
      <c r="MPT16" s="72"/>
      <c r="MQA16" s="74"/>
      <c r="MQB16" s="72"/>
      <c r="MQI16" s="74"/>
      <c r="MQJ16" s="72"/>
      <c r="MQQ16" s="74"/>
      <c r="MQR16" s="72"/>
      <c r="MQY16" s="74"/>
      <c r="MQZ16" s="72"/>
      <c r="MRG16" s="74"/>
      <c r="MRH16" s="72"/>
      <c r="MRO16" s="74"/>
      <c r="MRP16" s="72"/>
      <c r="MRW16" s="74"/>
      <c r="MRX16" s="72"/>
      <c r="MSE16" s="74"/>
      <c r="MSF16" s="72"/>
      <c r="MSM16" s="74"/>
      <c r="MSN16" s="72"/>
      <c r="MSU16" s="74"/>
      <c r="MSV16" s="72"/>
      <c r="MTC16" s="74"/>
      <c r="MTD16" s="72"/>
      <c r="MTK16" s="74"/>
      <c r="MTL16" s="72"/>
      <c r="MTS16" s="74"/>
      <c r="MTT16" s="72"/>
      <c r="MUA16" s="74"/>
      <c r="MUB16" s="72"/>
      <c r="MUI16" s="74"/>
      <c r="MUJ16" s="72"/>
      <c r="MUQ16" s="74"/>
      <c r="MUR16" s="72"/>
      <c r="MUY16" s="74"/>
      <c r="MUZ16" s="72"/>
      <c r="MVG16" s="74"/>
      <c r="MVH16" s="72"/>
      <c r="MVO16" s="74"/>
      <c r="MVP16" s="72"/>
      <c r="MVW16" s="74"/>
      <c r="MVX16" s="72"/>
      <c r="MWE16" s="74"/>
      <c r="MWF16" s="72"/>
      <c r="MWM16" s="74"/>
      <c r="MWN16" s="72"/>
      <c r="MWU16" s="74"/>
      <c r="MWV16" s="72"/>
      <c r="MXC16" s="74"/>
      <c r="MXD16" s="72"/>
      <c r="MXK16" s="74"/>
      <c r="MXL16" s="72"/>
      <c r="MXS16" s="74"/>
      <c r="MXT16" s="72"/>
      <c r="MYA16" s="74"/>
      <c r="MYB16" s="72"/>
      <c r="MYI16" s="74"/>
      <c r="MYJ16" s="72"/>
      <c r="MYQ16" s="74"/>
      <c r="MYR16" s="72"/>
      <c r="MYY16" s="74"/>
      <c r="MYZ16" s="72"/>
      <c r="MZG16" s="74"/>
      <c r="MZH16" s="72"/>
      <c r="MZO16" s="74"/>
      <c r="MZP16" s="72"/>
      <c r="MZW16" s="74"/>
      <c r="MZX16" s="72"/>
      <c r="NAE16" s="74"/>
      <c r="NAF16" s="72"/>
      <c r="NAM16" s="74"/>
      <c r="NAN16" s="72"/>
      <c r="NAU16" s="74"/>
      <c r="NAV16" s="72"/>
      <c r="NBC16" s="74"/>
      <c r="NBD16" s="72"/>
      <c r="NBK16" s="74"/>
      <c r="NBL16" s="72"/>
      <c r="NBS16" s="74"/>
      <c r="NBT16" s="72"/>
      <c r="NCA16" s="74"/>
      <c r="NCB16" s="72"/>
      <c r="NCI16" s="74"/>
      <c r="NCJ16" s="72"/>
      <c r="NCQ16" s="74"/>
      <c r="NCR16" s="72"/>
      <c r="NCY16" s="74"/>
      <c r="NCZ16" s="72"/>
      <c r="NDG16" s="74"/>
      <c r="NDH16" s="72"/>
      <c r="NDO16" s="74"/>
      <c r="NDP16" s="72"/>
      <c r="NDW16" s="74"/>
      <c r="NDX16" s="72"/>
      <c r="NEE16" s="74"/>
      <c r="NEF16" s="72"/>
      <c r="NEM16" s="74"/>
      <c r="NEN16" s="72"/>
      <c r="NEU16" s="74"/>
      <c r="NEV16" s="72"/>
      <c r="NFC16" s="74"/>
      <c r="NFD16" s="72"/>
      <c r="NFK16" s="74"/>
      <c r="NFL16" s="72"/>
      <c r="NFS16" s="74"/>
      <c r="NFT16" s="72"/>
      <c r="NGA16" s="74"/>
      <c r="NGB16" s="72"/>
      <c r="NGI16" s="74"/>
      <c r="NGJ16" s="72"/>
      <c r="NGQ16" s="74"/>
      <c r="NGR16" s="72"/>
      <c r="NGY16" s="74"/>
      <c r="NGZ16" s="72"/>
      <c r="NHG16" s="74"/>
      <c r="NHH16" s="72"/>
      <c r="NHO16" s="74"/>
      <c r="NHP16" s="72"/>
      <c r="NHW16" s="74"/>
      <c r="NHX16" s="72"/>
      <c r="NIE16" s="74"/>
      <c r="NIF16" s="72"/>
      <c r="NIM16" s="74"/>
      <c r="NIN16" s="72"/>
      <c r="NIU16" s="74"/>
      <c r="NIV16" s="72"/>
      <c r="NJC16" s="74"/>
      <c r="NJD16" s="72"/>
      <c r="NJK16" s="74"/>
      <c r="NJL16" s="72"/>
      <c r="NJS16" s="74"/>
      <c r="NJT16" s="72"/>
      <c r="NKA16" s="74"/>
      <c r="NKB16" s="72"/>
      <c r="NKI16" s="74"/>
      <c r="NKJ16" s="72"/>
      <c r="NKQ16" s="74"/>
      <c r="NKR16" s="72"/>
      <c r="NKY16" s="74"/>
      <c r="NKZ16" s="72"/>
      <c r="NLG16" s="74"/>
      <c r="NLH16" s="72"/>
      <c r="NLO16" s="74"/>
      <c r="NLP16" s="72"/>
      <c r="NLW16" s="74"/>
      <c r="NLX16" s="72"/>
      <c r="NME16" s="74"/>
      <c r="NMF16" s="72"/>
      <c r="NMM16" s="74"/>
      <c r="NMN16" s="72"/>
      <c r="NMU16" s="74"/>
      <c r="NMV16" s="72"/>
      <c r="NNC16" s="74"/>
      <c r="NND16" s="72"/>
      <c r="NNK16" s="74"/>
      <c r="NNL16" s="72"/>
      <c r="NNS16" s="74"/>
      <c r="NNT16" s="72"/>
      <c r="NOA16" s="74"/>
      <c r="NOB16" s="72"/>
      <c r="NOI16" s="74"/>
      <c r="NOJ16" s="72"/>
      <c r="NOQ16" s="74"/>
      <c r="NOR16" s="72"/>
      <c r="NOY16" s="74"/>
      <c r="NOZ16" s="72"/>
      <c r="NPG16" s="74"/>
      <c r="NPH16" s="72"/>
      <c r="NPO16" s="74"/>
      <c r="NPP16" s="72"/>
      <c r="NPW16" s="74"/>
      <c r="NPX16" s="72"/>
      <c r="NQE16" s="74"/>
      <c r="NQF16" s="72"/>
      <c r="NQM16" s="74"/>
      <c r="NQN16" s="72"/>
      <c r="NQU16" s="74"/>
      <c r="NQV16" s="72"/>
      <c r="NRC16" s="74"/>
      <c r="NRD16" s="72"/>
      <c r="NRK16" s="74"/>
      <c r="NRL16" s="72"/>
      <c r="NRS16" s="74"/>
      <c r="NRT16" s="72"/>
      <c r="NSA16" s="74"/>
      <c r="NSB16" s="72"/>
      <c r="NSI16" s="74"/>
      <c r="NSJ16" s="72"/>
      <c r="NSQ16" s="74"/>
      <c r="NSR16" s="72"/>
      <c r="NSY16" s="74"/>
      <c r="NSZ16" s="72"/>
      <c r="NTG16" s="74"/>
      <c r="NTH16" s="72"/>
      <c r="NTO16" s="74"/>
      <c r="NTP16" s="72"/>
      <c r="NTW16" s="74"/>
      <c r="NTX16" s="72"/>
      <c r="NUE16" s="74"/>
      <c r="NUF16" s="72"/>
      <c r="NUM16" s="74"/>
      <c r="NUN16" s="72"/>
      <c r="NUU16" s="74"/>
      <c r="NUV16" s="72"/>
      <c r="NVC16" s="74"/>
      <c r="NVD16" s="72"/>
      <c r="NVK16" s="74"/>
      <c r="NVL16" s="72"/>
      <c r="NVS16" s="74"/>
      <c r="NVT16" s="72"/>
      <c r="NWA16" s="74"/>
      <c r="NWB16" s="72"/>
      <c r="NWI16" s="74"/>
      <c r="NWJ16" s="72"/>
      <c r="NWQ16" s="74"/>
      <c r="NWR16" s="72"/>
      <c r="NWY16" s="74"/>
      <c r="NWZ16" s="72"/>
      <c r="NXG16" s="74"/>
      <c r="NXH16" s="72"/>
      <c r="NXO16" s="74"/>
      <c r="NXP16" s="72"/>
      <c r="NXW16" s="74"/>
      <c r="NXX16" s="72"/>
      <c r="NYE16" s="74"/>
      <c r="NYF16" s="72"/>
      <c r="NYM16" s="74"/>
      <c r="NYN16" s="72"/>
      <c r="NYU16" s="74"/>
      <c r="NYV16" s="72"/>
      <c r="NZC16" s="74"/>
      <c r="NZD16" s="72"/>
      <c r="NZK16" s="74"/>
      <c r="NZL16" s="72"/>
      <c r="NZS16" s="74"/>
      <c r="NZT16" s="72"/>
      <c r="OAA16" s="74"/>
      <c r="OAB16" s="72"/>
      <c r="OAI16" s="74"/>
      <c r="OAJ16" s="72"/>
      <c r="OAQ16" s="74"/>
      <c r="OAR16" s="72"/>
      <c r="OAY16" s="74"/>
      <c r="OAZ16" s="72"/>
      <c r="OBG16" s="74"/>
      <c r="OBH16" s="72"/>
      <c r="OBO16" s="74"/>
      <c r="OBP16" s="72"/>
      <c r="OBW16" s="74"/>
      <c r="OBX16" s="72"/>
      <c r="OCE16" s="74"/>
      <c r="OCF16" s="72"/>
      <c r="OCM16" s="74"/>
      <c r="OCN16" s="72"/>
      <c r="OCU16" s="74"/>
      <c r="OCV16" s="72"/>
      <c r="ODC16" s="74"/>
      <c r="ODD16" s="72"/>
      <c r="ODK16" s="74"/>
      <c r="ODL16" s="72"/>
      <c r="ODS16" s="74"/>
      <c r="ODT16" s="72"/>
      <c r="OEA16" s="74"/>
      <c r="OEB16" s="72"/>
      <c r="OEI16" s="74"/>
      <c r="OEJ16" s="72"/>
      <c r="OEQ16" s="74"/>
      <c r="OER16" s="72"/>
      <c r="OEY16" s="74"/>
      <c r="OEZ16" s="72"/>
      <c r="OFG16" s="74"/>
      <c r="OFH16" s="72"/>
      <c r="OFO16" s="74"/>
      <c r="OFP16" s="72"/>
      <c r="OFW16" s="74"/>
      <c r="OFX16" s="72"/>
      <c r="OGE16" s="74"/>
      <c r="OGF16" s="72"/>
      <c r="OGM16" s="74"/>
      <c r="OGN16" s="72"/>
      <c r="OGU16" s="74"/>
      <c r="OGV16" s="72"/>
      <c r="OHC16" s="74"/>
      <c r="OHD16" s="72"/>
      <c r="OHK16" s="74"/>
      <c r="OHL16" s="72"/>
      <c r="OHS16" s="74"/>
      <c r="OHT16" s="72"/>
      <c r="OIA16" s="74"/>
      <c r="OIB16" s="72"/>
      <c r="OII16" s="74"/>
      <c r="OIJ16" s="72"/>
      <c r="OIQ16" s="74"/>
      <c r="OIR16" s="72"/>
      <c r="OIY16" s="74"/>
      <c r="OIZ16" s="72"/>
      <c r="OJG16" s="74"/>
      <c r="OJH16" s="72"/>
      <c r="OJO16" s="74"/>
      <c r="OJP16" s="72"/>
      <c r="OJW16" s="74"/>
      <c r="OJX16" s="72"/>
      <c r="OKE16" s="74"/>
      <c r="OKF16" s="72"/>
      <c r="OKM16" s="74"/>
      <c r="OKN16" s="72"/>
      <c r="OKU16" s="74"/>
      <c r="OKV16" s="72"/>
      <c r="OLC16" s="74"/>
      <c r="OLD16" s="72"/>
      <c r="OLK16" s="74"/>
      <c r="OLL16" s="72"/>
      <c r="OLS16" s="74"/>
      <c r="OLT16" s="72"/>
      <c r="OMA16" s="74"/>
      <c r="OMB16" s="72"/>
      <c r="OMI16" s="74"/>
      <c r="OMJ16" s="72"/>
      <c r="OMQ16" s="74"/>
      <c r="OMR16" s="72"/>
      <c r="OMY16" s="74"/>
      <c r="OMZ16" s="72"/>
      <c r="ONG16" s="74"/>
      <c r="ONH16" s="72"/>
      <c r="ONO16" s="74"/>
      <c r="ONP16" s="72"/>
      <c r="ONW16" s="74"/>
      <c r="ONX16" s="72"/>
      <c r="OOE16" s="74"/>
      <c r="OOF16" s="72"/>
      <c r="OOM16" s="74"/>
      <c r="OON16" s="72"/>
      <c r="OOU16" s="74"/>
      <c r="OOV16" s="72"/>
      <c r="OPC16" s="74"/>
      <c r="OPD16" s="72"/>
      <c r="OPK16" s="74"/>
      <c r="OPL16" s="72"/>
      <c r="OPS16" s="74"/>
      <c r="OPT16" s="72"/>
      <c r="OQA16" s="74"/>
      <c r="OQB16" s="72"/>
      <c r="OQI16" s="74"/>
      <c r="OQJ16" s="72"/>
      <c r="OQQ16" s="74"/>
      <c r="OQR16" s="72"/>
      <c r="OQY16" s="74"/>
      <c r="OQZ16" s="72"/>
      <c r="ORG16" s="74"/>
      <c r="ORH16" s="72"/>
      <c r="ORO16" s="74"/>
      <c r="ORP16" s="72"/>
      <c r="ORW16" s="74"/>
      <c r="ORX16" s="72"/>
      <c r="OSE16" s="74"/>
      <c r="OSF16" s="72"/>
      <c r="OSM16" s="74"/>
      <c r="OSN16" s="72"/>
      <c r="OSU16" s="74"/>
      <c r="OSV16" s="72"/>
      <c r="OTC16" s="74"/>
      <c r="OTD16" s="72"/>
      <c r="OTK16" s="74"/>
      <c r="OTL16" s="72"/>
      <c r="OTS16" s="74"/>
      <c r="OTT16" s="72"/>
      <c r="OUA16" s="74"/>
      <c r="OUB16" s="72"/>
      <c r="OUI16" s="74"/>
      <c r="OUJ16" s="72"/>
      <c r="OUQ16" s="74"/>
      <c r="OUR16" s="72"/>
      <c r="OUY16" s="74"/>
      <c r="OUZ16" s="72"/>
      <c r="OVG16" s="74"/>
      <c r="OVH16" s="72"/>
      <c r="OVO16" s="74"/>
      <c r="OVP16" s="72"/>
      <c r="OVW16" s="74"/>
      <c r="OVX16" s="72"/>
      <c r="OWE16" s="74"/>
      <c r="OWF16" s="72"/>
      <c r="OWM16" s="74"/>
      <c r="OWN16" s="72"/>
      <c r="OWU16" s="74"/>
      <c r="OWV16" s="72"/>
      <c r="OXC16" s="74"/>
      <c r="OXD16" s="72"/>
      <c r="OXK16" s="74"/>
      <c r="OXL16" s="72"/>
      <c r="OXS16" s="74"/>
      <c r="OXT16" s="72"/>
      <c r="OYA16" s="74"/>
      <c r="OYB16" s="72"/>
      <c r="OYI16" s="74"/>
      <c r="OYJ16" s="72"/>
      <c r="OYQ16" s="74"/>
      <c r="OYR16" s="72"/>
      <c r="OYY16" s="74"/>
      <c r="OYZ16" s="72"/>
      <c r="OZG16" s="74"/>
      <c r="OZH16" s="72"/>
      <c r="OZO16" s="74"/>
      <c r="OZP16" s="72"/>
      <c r="OZW16" s="74"/>
      <c r="OZX16" s="72"/>
      <c r="PAE16" s="74"/>
      <c r="PAF16" s="72"/>
      <c r="PAM16" s="74"/>
      <c r="PAN16" s="72"/>
      <c r="PAU16" s="74"/>
      <c r="PAV16" s="72"/>
      <c r="PBC16" s="74"/>
      <c r="PBD16" s="72"/>
      <c r="PBK16" s="74"/>
      <c r="PBL16" s="72"/>
      <c r="PBS16" s="74"/>
      <c r="PBT16" s="72"/>
      <c r="PCA16" s="74"/>
      <c r="PCB16" s="72"/>
      <c r="PCI16" s="74"/>
      <c r="PCJ16" s="72"/>
      <c r="PCQ16" s="74"/>
      <c r="PCR16" s="72"/>
      <c r="PCY16" s="74"/>
      <c r="PCZ16" s="72"/>
      <c r="PDG16" s="74"/>
      <c r="PDH16" s="72"/>
      <c r="PDO16" s="74"/>
      <c r="PDP16" s="72"/>
      <c r="PDW16" s="74"/>
      <c r="PDX16" s="72"/>
      <c r="PEE16" s="74"/>
      <c r="PEF16" s="72"/>
      <c r="PEM16" s="74"/>
      <c r="PEN16" s="72"/>
      <c r="PEU16" s="74"/>
      <c r="PEV16" s="72"/>
      <c r="PFC16" s="74"/>
      <c r="PFD16" s="72"/>
      <c r="PFK16" s="74"/>
      <c r="PFL16" s="72"/>
      <c r="PFS16" s="74"/>
      <c r="PFT16" s="72"/>
      <c r="PGA16" s="74"/>
      <c r="PGB16" s="72"/>
      <c r="PGI16" s="74"/>
      <c r="PGJ16" s="72"/>
      <c r="PGQ16" s="74"/>
      <c r="PGR16" s="72"/>
      <c r="PGY16" s="74"/>
      <c r="PGZ16" s="72"/>
      <c r="PHG16" s="74"/>
      <c r="PHH16" s="72"/>
      <c r="PHO16" s="74"/>
      <c r="PHP16" s="72"/>
      <c r="PHW16" s="74"/>
      <c r="PHX16" s="72"/>
      <c r="PIE16" s="74"/>
      <c r="PIF16" s="72"/>
      <c r="PIM16" s="74"/>
      <c r="PIN16" s="72"/>
      <c r="PIU16" s="74"/>
      <c r="PIV16" s="72"/>
      <c r="PJC16" s="74"/>
      <c r="PJD16" s="72"/>
      <c r="PJK16" s="74"/>
      <c r="PJL16" s="72"/>
      <c r="PJS16" s="74"/>
      <c r="PJT16" s="72"/>
      <c r="PKA16" s="74"/>
      <c r="PKB16" s="72"/>
      <c r="PKI16" s="74"/>
      <c r="PKJ16" s="72"/>
      <c r="PKQ16" s="74"/>
      <c r="PKR16" s="72"/>
      <c r="PKY16" s="74"/>
      <c r="PKZ16" s="72"/>
      <c r="PLG16" s="74"/>
      <c r="PLH16" s="72"/>
      <c r="PLO16" s="74"/>
      <c r="PLP16" s="72"/>
      <c r="PLW16" s="74"/>
      <c r="PLX16" s="72"/>
      <c r="PME16" s="74"/>
      <c r="PMF16" s="72"/>
      <c r="PMM16" s="74"/>
      <c r="PMN16" s="72"/>
      <c r="PMU16" s="74"/>
      <c r="PMV16" s="72"/>
      <c r="PNC16" s="74"/>
      <c r="PND16" s="72"/>
      <c r="PNK16" s="74"/>
      <c r="PNL16" s="72"/>
      <c r="PNS16" s="74"/>
      <c r="PNT16" s="72"/>
      <c r="POA16" s="74"/>
      <c r="POB16" s="72"/>
      <c r="POI16" s="74"/>
      <c r="POJ16" s="72"/>
      <c r="POQ16" s="74"/>
      <c r="POR16" s="72"/>
      <c r="POY16" s="74"/>
      <c r="POZ16" s="72"/>
      <c r="PPG16" s="74"/>
      <c r="PPH16" s="72"/>
      <c r="PPO16" s="74"/>
      <c r="PPP16" s="72"/>
      <c r="PPW16" s="74"/>
      <c r="PPX16" s="72"/>
      <c r="PQE16" s="74"/>
      <c r="PQF16" s="72"/>
      <c r="PQM16" s="74"/>
      <c r="PQN16" s="72"/>
      <c r="PQU16" s="74"/>
      <c r="PQV16" s="72"/>
      <c r="PRC16" s="74"/>
      <c r="PRD16" s="72"/>
      <c r="PRK16" s="74"/>
      <c r="PRL16" s="72"/>
      <c r="PRS16" s="74"/>
      <c r="PRT16" s="72"/>
      <c r="PSA16" s="74"/>
      <c r="PSB16" s="72"/>
      <c r="PSI16" s="74"/>
      <c r="PSJ16" s="72"/>
      <c r="PSQ16" s="74"/>
      <c r="PSR16" s="72"/>
      <c r="PSY16" s="74"/>
      <c r="PSZ16" s="72"/>
      <c r="PTG16" s="74"/>
      <c r="PTH16" s="72"/>
      <c r="PTO16" s="74"/>
      <c r="PTP16" s="72"/>
      <c r="PTW16" s="74"/>
      <c r="PTX16" s="72"/>
      <c r="PUE16" s="74"/>
      <c r="PUF16" s="72"/>
      <c r="PUM16" s="74"/>
      <c r="PUN16" s="72"/>
      <c r="PUU16" s="74"/>
      <c r="PUV16" s="72"/>
      <c r="PVC16" s="74"/>
      <c r="PVD16" s="72"/>
      <c r="PVK16" s="74"/>
      <c r="PVL16" s="72"/>
      <c r="PVS16" s="74"/>
      <c r="PVT16" s="72"/>
      <c r="PWA16" s="74"/>
      <c r="PWB16" s="72"/>
      <c r="PWI16" s="74"/>
      <c r="PWJ16" s="72"/>
      <c r="PWQ16" s="74"/>
      <c r="PWR16" s="72"/>
      <c r="PWY16" s="74"/>
      <c r="PWZ16" s="72"/>
      <c r="PXG16" s="74"/>
      <c r="PXH16" s="72"/>
      <c r="PXO16" s="74"/>
      <c r="PXP16" s="72"/>
      <c r="PXW16" s="74"/>
      <c r="PXX16" s="72"/>
      <c r="PYE16" s="74"/>
      <c r="PYF16" s="72"/>
      <c r="PYM16" s="74"/>
      <c r="PYN16" s="72"/>
      <c r="PYU16" s="74"/>
      <c r="PYV16" s="72"/>
      <c r="PZC16" s="74"/>
      <c r="PZD16" s="72"/>
      <c r="PZK16" s="74"/>
      <c r="PZL16" s="72"/>
      <c r="PZS16" s="74"/>
      <c r="PZT16" s="72"/>
      <c r="QAA16" s="74"/>
      <c r="QAB16" s="72"/>
      <c r="QAI16" s="74"/>
      <c r="QAJ16" s="72"/>
      <c r="QAQ16" s="74"/>
      <c r="QAR16" s="72"/>
      <c r="QAY16" s="74"/>
      <c r="QAZ16" s="72"/>
      <c r="QBG16" s="74"/>
      <c r="QBH16" s="72"/>
      <c r="QBO16" s="74"/>
      <c r="QBP16" s="72"/>
      <c r="QBW16" s="74"/>
      <c r="QBX16" s="72"/>
      <c r="QCE16" s="74"/>
      <c r="QCF16" s="72"/>
      <c r="QCM16" s="74"/>
      <c r="QCN16" s="72"/>
      <c r="QCU16" s="74"/>
      <c r="QCV16" s="72"/>
      <c r="QDC16" s="74"/>
      <c r="QDD16" s="72"/>
      <c r="QDK16" s="74"/>
      <c r="QDL16" s="72"/>
      <c r="QDS16" s="74"/>
      <c r="QDT16" s="72"/>
      <c r="QEA16" s="74"/>
      <c r="QEB16" s="72"/>
      <c r="QEI16" s="74"/>
      <c r="QEJ16" s="72"/>
      <c r="QEQ16" s="74"/>
      <c r="QER16" s="72"/>
      <c r="QEY16" s="74"/>
      <c r="QEZ16" s="72"/>
      <c r="QFG16" s="74"/>
      <c r="QFH16" s="72"/>
      <c r="QFO16" s="74"/>
      <c r="QFP16" s="72"/>
      <c r="QFW16" s="74"/>
      <c r="QFX16" s="72"/>
      <c r="QGE16" s="74"/>
      <c r="QGF16" s="72"/>
      <c r="QGM16" s="74"/>
      <c r="QGN16" s="72"/>
      <c r="QGU16" s="74"/>
      <c r="QGV16" s="72"/>
      <c r="QHC16" s="74"/>
      <c r="QHD16" s="72"/>
      <c r="QHK16" s="74"/>
      <c r="QHL16" s="72"/>
      <c r="QHS16" s="74"/>
      <c r="QHT16" s="72"/>
      <c r="QIA16" s="74"/>
      <c r="QIB16" s="72"/>
      <c r="QII16" s="74"/>
      <c r="QIJ16" s="72"/>
      <c r="QIQ16" s="74"/>
      <c r="QIR16" s="72"/>
      <c r="QIY16" s="74"/>
      <c r="QIZ16" s="72"/>
      <c r="QJG16" s="74"/>
      <c r="QJH16" s="72"/>
      <c r="QJO16" s="74"/>
      <c r="QJP16" s="72"/>
      <c r="QJW16" s="74"/>
      <c r="QJX16" s="72"/>
      <c r="QKE16" s="74"/>
      <c r="QKF16" s="72"/>
      <c r="QKM16" s="74"/>
      <c r="QKN16" s="72"/>
      <c r="QKU16" s="74"/>
      <c r="QKV16" s="72"/>
      <c r="QLC16" s="74"/>
      <c r="QLD16" s="72"/>
      <c r="QLK16" s="74"/>
      <c r="QLL16" s="72"/>
      <c r="QLS16" s="74"/>
      <c r="QLT16" s="72"/>
      <c r="QMA16" s="74"/>
      <c r="QMB16" s="72"/>
      <c r="QMI16" s="74"/>
      <c r="QMJ16" s="72"/>
      <c r="QMQ16" s="74"/>
      <c r="QMR16" s="72"/>
      <c r="QMY16" s="74"/>
      <c r="QMZ16" s="72"/>
      <c r="QNG16" s="74"/>
      <c r="QNH16" s="72"/>
      <c r="QNO16" s="74"/>
      <c r="QNP16" s="72"/>
      <c r="QNW16" s="74"/>
      <c r="QNX16" s="72"/>
      <c r="QOE16" s="74"/>
      <c r="QOF16" s="72"/>
      <c r="QOM16" s="74"/>
      <c r="QON16" s="72"/>
      <c r="QOU16" s="74"/>
      <c r="QOV16" s="72"/>
      <c r="QPC16" s="74"/>
      <c r="QPD16" s="72"/>
      <c r="QPK16" s="74"/>
      <c r="QPL16" s="72"/>
      <c r="QPS16" s="74"/>
      <c r="QPT16" s="72"/>
      <c r="QQA16" s="74"/>
      <c r="QQB16" s="72"/>
      <c r="QQI16" s="74"/>
      <c r="QQJ16" s="72"/>
      <c r="QQQ16" s="74"/>
      <c r="QQR16" s="72"/>
      <c r="QQY16" s="74"/>
      <c r="QQZ16" s="72"/>
      <c r="QRG16" s="74"/>
      <c r="QRH16" s="72"/>
      <c r="QRO16" s="74"/>
      <c r="QRP16" s="72"/>
      <c r="QRW16" s="74"/>
      <c r="QRX16" s="72"/>
      <c r="QSE16" s="74"/>
      <c r="QSF16" s="72"/>
      <c r="QSM16" s="74"/>
      <c r="QSN16" s="72"/>
      <c r="QSU16" s="74"/>
      <c r="QSV16" s="72"/>
      <c r="QTC16" s="74"/>
      <c r="QTD16" s="72"/>
      <c r="QTK16" s="74"/>
      <c r="QTL16" s="72"/>
      <c r="QTS16" s="74"/>
      <c r="QTT16" s="72"/>
      <c r="QUA16" s="74"/>
      <c r="QUB16" s="72"/>
      <c r="QUI16" s="74"/>
      <c r="QUJ16" s="72"/>
      <c r="QUQ16" s="74"/>
      <c r="QUR16" s="72"/>
      <c r="QUY16" s="74"/>
      <c r="QUZ16" s="72"/>
      <c r="QVG16" s="74"/>
      <c r="QVH16" s="72"/>
      <c r="QVO16" s="74"/>
      <c r="QVP16" s="72"/>
      <c r="QVW16" s="74"/>
      <c r="QVX16" s="72"/>
      <c r="QWE16" s="74"/>
      <c r="QWF16" s="72"/>
      <c r="QWM16" s="74"/>
      <c r="QWN16" s="72"/>
      <c r="QWU16" s="74"/>
      <c r="QWV16" s="72"/>
      <c r="QXC16" s="74"/>
      <c r="QXD16" s="72"/>
      <c r="QXK16" s="74"/>
      <c r="QXL16" s="72"/>
      <c r="QXS16" s="74"/>
      <c r="QXT16" s="72"/>
      <c r="QYA16" s="74"/>
      <c r="QYB16" s="72"/>
      <c r="QYI16" s="74"/>
      <c r="QYJ16" s="72"/>
      <c r="QYQ16" s="74"/>
      <c r="QYR16" s="72"/>
      <c r="QYY16" s="74"/>
      <c r="QYZ16" s="72"/>
      <c r="QZG16" s="74"/>
      <c r="QZH16" s="72"/>
      <c r="QZO16" s="74"/>
      <c r="QZP16" s="72"/>
      <c r="QZW16" s="74"/>
      <c r="QZX16" s="72"/>
      <c r="RAE16" s="74"/>
      <c r="RAF16" s="72"/>
      <c r="RAM16" s="74"/>
      <c r="RAN16" s="72"/>
      <c r="RAU16" s="74"/>
      <c r="RAV16" s="72"/>
      <c r="RBC16" s="74"/>
      <c r="RBD16" s="72"/>
      <c r="RBK16" s="74"/>
      <c r="RBL16" s="72"/>
      <c r="RBS16" s="74"/>
      <c r="RBT16" s="72"/>
      <c r="RCA16" s="74"/>
      <c r="RCB16" s="72"/>
      <c r="RCI16" s="74"/>
      <c r="RCJ16" s="72"/>
      <c r="RCQ16" s="74"/>
      <c r="RCR16" s="72"/>
      <c r="RCY16" s="74"/>
      <c r="RCZ16" s="72"/>
      <c r="RDG16" s="74"/>
      <c r="RDH16" s="72"/>
      <c r="RDO16" s="74"/>
      <c r="RDP16" s="72"/>
      <c r="RDW16" s="74"/>
      <c r="RDX16" s="72"/>
      <c r="REE16" s="74"/>
      <c r="REF16" s="72"/>
      <c r="REM16" s="74"/>
      <c r="REN16" s="72"/>
      <c r="REU16" s="74"/>
      <c r="REV16" s="72"/>
      <c r="RFC16" s="74"/>
      <c r="RFD16" s="72"/>
      <c r="RFK16" s="74"/>
      <c r="RFL16" s="72"/>
      <c r="RFS16" s="74"/>
      <c r="RFT16" s="72"/>
      <c r="RGA16" s="74"/>
      <c r="RGB16" s="72"/>
      <c r="RGI16" s="74"/>
      <c r="RGJ16" s="72"/>
      <c r="RGQ16" s="74"/>
      <c r="RGR16" s="72"/>
      <c r="RGY16" s="74"/>
      <c r="RGZ16" s="72"/>
      <c r="RHG16" s="74"/>
      <c r="RHH16" s="72"/>
      <c r="RHO16" s="74"/>
      <c r="RHP16" s="72"/>
      <c r="RHW16" s="74"/>
      <c r="RHX16" s="72"/>
      <c r="RIE16" s="74"/>
      <c r="RIF16" s="72"/>
      <c r="RIM16" s="74"/>
      <c r="RIN16" s="72"/>
      <c r="RIU16" s="74"/>
      <c r="RIV16" s="72"/>
      <c r="RJC16" s="74"/>
      <c r="RJD16" s="72"/>
      <c r="RJK16" s="74"/>
      <c r="RJL16" s="72"/>
      <c r="RJS16" s="74"/>
      <c r="RJT16" s="72"/>
      <c r="RKA16" s="74"/>
      <c r="RKB16" s="72"/>
      <c r="RKI16" s="74"/>
      <c r="RKJ16" s="72"/>
      <c r="RKQ16" s="74"/>
      <c r="RKR16" s="72"/>
      <c r="RKY16" s="74"/>
      <c r="RKZ16" s="72"/>
      <c r="RLG16" s="74"/>
      <c r="RLH16" s="72"/>
      <c r="RLO16" s="74"/>
      <c r="RLP16" s="72"/>
      <c r="RLW16" s="74"/>
      <c r="RLX16" s="72"/>
      <c r="RME16" s="74"/>
      <c r="RMF16" s="72"/>
      <c r="RMM16" s="74"/>
      <c r="RMN16" s="72"/>
      <c r="RMU16" s="74"/>
      <c r="RMV16" s="72"/>
      <c r="RNC16" s="74"/>
      <c r="RND16" s="72"/>
      <c r="RNK16" s="74"/>
      <c r="RNL16" s="72"/>
      <c r="RNS16" s="74"/>
      <c r="RNT16" s="72"/>
      <c r="ROA16" s="74"/>
      <c r="ROB16" s="72"/>
      <c r="ROI16" s="74"/>
      <c r="ROJ16" s="72"/>
      <c r="ROQ16" s="74"/>
      <c r="ROR16" s="72"/>
      <c r="ROY16" s="74"/>
      <c r="ROZ16" s="72"/>
      <c r="RPG16" s="74"/>
      <c r="RPH16" s="72"/>
      <c r="RPO16" s="74"/>
      <c r="RPP16" s="72"/>
      <c r="RPW16" s="74"/>
      <c r="RPX16" s="72"/>
      <c r="RQE16" s="74"/>
      <c r="RQF16" s="72"/>
      <c r="RQM16" s="74"/>
      <c r="RQN16" s="72"/>
      <c r="RQU16" s="74"/>
      <c r="RQV16" s="72"/>
      <c r="RRC16" s="74"/>
      <c r="RRD16" s="72"/>
      <c r="RRK16" s="74"/>
      <c r="RRL16" s="72"/>
      <c r="RRS16" s="74"/>
      <c r="RRT16" s="72"/>
      <c r="RSA16" s="74"/>
      <c r="RSB16" s="72"/>
      <c r="RSI16" s="74"/>
      <c r="RSJ16" s="72"/>
      <c r="RSQ16" s="74"/>
      <c r="RSR16" s="72"/>
      <c r="RSY16" s="74"/>
      <c r="RSZ16" s="72"/>
      <c r="RTG16" s="74"/>
      <c r="RTH16" s="72"/>
      <c r="RTO16" s="74"/>
      <c r="RTP16" s="72"/>
      <c r="RTW16" s="74"/>
      <c r="RTX16" s="72"/>
      <c r="RUE16" s="74"/>
      <c r="RUF16" s="72"/>
      <c r="RUM16" s="74"/>
      <c r="RUN16" s="72"/>
      <c r="RUU16" s="74"/>
      <c r="RUV16" s="72"/>
      <c r="RVC16" s="74"/>
      <c r="RVD16" s="72"/>
      <c r="RVK16" s="74"/>
      <c r="RVL16" s="72"/>
      <c r="RVS16" s="74"/>
      <c r="RVT16" s="72"/>
      <c r="RWA16" s="74"/>
      <c r="RWB16" s="72"/>
      <c r="RWI16" s="74"/>
      <c r="RWJ16" s="72"/>
      <c r="RWQ16" s="74"/>
      <c r="RWR16" s="72"/>
      <c r="RWY16" s="74"/>
      <c r="RWZ16" s="72"/>
      <c r="RXG16" s="74"/>
      <c r="RXH16" s="72"/>
      <c r="RXO16" s="74"/>
      <c r="RXP16" s="72"/>
      <c r="RXW16" s="74"/>
      <c r="RXX16" s="72"/>
      <c r="RYE16" s="74"/>
      <c r="RYF16" s="72"/>
      <c r="RYM16" s="74"/>
      <c r="RYN16" s="72"/>
      <c r="RYU16" s="74"/>
      <c r="RYV16" s="72"/>
      <c r="RZC16" s="74"/>
      <c r="RZD16" s="72"/>
      <c r="RZK16" s="74"/>
      <c r="RZL16" s="72"/>
      <c r="RZS16" s="74"/>
      <c r="RZT16" s="72"/>
      <c r="SAA16" s="74"/>
      <c r="SAB16" s="72"/>
      <c r="SAI16" s="74"/>
      <c r="SAJ16" s="72"/>
      <c r="SAQ16" s="74"/>
      <c r="SAR16" s="72"/>
      <c r="SAY16" s="74"/>
      <c r="SAZ16" s="72"/>
      <c r="SBG16" s="74"/>
      <c r="SBH16" s="72"/>
      <c r="SBO16" s="74"/>
      <c r="SBP16" s="72"/>
      <c r="SBW16" s="74"/>
      <c r="SBX16" s="72"/>
      <c r="SCE16" s="74"/>
      <c r="SCF16" s="72"/>
      <c r="SCM16" s="74"/>
      <c r="SCN16" s="72"/>
      <c r="SCU16" s="74"/>
      <c r="SCV16" s="72"/>
      <c r="SDC16" s="74"/>
      <c r="SDD16" s="72"/>
      <c r="SDK16" s="74"/>
      <c r="SDL16" s="72"/>
      <c r="SDS16" s="74"/>
      <c r="SDT16" s="72"/>
      <c r="SEA16" s="74"/>
      <c r="SEB16" s="72"/>
      <c r="SEI16" s="74"/>
      <c r="SEJ16" s="72"/>
      <c r="SEQ16" s="74"/>
      <c r="SER16" s="72"/>
      <c r="SEY16" s="74"/>
      <c r="SEZ16" s="72"/>
      <c r="SFG16" s="74"/>
      <c r="SFH16" s="72"/>
      <c r="SFO16" s="74"/>
      <c r="SFP16" s="72"/>
      <c r="SFW16" s="74"/>
      <c r="SFX16" s="72"/>
      <c r="SGE16" s="74"/>
      <c r="SGF16" s="72"/>
      <c r="SGM16" s="74"/>
      <c r="SGN16" s="72"/>
      <c r="SGU16" s="74"/>
      <c r="SGV16" s="72"/>
      <c r="SHC16" s="74"/>
      <c r="SHD16" s="72"/>
      <c r="SHK16" s="74"/>
      <c r="SHL16" s="72"/>
      <c r="SHS16" s="74"/>
      <c r="SHT16" s="72"/>
      <c r="SIA16" s="74"/>
      <c r="SIB16" s="72"/>
      <c r="SII16" s="74"/>
      <c r="SIJ16" s="72"/>
      <c r="SIQ16" s="74"/>
      <c r="SIR16" s="72"/>
      <c r="SIY16" s="74"/>
      <c r="SIZ16" s="72"/>
      <c r="SJG16" s="74"/>
      <c r="SJH16" s="72"/>
      <c r="SJO16" s="74"/>
      <c r="SJP16" s="72"/>
      <c r="SJW16" s="74"/>
      <c r="SJX16" s="72"/>
      <c r="SKE16" s="74"/>
      <c r="SKF16" s="72"/>
      <c r="SKM16" s="74"/>
      <c r="SKN16" s="72"/>
      <c r="SKU16" s="74"/>
      <c r="SKV16" s="72"/>
      <c r="SLC16" s="74"/>
      <c r="SLD16" s="72"/>
      <c r="SLK16" s="74"/>
      <c r="SLL16" s="72"/>
      <c r="SLS16" s="74"/>
      <c r="SLT16" s="72"/>
      <c r="SMA16" s="74"/>
      <c r="SMB16" s="72"/>
      <c r="SMI16" s="74"/>
      <c r="SMJ16" s="72"/>
      <c r="SMQ16" s="74"/>
      <c r="SMR16" s="72"/>
      <c r="SMY16" s="74"/>
      <c r="SMZ16" s="72"/>
      <c r="SNG16" s="74"/>
      <c r="SNH16" s="72"/>
      <c r="SNO16" s="74"/>
      <c r="SNP16" s="72"/>
      <c r="SNW16" s="74"/>
      <c r="SNX16" s="72"/>
      <c r="SOE16" s="74"/>
      <c r="SOF16" s="72"/>
      <c r="SOM16" s="74"/>
      <c r="SON16" s="72"/>
      <c r="SOU16" s="74"/>
      <c r="SOV16" s="72"/>
      <c r="SPC16" s="74"/>
      <c r="SPD16" s="72"/>
      <c r="SPK16" s="74"/>
      <c r="SPL16" s="72"/>
      <c r="SPS16" s="74"/>
      <c r="SPT16" s="72"/>
      <c r="SQA16" s="74"/>
      <c r="SQB16" s="72"/>
      <c r="SQI16" s="74"/>
      <c r="SQJ16" s="72"/>
      <c r="SQQ16" s="74"/>
      <c r="SQR16" s="72"/>
      <c r="SQY16" s="74"/>
      <c r="SQZ16" s="72"/>
      <c r="SRG16" s="74"/>
      <c r="SRH16" s="72"/>
      <c r="SRO16" s="74"/>
      <c r="SRP16" s="72"/>
      <c r="SRW16" s="74"/>
      <c r="SRX16" s="72"/>
      <c r="SSE16" s="74"/>
      <c r="SSF16" s="72"/>
      <c r="SSM16" s="74"/>
      <c r="SSN16" s="72"/>
      <c r="SSU16" s="74"/>
      <c r="SSV16" s="72"/>
      <c r="STC16" s="74"/>
      <c r="STD16" s="72"/>
      <c r="STK16" s="74"/>
      <c r="STL16" s="72"/>
      <c r="STS16" s="74"/>
      <c r="STT16" s="72"/>
      <c r="SUA16" s="74"/>
      <c r="SUB16" s="72"/>
      <c r="SUI16" s="74"/>
      <c r="SUJ16" s="72"/>
      <c r="SUQ16" s="74"/>
      <c r="SUR16" s="72"/>
      <c r="SUY16" s="74"/>
      <c r="SUZ16" s="72"/>
      <c r="SVG16" s="74"/>
      <c r="SVH16" s="72"/>
      <c r="SVO16" s="74"/>
      <c r="SVP16" s="72"/>
      <c r="SVW16" s="74"/>
      <c r="SVX16" s="72"/>
      <c r="SWE16" s="74"/>
      <c r="SWF16" s="72"/>
      <c r="SWM16" s="74"/>
      <c r="SWN16" s="72"/>
      <c r="SWU16" s="74"/>
      <c r="SWV16" s="72"/>
      <c r="SXC16" s="74"/>
      <c r="SXD16" s="72"/>
      <c r="SXK16" s="74"/>
      <c r="SXL16" s="72"/>
      <c r="SXS16" s="74"/>
      <c r="SXT16" s="72"/>
      <c r="SYA16" s="74"/>
      <c r="SYB16" s="72"/>
      <c r="SYI16" s="74"/>
      <c r="SYJ16" s="72"/>
      <c r="SYQ16" s="74"/>
      <c r="SYR16" s="72"/>
      <c r="SYY16" s="74"/>
      <c r="SYZ16" s="72"/>
      <c r="SZG16" s="74"/>
      <c r="SZH16" s="72"/>
      <c r="SZO16" s="74"/>
      <c r="SZP16" s="72"/>
      <c r="SZW16" s="74"/>
      <c r="SZX16" s="72"/>
      <c r="TAE16" s="74"/>
      <c r="TAF16" s="72"/>
      <c r="TAM16" s="74"/>
      <c r="TAN16" s="72"/>
      <c r="TAU16" s="74"/>
      <c r="TAV16" s="72"/>
      <c r="TBC16" s="74"/>
      <c r="TBD16" s="72"/>
      <c r="TBK16" s="74"/>
      <c r="TBL16" s="72"/>
      <c r="TBS16" s="74"/>
      <c r="TBT16" s="72"/>
      <c r="TCA16" s="74"/>
      <c r="TCB16" s="72"/>
      <c r="TCI16" s="74"/>
      <c r="TCJ16" s="72"/>
      <c r="TCQ16" s="74"/>
      <c r="TCR16" s="72"/>
      <c r="TCY16" s="74"/>
      <c r="TCZ16" s="72"/>
      <c r="TDG16" s="74"/>
      <c r="TDH16" s="72"/>
      <c r="TDO16" s="74"/>
      <c r="TDP16" s="72"/>
      <c r="TDW16" s="74"/>
      <c r="TDX16" s="72"/>
      <c r="TEE16" s="74"/>
      <c r="TEF16" s="72"/>
      <c r="TEM16" s="74"/>
      <c r="TEN16" s="72"/>
      <c r="TEU16" s="74"/>
      <c r="TEV16" s="72"/>
      <c r="TFC16" s="74"/>
      <c r="TFD16" s="72"/>
      <c r="TFK16" s="74"/>
      <c r="TFL16" s="72"/>
      <c r="TFS16" s="74"/>
      <c r="TFT16" s="72"/>
      <c r="TGA16" s="74"/>
      <c r="TGB16" s="72"/>
      <c r="TGI16" s="74"/>
      <c r="TGJ16" s="72"/>
      <c r="TGQ16" s="74"/>
      <c r="TGR16" s="72"/>
      <c r="TGY16" s="74"/>
      <c r="TGZ16" s="72"/>
      <c r="THG16" s="74"/>
      <c r="THH16" s="72"/>
      <c r="THO16" s="74"/>
      <c r="THP16" s="72"/>
      <c r="THW16" s="74"/>
      <c r="THX16" s="72"/>
      <c r="TIE16" s="74"/>
      <c r="TIF16" s="72"/>
      <c r="TIM16" s="74"/>
      <c r="TIN16" s="72"/>
      <c r="TIU16" s="74"/>
      <c r="TIV16" s="72"/>
      <c r="TJC16" s="74"/>
      <c r="TJD16" s="72"/>
      <c r="TJK16" s="74"/>
      <c r="TJL16" s="72"/>
      <c r="TJS16" s="74"/>
      <c r="TJT16" s="72"/>
      <c r="TKA16" s="74"/>
      <c r="TKB16" s="72"/>
      <c r="TKI16" s="74"/>
      <c r="TKJ16" s="72"/>
      <c r="TKQ16" s="74"/>
      <c r="TKR16" s="72"/>
      <c r="TKY16" s="74"/>
      <c r="TKZ16" s="72"/>
      <c r="TLG16" s="74"/>
      <c r="TLH16" s="72"/>
      <c r="TLO16" s="74"/>
      <c r="TLP16" s="72"/>
      <c r="TLW16" s="74"/>
      <c r="TLX16" s="72"/>
      <c r="TME16" s="74"/>
      <c r="TMF16" s="72"/>
      <c r="TMM16" s="74"/>
      <c r="TMN16" s="72"/>
      <c r="TMU16" s="74"/>
      <c r="TMV16" s="72"/>
      <c r="TNC16" s="74"/>
      <c r="TND16" s="72"/>
      <c r="TNK16" s="74"/>
      <c r="TNL16" s="72"/>
      <c r="TNS16" s="74"/>
      <c r="TNT16" s="72"/>
      <c r="TOA16" s="74"/>
      <c r="TOB16" s="72"/>
      <c r="TOI16" s="74"/>
      <c r="TOJ16" s="72"/>
      <c r="TOQ16" s="74"/>
      <c r="TOR16" s="72"/>
      <c r="TOY16" s="74"/>
      <c r="TOZ16" s="72"/>
      <c r="TPG16" s="74"/>
      <c r="TPH16" s="72"/>
      <c r="TPO16" s="74"/>
      <c r="TPP16" s="72"/>
      <c r="TPW16" s="74"/>
      <c r="TPX16" s="72"/>
      <c r="TQE16" s="74"/>
      <c r="TQF16" s="72"/>
      <c r="TQM16" s="74"/>
      <c r="TQN16" s="72"/>
      <c r="TQU16" s="74"/>
      <c r="TQV16" s="72"/>
      <c r="TRC16" s="74"/>
      <c r="TRD16" s="72"/>
      <c r="TRK16" s="74"/>
      <c r="TRL16" s="72"/>
      <c r="TRS16" s="74"/>
      <c r="TRT16" s="72"/>
      <c r="TSA16" s="74"/>
      <c r="TSB16" s="72"/>
      <c r="TSI16" s="74"/>
      <c r="TSJ16" s="72"/>
      <c r="TSQ16" s="74"/>
      <c r="TSR16" s="72"/>
      <c r="TSY16" s="74"/>
      <c r="TSZ16" s="72"/>
      <c r="TTG16" s="74"/>
      <c r="TTH16" s="72"/>
      <c r="TTO16" s="74"/>
      <c r="TTP16" s="72"/>
      <c r="TTW16" s="74"/>
      <c r="TTX16" s="72"/>
      <c r="TUE16" s="74"/>
      <c r="TUF16" s="72"/>
      <c r="TUM16" s="74"/>
      <c r="TUN16" s="72"/>
      <c r="TUU16" s="74"/>
      <c r="TUV16" s="72"/>
      <c r="TVC16" s="74"/>
      <c r="TVD16" s="72"/>
      <c r="TVK16" s="74"/>
      <c r="TVL16" s="72"/>
      <c r="TVS16" s="74"/>
      <c r="TVT16" s="72"/>
      <c r="TWA16" s="74"/>
      <c r="TWB16" s="72"/>
      <c r="TWI16" s="74"/>
      <c r="TWJ16" s="72"/>
      <c r="TWQ16" s="74"/>
      <c r="TWR16" s="72"/>
      <c r="TWY16" s="74"/>
      <c r="TWZ16" s="72"/>
      <c r="TXG16" s="74"/>
      <c r="TXH16" s="72"/>
      <c r="TXO16" s="74"/>
      <c r="TXP16" s="72"/>
      <c r="TXW16" s="74"/>
      <c r="TXX16" s="72"/>
      <c r="TYE16" s="74"/>
      <c r="TYF16" s="72"/>
      <c r="TYM16" s="74"/>
      <c r="TYN16" s="72"/>
      <c r="TYU16" s="74"/>
      <c r="TYV16" s="72"/>
      <c r="TZC16" s="74"/>
      <c r="TZD16" s="72"/>
      <c r="TZK16" s="74"/>
      <c r="TZL16" s="72"/>
      <c r="TZS16" s="74"/>
      <c r="TZT16" s="72"/>
      <c r="UAA16" s="74"/>
      <c r="UAB16" s="72"/>
      <c r="UAI16" s="74"/>
      <c r="UAJ16" s="72"/>
      <c r="UAQ16" s="74"/>
      <c r="UAR16" s="72"/>
      <c r="UAY16" s="74"/>
      <c r="UAZ16" s="72"/>
      <c r="UBG16" s="74"/>
      <c r="UBH16" s="72"/>
      <c r="UBO16" s="74"/>
      <c r="UBP16" s="72"/>
      <c r="UBW16" s="74"/>
      <c r="UBX16" s="72"/>
      <c r="UCE16" s="74"/>
      <c r="UCF16" s="72"/>
      <c r="UCM16" s="74"/>
      <c r="UCN16" s="72"/>
      <c r="UCU16" s="74"/>
      <c r="UCV16" s="72"/>
      <c r="UDC16" s="74"/>
      <c r="UDD16" s="72"/>
      <c r="UDK16" s="74"/>
      <c r="UDL16" s="72"/>
      <c r="UDS16" s="74"/>
      <c r="UDT16" s="72"/>
      <c r="UEA16" s="74"/>
      <c r="UEB16" s="72"/>
      <c r="UEI16" s="74"/>
      <c r="UEJ16" s="72"/>
      <c r="UEQ16" s="74"/>
      <c r="UER16" s="72"/>
      <c r="UEY16" s="74"/>
      <c r="UEZ16" s="72"/>
      <c r="UFG16" s="74"/>
      <c r="UFH16" s="72"/>
      <c r="UFO16" s="74"/>
      <c r="UFP16" s="72"/>
      <c r="UFW16" s="74"/>
      <c r="UFX16" s="72"/>
      <c r="UGE16" s="74"/>
      <c r="UGF16" s="72"/>
      <c r="UGM16" s="74"/>
      <c r="UGN16" s="72"/>
      <c r="UGU16" s="74"/>
      <c r="UGV16" s="72"/>
      <c r="UHC16" s="74"/>
      <c r="UHD16" s="72"/>
      <c r="UHK16" s="74"/>
      <c r="UHL16" s="72"/>
      <c r="UHS16" s="74"/>
      <c r="UHT16" s="72"/>
      <c r="UIA16" s="74"/>
      <c r="UIB16" s="72"/>
      <c r="UII16" s="74"/>
      <c r="UIJ16" s="72"/>
      <c r="UIQ16" s="74"/>
      <c r="UIR16" s="72"/>
      <c r="UIY16" s="74"/>
      <c r="UIZ16" s="72"/>
      <c r="UJG16" s="74"/>
      <c r="UJH16" s="72"/>
      <c r="UJO16" s="74"/>
      <c r="UJP16" s="72"/>
      <c r="UJW16" s="74"/>
      <c r="UJX16" s="72"/>
      <c r="UKE16" s="74"/>
      <c r="UKF16" s="72"/>
      <c r="UKM16" s="74"/>
      <c r="UKN16" s="72"/>
      <c r="UKU16" s="74"/>
      <c r="UKV16" s="72"/>
      <c r="ULC16" s="74"/>
      <c r="ULD16" s="72"/>
      <c r="ULK16" s="74"/>
      <c r="ULL16" s="72"/>
      <c r="ULS16" s="74"/>
      <c r="ULT16" s="72"/>
      <c r="UMA16" s="74"/>
      <c r="UMB16" s="72"/>
      <c r="UMI16" s="74"/>
      <c r="UMJ16" s="72"/>
      <c r="UMQ16" s="74"/>
      <c r="UMR16" s="72"/>
      <c r="UMY16" s="74"/>
      <c r="UMZ16" s="72"/>
      <c r="UNG16" s="74"/>
      <c r="UNH16" s="72"/>
      <c r="UNO16" s="74"/>
      <c r="UNP16" s="72"/>
      <c r="UNW16" s="74"/>
      <c r="UNX16" s="72"/>
      <c r="UOE16" s="74"/>
      <c r="UOF16" s="72"/>
      <c r="UOM16" s="74"/>
      <c r="UON16" s="72"/>
      <c r="UOU16" s="74"/>
      <c r="UOV16" s="72"/>
      <c r="UPC16" s="74"/>
      <c r="UPD16" s="72"/>
      <c r="UPK16" s="74"/>
      <c r="UPL16" s="72"/>
      <c r="UPS16" s="74"/>
      <c r="UPT16" s="72"/>
      <c r="UQA16" s="74"/>
      <c r="UQB16" s="72"/>
      <c r="UQI16" s="74"/>
      <c r="UQJ16" s="72"/>
      <c r="UQQ16" s="74"/>
      <c r="UQR16" s="72"/>
      <c r="UQY16" s="74"/>
      <c r="UQZ16" s="72"/>
      <c r="URG16" s="74"/>
      <c r="URH16" s="72"/>
      <c r="URO16" s="74"/>
      <c r="URP16" s="72"/>
      <c r="URW16" s="74"/>
      <c r="URX16" s="72"/>
      <c r="USE16" s="74"/>
      <c r="USF16" s="72"/>
      <c r="USM16" s="74"/>
      <c r="USN16" s="72"/>
      <c r="USU16" s="74"/>
      <c r="USV16" s="72"/>
      <c r="UTC16" s="74"/>
      <c r="UTD16" s="72"/>
      <c r="UTK16" s="74"/>
      <c r="UTL16" s="72"/>
      <c r="UTS16" s="74"/>
      <c r="UTT16" s="72"/>
      <c r="UUA16" s="74"/>
      <c r="UUB16" s="72"/>
      <c r="UUI16" s="74"/>
      <c r="UUJ16" s="72"/>
      <c r="UUQ16" s="74"/>
      <c r="UUR16" s="72"/>
      <c r="UUY16" s="74"/>
      <c r="UUZ16" s="72"/>
      <c r="UVG16" s="74"/>
      <c r="UVH16" s="72"/>
      <c r="UVO16" s="74"/>
      <c r="UVP16" s="72"/>
      <c r="UVW16" s="74"/>
      <c r="UVX16" s="72"/>
      <c r="UWE16" s="74"/>
      <c r="UWF16" s="72"/>
      <c r="UWM16" s="74"/>
      <c r="UWN16" s="72"/>
      <c r="UWU16" s="74"/>
      <c r="UWV16" s="72"/>
      <c r="UXC16" s="74"/>
      <c r="UXD16" s="72"/>
      <c r="UXK16" s="74"/>
      <c r="UXL16" s="72"/>
      <c r="UXS16" s="74"/>
      <c r="UXT16" s="72"/>
      <c r="UYA16" s="74"/>
      <c r="UYB16" s="72"/>
      <c r="UYI16" s="74"/>
      <c r="UYJ16" s="72"/>
      <c r="UYQ16" s="74"/>
      <c r="UYR16" s="72"/>
      <c r="UYY16" s="74"/>
      <c r="UYZ16" s="72"/>
      <c r="UZG16" s="74"/>
      <c r="UZH16" s="72"/>
      <c r="UZO16" s="74"/>
      <c r="UZP16" s="72"/>
      <c r="UZW16" s="74"/>
      <c r="UZX16" s="72"/>
      <c r="VAE16" s="74"/>
      <c r="VAF16" s="72"/>
      <c r="VAM16" s="74"/>
      <c r="VAN16" s="72"/>
      <c r="VAU16" s="74"/>
      <c r="VAV16" s="72"/>
      <c r="VBC16" s="74"/>
      <c r="VBD16" s="72"/>
      <c r="VBK16" s="74"/>
      <c r="VBL16" s="72"/>
      <c r="VBS16" s="74"/>
      <c r="VBT16" s="72"/>
      <c r="VCA16" s="74"/>
      <c r="VCB16" s="72"/>
      <c r="VCI16" s="74"/>
      <c r="VCJ16" s="72"/>
      <c r="VCQ16" s="74"/>
      <c r="VCR16" s="72"/>
      <c r="VCY16" s="74"/>
      <c r="VCZ16" s="72"/>
      <c r="VDG16" s="74"/>
      <c r="VDH16" s="72"/>
      <c r="VDO16" s="74"/>
      <c r="VDP16" s="72"/>
      <c r="VDW16" s="74"/>
      <c r="VDX16" s="72"/>
      <c r="VEE16" s="74"/>
      <c r="VEF16" s="72"/>
      <c r="VEM16" s="74"/>
      <c r="VEN16" s="72"/>
      <c r="VEU16" s="74"/>
      <c r="VEV16" s="72"/>
      <c r="VFC16" s="74"/>
      <c r="VFD16" s="72"/>
      <c r="VFK16" s="74"/>
      <c r="VFL16" s="72"/>
      <c r="VFS16" s="74"/>
      <c r="VFT16" s="72"/>
      <c r="VGA16" s="74"/>
      <c r="VGB16" s="72"/>
      <c r="VGI16" s="74"/>
      <c r="VGJ16" s="72"/>
      <c r="VGQ16" s="74"/>
      <c r="VGR16" s="72"/>
      <c r="VGY16" s="74"/>
      <c r="VGZ16" s="72"/>
      <c r="VHG16" s="74"/>
      <c r="VHH16" s="72"/>
      <c r="VHO16" s="74"/>
      <c r="VHP16" s="72"/>
      <c r="VHW16" s="74"/>
      <c r="VHX16" s="72"/>
      <c r="VIE16" s="74"/>
      <c r="VIF16" s="72"/>
      <c r="VIM16" s="74"/>
      <c r="VIN16" s="72"/>
      <c r="VIU16" s="74"/>
      <c r="VIV16" s="72"/>
      <c r="VJC16" s="74"/>
      <c r="VJD16" s="72"/>
      <c r="VJK16" s="74"/>
      <c r="VJL16" s="72"/>
      <c r="VJS16" s="74"/>
      <c r="VJT16" s="72"/>
      <c r="VKA16" s="74"/>
      <c r="VKB16" s="72"/>
      <c r="VKI16" s="74"/>
      <c r="VKJ16" s="72"/>
      <c r="VKQ16" s="74"/>
      <c r="VKR16" s="72"/>
      <c r="VKY16" s="74"/>
      <c r="VKZ16" s="72"/>
      <c r="VLG16" s="74"/>
      <c r="VLH16" s="72"/>
      <c r="VLO16" s="74"/>
      <c r="VLP16" s="72"/>
      <c r="VLW16" s="74"/>
      <c r="VLX16" s="72"/>
      <c r="VME16" s="74"/>
      <c r="VMF16" s="72"/>
      <c r="VMM16" s="74"/>
      <c r="VMN16" s="72"/>
      <c r="VMU16" s="74"/>
      <c r="VMV16" s="72"/>
      <c r="VNC16" s="74"/>
      <c r="VND16" s="72"/>
      <c r="VNK16" s="74"/>
      <c r="VNL16" s="72"/>
      <c r="VNS16" s="74"/>
      <c r="VNT16" s="72"/>
      <c r="VOA16" s="74"/>
      <c r="VOB16" s="72"/>
      <c r="VOI16" s="74"/>
      <c r="VOJ16" s="72"/>
      <c r="VOQ16" s="74"/>
      <c r="VOR16" s="72"/>
      <c r="VOY16" s="74"/>
      <c r="VOZ16" s="72"/>
      <c r="VPG16" s="74"/>
      <c r="VPH16" s="72"/>
      <c r="VPO16" s="74"/>
      <c r="VPP16" s="72"/>
      <c r="VPW16" s="74"/>
      <c r="VPX16" s="72"/>
      <c r="VQE16" s="74"/>
      <c r="VQF16" s="72"/>
      <c r="VQM16" s="74"/>
      <c r="VQN16" s="72"/>
      <c r="VQU16" s="74"/>
      <c r="VQV16" s="72"/>
      <c r="VRC16" s="74"/>
      <c r="VRD16" s="72"/>
      <c r="VRK16" s="74"/>
      <c r="VRL16" s="72"/>
      <c r="VRS16" s="74"/>
      <c r="VRT16" s="72"/>
      <c r="VSA16" s="74"/>
      <c r="VSB16" s="72"/>
      <c r="VSI16" s="74"/>
      <c r="VSJ16" s="72"/>
      <c r="VSQ16" s="74"/>
      <c r="VSR16" s="72"/>
      <c r="VSY16" s="74"/>
      <c r="VSZ16" s="72"/>
      <c r="VTG16" s="74"/>
      <c r="VTH16" s="72"/>
      <c r="VTO16" s="74"/>
      <c r="VTP16" s="72"/>
      <c r="VTW16" s="74"/>
      <c r="VTX16" s="72"/>
      <c r="VUE16" s="74"/>
      <c r="VUF16" s="72"/>
      <c r="VUM16" s="74"/>
      <c r="VUN16" s="72"/>
      <c r="VUU16" s="74"/>
      <c r="VUV16" s="72"/>
      <c r="VVC16" s="74"/>
      <c r="VVD16" s="72"/>
      <c r="VVK16" s="74"/>
      <c r="VVL16" s="72"/>
      <c r="VVS16" s="74"/>
      <c r="VVT16" s="72"/>
      <c r="VWA16" s="74"/>
      <c r="VWB16" s="72"/>
      <c r="VWI16" s="74"/>
      <c r="VWJ16" s="72"/>
      <c r="VWQ16" s="74"/>
      <c r="VWR16" s="72"/>
      <c r="VWY16" s="74"/>
      <c r="VWZ16" s="72"/>
      <c r="VXG16" s="74"/>
      <c r="VXH16" s="72"/>
      <c r="VXO16" s="74"/>
      <c r="VXP16" s="72"/>
      <c r="VXW16" s="74"/>
      <c r="VXX16" s="72"/>
      <c r="VYE16" s="74"/>
      <c r="VYF16" s="72"/>
      <c r="VYM16" s="74"/>
      <c r="VYN16" s="72"/>
      <c r="VYU16" s="74"/>
      <c r="VYV16" s="72"/>
      <c r="VZC16" s="74"/>
      <c r="VZD16" s="72"/>
      <c r="VZK16" s="74"/>
      <c r="VZL16" s="72"/>
      <c r="VZS16" s="74"/>
      <c r="VZT16" s="72"/>
      <c r="WAA16" s="74"/>
      <c r="WAB16" s="72"/>
      <c r="WAI16" s="74"/>
      <c r="WAJ16" s="72"/>
      <c r="WAQ16" s="74"/>
      <c r="WAR16" s="72"/>
      <c r="WAY16" s="74"/>
      <c r="WAZ16" s="72"/>
      <c r="WBG16" s="74"/>
      <c r="WBH16" s="72"/>
      <c r="WBO16" s="74"/>
      <c r="WBP16" s="72"/>
      <c r="WBW16" s="74"/>
      <c r="WBX16" s="72"/>
      <c r="WCE16" s="74"/>
      <c r="WCF16" s="72"/>
      <c r="WCM16" s="74"/>
      <c r="WCN16" s="72"/>
      <c r="WCU16" s="74"/>
      <c r="WCV16" s="72"/>
      <c r="WDC16" s="74"/>
      <c r="WDD16" s="72"/>
      <c r="WDK16" s="74"/>
      <c r="WDL16" s="72"/>
      <c r="WDS16" s="74"/>
      <c r="WDT16" s="72"/>
      <c r="WEA16" s="74"/>
      <c r="WEB16" s="72"/>
      <c r="WEI16" s="74"/>
      <c r="WEJ16" s="72"/>
      <c r="WEQ16" s="74"/>
      <c r="WER16" s="72"/>
      <c r="WEY16" s="74"/>
      <c r="WEZ16" s="72"/>
      <c r="WFG16" s="74"/>
      <c r="WFH16" s="72"/>
      <c r="WFO16" s="74"/>
      <c r="WFP16" s="72"/>
      <c r="WFW16" s="74"/>
      <c r="WFX16" s="72"/>
      <c r="WGE16" s="74"/>
      <c r="WGF16" s="72"/>
      <c r="WGM16" s="74"/>
      <c r="WGN16" s="72"/>
      <c r="WGU16" s="74"/>
      <c r="WGV16" s="72"/>
      <c r="WHC16" s="74"/>
      <c r="WHD16" s="72"/>
      <c r="WHK16" s="74"/>
      <c r="WHL16" s="72"/>
      <c r="WHS16" s="74"/>
      <c r="WHT16" s="72"/>
      <c r="WIA16" s="74"/>
      <c r="WIB16" s="72"/>
      <c r="WII16" s="74"/>
      <c r="WIJ16" s="72"/>
      <c r="WIQ16" s="74"/>
      <c r="WIR16" s="72"/>
      <c r="WIY16" s="74"/>
      <c r="WIZ16" s="72"/>
      <c r="WJG16" s="74"/>
      <c r="WJH16" s="72"/>
      <c r="WJO16" s="74"/>
      <c r="WJP16" s="72"/>
      <c r="WJW16" s="74"/>
      <c r="WJX16" s="72"/>
      <c r="WKE16" s="74"/>
      <c r="WKF16" s="72"/>
      <c r="WKM16" s="74"/>
      <c r="WKN16" s="72"/>
      <c r="WKU16" s="74"/>
      <c r="WKV16" s="72"/>
      <c r="WLC16" s="74"/>
      <c r="WLD16" s="72"/>
      <c r="WLK16" s="74"/>
      <c r="WLL16" s="72"/>
      <c r="WLS16" s="74"/>
      <c r="WLT16" s="72"/>
      <c r="WMA16" s="74"/>
      <c r="WMB16" s="72"/>
      <c r="WMI16" s="74"/>
      <c r="WMJ16" s="72"/>
      <c r="WMQ16" s="74"/>
      <c r="WMR16" s="72"/>
      <c r="WMY16" s="74"/>
      <c r="WMZ16" s="72"/>
      <c r="WNG16" s="74"/>
      <c r="WNH16" s="72"/>
      <c r="WNO16" s="74"/>
      <c r="WNP16" s="72"/>
      <c r="WNW16" s="74"/>
      <c r="WNX16" s="72"/>
      <c r="WOE16" s="74"/>
      <c r="WOF16" s="72"/>
      <c r="WOM16" s="74"/>
      <c r="WON16" s="72"/>
      <c r="WOU16" s="74"/>
      <c r="WOV16" s="72"/>
      <c r="WPC16" s="74"/>
      <c r="WPD16" s="72"/>
      <c r="WPK16" s="74"/>
      <c r="WPL16" s="72"/>
      <c r="WPS16" s="74"/>
      <c r="WPT16" s="72"/>
      <c r="WQA16" s="74"/>
      <c r="WQB16" s="72"/>
      <c r="WQI16" s="74"/>
      <c r="WQJ16" s="72"/>
      <c r="WQQ16" s="74"/>
      <c r="WQR16" s="72"/>
      <c r="WQY16" s="74"/>
      <c r="WQZ16" s="72"/>
      <c r="WRG16" s="74"/>
      <c r="WRH16" s="72"/>
      <c r="WRO16" s="74"/>
      <c r="WRP16" s="72"/>
      <c r="WRW16" s="74"/>
      <c r="WRX16" s="72"/>
      <c r="WSE16" s="74"/>
      <c r="WSF16" s="72"/>
      <c r="WSM16" s="74"/>
      <c r="WSN16" s="72"/>
      <c r="WSU16" s="74"/>
      <c r="WSV16" s="72"/>
      <c r="WTC16" s="74"/>
      <c r="WTD16" s="72"/>
      <c r="WTK16" s="74"/>
      <c r="WTL16" s="72"/>
      <c r="WTS16" s="74"/>
      <c r="WTT16" s="72"/>
      <c r="WUA16" s="74"/>
      <c r="WUB16" s="72"/>
      <c r="WUI16" s="74"/>
      <c r="WUJ16" s="72"/>
      <c r="WUQ16" s="74"/>
      <c r="WUR16" s="72"/>
      <c r="WUY16" s="74"/>
      <c r="WUZ16" s="72"/>
      <c r="WVG16" s="74"/>
      <c r="WVH16" s="72"/>
      <c r="WVO16" s="74"/>
      <c r="WVP16" s="72"/>
      <c r="WVW16" s="74"/>
      <c r="WVX16" s="72"/>
      <c r="WWE16" s="74"/>
      <c r="WWF16" s="72"/>
      <c r="WWM16" s="74"/>
      <c r="WWN16" s="72"/>
      <c r="WWU16" s="74"/>
      <c r="WWV16" s="72"/>
      <c r="WXC16" s="74"/>
      <c r="WXD16" s="72"/>
      <c r="WXK16" s="74"/>
      <c r="WXL16" s="72"/>
      <c r="WXS16" s="74"/>
      <c r="WXT16" s="72"/>
      <c r="WYA16" s="74"/>
      <c r="WYB16" s="72"/>
      <c r="WYI16" s="74"/>
      <c r="WYJ16" s="72"/>
      <c r="WYQ16" s="74"/>
      <c r="WYR16" s="72"/>
      <c r="WYY16" s="74"/>
      <c r="WYZ16" s="72"/>
      <c r="WZG16" s="74"/>
      <c r="WZH16" s="72"/>
      <c r="WZO16" s="74"/>
      <c r="WZP16" s="72"/>
      <c r="WZW16" s="74"/>
      <c r="WZX16" s="72"/>
      <c r="XAE16" s="74"/>
      <c r="XAF16" s="72"/>
      <c r="XAM16" s="74"/>
      <c r="XAN16" s="72"/>
      <c r="XAU16" s="74"/>
      <c r="XAV16" s="72"/>
      <c r="XBC16" s="74"/>
      <c r="XBD16" s="72"/>
      <c r="XBK16" s="74"/>
      <c r="XBL16" s="72"/>
      <c r="XBS16" s="74"/>
      <c r="XBT16" s="72"/>
      <c r="XCA16" s="74"/>
      <c r="XCB16" s="72"/>
      <c r="XCI16" s="74"/>
      <c r="XCJ16" s="72"/>
      <c r="XCQ16" s="74"/>
      <c r="XCR16" s="72"/>
      <c r="XCY16" s="74"/>
      <c r="XCZ16" s="72"/>
      <c r="XDG16" s="74"/>
      <c r="XDH16" s="72"/>
      <c r="XDO16" s="74"/>
      <c r="XDP16" s="72"/>
      <c r="XDW16" s="74"/>
      <c r="XDX16" s="72"/>
      <c r="XEE16" s="74"/>
      <c r="XEF16" s="72"/>
      <c r="XEM16" s="74"/>
      <c r="XEN16" s="72"/>
      <c r="XEU16" s="74"/>
      <c r="XEV16" s="72"/>
      <c r="XFC16" s="74"/>
      <c r="XFD16" s="72"/>
    </row>
    <row r="17" spans="1:27" ht="15.5" customHeight="1" thickBot="1">
      <c r="A17" s="4"/>
      <c r="B17" s="59" t="s">
        <v>197</v>
      </c>
      <c r="C17" s="110">
        <v>18241.749299999999</v>
      </c>
      <c r="D17" s="149">
        <f>SUM(E17:H17)</f>
        <v>40699.368289999999</v>
      </c>
      <c r="E17" s="110">
        <v>7407.1</v>
      </c>
      <c r="F17" s="110">
        <v>8465.3944699999993</v>
      </c>
      <c r="G17" s="110">
        <v>12227.748600000001</v>
      </c>
      <c r="H17" s="110">
        <v>12599.125220000002</v>
      </c>
      <c r="I17" s="60">
        <f>SUM(J17:M17)</f>
        <v>100627.5</v>
      </c>
      <c r="J17" s="60">
        <v>36812</v>
      </c>
      <c r="K17" s="60">
        <v>31286</v>
      </c>
      <c r="L17" s="60">
        <f>19312</f>
        <v>19312</v>
      </c>
      <c r="M17" s="60">
        <v>13217.5</v>
      </c>
      <c r="N17" s="110">
        <f>SUM(O17:R17)+120</f>
        <v>15476.10455</v>
      </c>
      <c r="O17" s="60">
        <v>4107</v>
      </c>
      <c r="P17" s="60">
        <v>6093</v>
      </c>
      <c r="Q17" s="60">
        <v>2209</v>
      </c>
      <c r="R17" s="60">
        <v>2947.10455</v>
      </c>
      <c r="S17" s="60">
        <v>14452</v>
      </c>
      <c r="T17" s="60">
        <f>S17-U17-V17-W17</f>
        <v>11967</v>
      </c>
      <c r="U17" s="60">
        <v>1403</v>
      </c>
      <c r="V17" s="60">
        <v>1082</v>
      </c>
      <c r="W17" s="60">
        <v>0</v>
      </c>
      <c r="X17" s="60">
        <v>0</v>
      </c>
      <c r="Y17" s="60">
        <v>0</v>
      </c>
      <c r="Z17" s="60">
        <v>0</v>
      </c>
      <c r="AA17" s="60">
        <v>0</v>
      </c>
    </row>
    <row r="18" spans="1:27" s="152" customFormat="1" ht="15" customHeight="1" thickBot="1">
      <c r="A18" s="150"/>
      <c r="B18" s="66" t="s">
        <v>198</v>
      </c>
      <c r="C18" s="67">
        <f>SUM(C15,C12,C8)</f>
        <v>172881.62407999998</v>
      </c>
      <c r="D18" s="67">
        <f>SUM(E18:H18)</f>
        <v>665305.23756499996</v>
      </c>
      <c r="E18" s="67">
        <f>E15+E12+E8</f>
        <v>258765.45</v>
      </c>
      <c r="F18" s="67">
        <f>F15+F12+F8</f>
        <v>161860.11759500002</v>
      </c>
      <c r="G18" s="67">
        <f>G15+G12+G8</f>
        <v>112158.961725</v>
      </c>
      <c r="H18" s="67">
        <f>H15+H12+H8</f>
        <v>132520.70824500002</v>
      </c>
      <c r="I18" s="67">
        <f>I15+I12+I8</f>
        <v>690844.5</v>
      </c>
      <c r="J18" s="67">
        <f t="shared" ref="J18:AA18" si="7">J15+J12+J8</f>
        <v>253521</v>
      </c>
      <c r="K18" s="67">
        <f t="shared" si="7"/>
        <v>164385</v>
      </c>
      <c r="L18" s="67">
        <f t="shared" si="7"/>
        <v>145739</v>
      </c>
      <c r="M18" s="67">
        <f t="shared" si="7"/>
        <v>133687.5</v>
      </c>
      <c r="N18" s="151">
        <f t="shared" si="7"/>
        <v>411874</v>
      </c>
      <c r="O18" s="67">
        <f t="shared" si="7"/>
        <v>171752</v>
      </c>
      <c r="P18" s="67">
        <f t="shared" si="7"/>
        <v>112769</v>
      </c>
      <c r="Q18" s="67">
        <f t="shared" si="7"/>
        <v>68322</v>
      </c>
      <c r="R18" s="67">
        <f t="shared" si="7"/>
        <v>59031</v>
      </c>
      <c r="S18" s="67">
        <f t="shared" si="7"/>
        <v>317471</v>
      </c>
      <c r="T18" s="67">
        <f t="shared" si="7"/>
        <v>131295</v>
      </c>
      <c r="U18" s="67">
        <f t="shared" si="7"/>
        <v>96617</v>
      </c>
      <c r="V18" s="67">
        <f t="shared" si="7"/>
        <v>49964</v>
      </c>
      <c r="W18" s="67">
        <f t="shared" si="7"/>
        <v>39595</v>
      </c>
      <c r="X18" s="67">
        <f t="shared" si="7"/>
        <v>239369</v>
      </c>
      <c r="Y18" s="67">
        <f t="shared" si="7"/>
        <v>156316</v>
      </c>
      <c r="Z18" s="67">
        <f t="shared" si="7"/>
        <v>83053</v>
      </c>
      <c r="AA18" s="67">
        <f t="shared" si="7"/>
        <v>158455</v>
      </c>
    </row>
    <row r="19" spans="1:27" ht="15" customHeight="1">
      <c r="B19" s="103" t="s">
        <v>196</v>
      </c>
      <c r="C19" s="222"/>
      <c r="D19" s="222"/>
      <c r="E19" s="86"/>
      <c r="F19" s="86"/>
      <c r="G19" s="86"/>
      <c r="H19" s="86"/>
      <c r="I19" s="86"/>
      <c r="J19" s="86"/>
      <c r="K19" s="86"/>
      <c r="L19" s="86"/>
      <c r="M19" s="86"/>
      <c r="N19" s="81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</row>
    <row r="20" spans="1:27" s="81" customFormat="1">
      <c r="B20" s="115"/>
      <c r="C20" s="144"/>
      <c r="D20" s="144"/>
      <c r="E20" s="144"/>
      <c r="F20" s="144"/>
      <c r="G20" s="144"/>
      <c r="H20" s="144"/>
      <c r="I20" s="144"/>
      <c r="J20" s="86"/>
      <c r="K20" s="86"/>
      <c r="L20" s="86"/>
      <c r="M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</row>
    <row r="21" spans="1:27" s="81" customFormat="1">
      <c r="B21" s="115"/>
      <c r="C21" s="223"/>
      <c r="D21" s="223"/>
      <c r="E21" s="86"/>
      <c r="F21" s="86"/>
      <c r="G21" s="86"/>
      <c r="H21" s="86"/>
      <c r="I21" s="86"/>
      <c r="J21" s="86"/>
      <c r="K21" s="86"/>
      <c r="L21" s="86"/>
      <c r="M21" s="86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86"/>
    </row>
    <row r="22" spans="1:27" s="213" customFormat="1">
      <c r="B22" s="220" t="s">
        <v>281</v>
      </c>
      <c r="C22" s="224"/>
      <c r="D22" s="224"/>
      <c r="E22" s="218"/>
      <c r="F22" s="218">
        <f>('3. Fluxo de Caixa'!E58+'3. Fluxo de Caixa'!E60)+F18</f>
        <v>-248617.88240499998</v>
      </c>
      <c r="G22" s="218">
        <f>('3. Fluxo de Caixa'!F58+'3. Fluxo de Caixa'!F60)+G18</f>
        <v>-130842.038275</v>
      </c>
      <c r="H22" s="218">
        <f>('3. Fluxo de Caixa'!G58+'3. Fluxo de Caixa'!G60)+H18</f>
        <v>18231.708245000016</v>
      </c>
      <c r="I22" s="218"/>
      <c r="J22" s="218"/>
      <c r="K22" s="218">
        <f>K18+(('3. Fluxo de Caixa'!I58+'3. Fluxo de Caixa'!I60)-('3. Fluxo de Caixa'!J58+'3. Fluxo de Caixa'!J60))</f>
        <v>6489</v>
      </c>
      <c r="L22" s="218">
        <f>L18+('3. Fluxo de Caixa'!J58+'3. Fluxo de Caixa'!J60)-('3. Fluxo de Caixa'!K58+'3. Fluxo de Caixa'!K60)</f>
        <v>-1</v>
      </c>
      <c r="M22" s="218">
        <f>M18+('3. Fluxo de Caixa'!K58+'3. Fluxo de Caixa'!K60)</f>
        <v>0.5</v>
      </c>
      <c r="N22" s="215">
        <f>N18+('3. Fluxo de Caixa'!L58+'3. Fluxo de Caixa'!L60)</f>
        <v>0</v>
      </c>
      <c r="O22" s="218">
        <f>O18+('3. Fluxo de Caixa'!L58-'3. Fluxo de Caixa'!M58+'3. Fluxo de Caixa'!L60-'3. Fluxo de Caixa'!M60)</f>
        <v>0</v>
      </c>
      <c r="P22" s="218">
        <f>P18+('3. Fluxo de Caixa'!M58-'3. Fluxo de Caixa'!N58+'3. Fluxo de Caixa'!M60-'3. Fluxo de Caixa'!N60)</f>
        <v>0</v>
      </c>
      <c r="Q22" s="218">
        <f>Q18+('3. Fluxo de Caixa'!N58-'3. Fluxo de Caixa'!O58+'3. Fluxo de Caixa'!N60-'3. Fluxo de Caixa'!O60)</f>
        <v>0</v>
      </c>
      <c r="R22" s="218">
        <f>R18+('3. Fluxo de Caixa'!O58+'3. Fluxo de Caixa'!O60)</f>
        <v>0</v>
      </c>
      <c r="S22" s="218">
        <f>S18+('3. Fluxo de Caixa'!P58+'3. Fluxo de Caixa'!P60)</f>
        <v>0</v>
      </c>
      <c r="T22" s="218"/>
      <c r="U22" s="218">
        <f>U18+(('3. Fluxo de Caixa'!Q58-'3. Fluxo de Caixa'!R58)+('3. Fluxo de Caixa'!Q60-'3. Fluxo de Caixa'!R60))</f>
        <v>0</v>
      </c>
      <c r="V22" s="218">
        <f>V18+('3. Fluxo de Caixa'!R58-'3. Fluxo de Caixa'!S58+'3. Fluxo de Caixa'!R60-'3. Fluxo de Caixa'!S60)</f>
        <v>0</v>
      </c>
      <c r="W22" s="218">
        <f>W18+('3. Fluxo de Caixa'!S58+'3. Fluxo de Caixa'!S60)</f>
        <v>0</v>
      </c>
      <c r="X22" s="218">
        <f>X18+('3. Fluxo de Caixa'!T58+'3. Fluxo de Caixa'!T60)</f>
        <v>0</v>
      </c>
      <c r="Y22" s="218">
        <f>Y18+('3. Fluxo de Caixa'!T58-'3. Fluxo de Caixa'!U58+'3. Fluxo de Caixa'!T60-'3. Fluxo de Caixa'!U60)</f>
        <v>101437</v>
      </c>
      <c r="Z22" s="218">
        <f>Z18+('3. Fluxo de Caixa'!U58+'3. Fluxo de Caixa'!U60)</f>
        <v>-101437</v>
      </c>
      <c r="AA22" s="218">
        <f>AA18+('3. Fluxo de Caixa'!V58+'3. Fluxo de Caixa'!V60)</f>
        <v>0</v>
      </c>
    </row>
    <row r="23" spans="1:27" s="81" customFormat="1">
      <c r="B23" s="115"/>
      <c r="C23" s="86"/>
      <c r="D23" s="86"/>
      <c r="E23" s="86"/>
      <c r="F23" s="86"/>
      <c r="G23" s="86"/>
      <c r="H23" s="86"/>
      <c r="I23" s="86"/>
      <c r="J23" s="86"/>
      <c r="K23" s="92"/>
      <c r="L23" s="144"/>
      <c r="M23" s="86"/>
      <c r="O23" s="86"/>
      <c r="P23" s="92"/>
      <c r="Q23" s="86"/>
      <c r="R23" s="86"/>
      <c r="S23" s="92"/>
      <c r="T23" s="92"/>
      <c r="U23" s="92"/>
      <c r="V23" s="92"/>
      <c r="W23" s="92"/>
      <c r="X23" s="92"/>
      <c r="Y23" s="92"/>
      <c r="Z23" s="92"/>
      <c r="AA23" s="92"/>
    </row>
    <row r="24" spans="1:27" s="81" customFormat="1">
      <c r="B24" s="115"/>
      <c r="C24" s="86"/>
      <c r="D24" s="86"/>
      <c r="E24" s="86"/>
      <c r="F24" s="86"/>
      <c r="G24" s="86"/>
      <c r="H24" s="86"/>
      <c r="I24" s="86"/>
      <c r="J24" s="86"/>
      <c r="K24" s="92"/>
      <c r="L24" s="144"/>
      <c r="M24" s="86"/>
      <c r="O24" s="86"/>
      <c r="P24" s="92"/>
      <c r="Q24" s="144"/>
      <c r="R24" s="86"/>
      <c r="S24" s="92"/>
      <c r="T24" s="92"/>
      <c r="U24" s="92"/>
      <c r="V24" s="92"/>
      <c r="W24" s="92"/>
      <c r="X24" s="92"/>
      <c r="Y24" s="92"/>
      <c r="Z24" s="92"/>
      <c r="AA24" s="92"/>
    </row>
    <row r="25" spans="1:27" s="81" customFormat="1">
      <c r="B25" s="115"/>
      <c r="C25" s="144"/>
      <c r="D25" s="144"/>
      <c r="E25" s="144"/>
      <c r="F25" s="144"/>
      <c r="G25" s="144"/>
      <c r="H25" s="144"/>
      <c r="I25" s="144"/>
      <c r="J25" s="86"/>
      <c r="K25" s="86"/>
      <c r="L25" s="144"/>
      <c r="M25" s="86"/>
      <c r="O25" s="86"/>
      <c r="P25" s="86"/>
      <c r="Q25" s="144"/>
      <c r="R25" s="86"/>
      <c r="S25" s="86"/>
      <c r="T25" s="86"/>
      <c r="U25" s="86"/>
      <c r="V25" s="86"/>
      <c r="W25" s="86"/>
      <c r="X25" s="86"/>
      <c r="Y25" s="86"/>
      <c r="Z25" s="86"/>
      <c r="AA25" s="86"/>
    </row>
    <row r="26" spans="1:27" s="81" customFormat="1">
      <c r="B26" s="115"/>
      <c r="C26" s="144"/>
      <c r="D26" s="144"/>
      <c r="E26" s="144"/>
      <c r="F26" s="144"/>
      <c r="G26" s="144"/>
      <c r="H26" s="144"/>
      <c r="I26" s="144"/>
      <c r="J26" s="86"/>
      <c r="K26" s="86"/>
      <c r="L26" s="144"/>
      <c r="M26" s="86"/>
      <c r="O26" s="86"/>
      <c r="P26" s="86"/>
      <c r="Q26" s="144"/>
      <c r="R26" s="86"/>
      <c r="S26" s="86"/>
      <c r="T26" s="86"/>
      <c r="U26" s="86"/>
      <c r="V26" s="86"/>
      <c r="W26" s="86"/>
      <c r="X26" s="86"/>
      <c r="Y26" s="86"/>
      <c r="Z26" s="86"/>
      <c r="AA26" s="86"/>
    </row>
    <row r="27" spans="1:27">
      <c r="B27" s="115"/>
      <c r="C27" s="144"/>
      <c r="D27" s="144"/>
      <c r="E27" s="144"/>
      <c r="F27" s="144"/>
      <c r="G27" s="144"/>
      <c r="H27" s="144"/>
      <c r="I27" s="144"/>
      <c r="J27" s="86"/>
      <c r="K27" s="86"/>
      <c r="L27" s="144"/>
      <c r="M27" s="86"/>
      <c r="N27" s="81"/>
      <c r="O27" s="86"/>
      <c r="P27" s="86"/>
      <c r="Q27" s="144"/>
      <c r="R27" s="86"/>
      <c r="S27" s="86"/>
      <c r="T27" s="86"/>
      <c r="U27" s="86"/>
      <c r="V27" s="86"/>
      <c r="W27" s="86"/>
      <c r="X27" s="86"/>
      <c r="Y27" s="86"/>
      <c r="Z27" s="86"/>
      <c r="AA27" s="86"/>
    </row>
    <row r="28" spans="1:27">
      <c r="B28" s="115"/>
      <c r="C28" s="144"/>
      <c r="D28" s="144"/>
      <c r="E28" s="144"/>
      <c r="F28" s="144"/>
      <c r="G28" s="144"/>
      <c r="H28" s="144"/>
      <c r="I28" s="144"/>
      <c r="J28" s="86"/>
      <c r="K28" s="86"/>
      <c r="L28" s="144"/>
      <c r="M28" s="86"/>
      <c r="N28" s="81"/>
      <c r="O28" s="86"/>
      <c r="P28" s="86"/>
      <c r="Q28" s="144"/>
      <c r="R28" s="86"/>
      <c r="S28" s="86"/>
      <c r="T28" s="86"/>
      <c r="U28" s="86"/>
      <c r="V28" s="86"/>
      <c r="W28" s="86"/>
      <c r="X28" s="86"/>
      <c r="Y28" s="86"/>
      <c r="Z28" s="86"/>
      <c r="AA28" s="86"/>
    </row>
    <row r="29" spans="1:27">
      <c r="C29" s="144"/>
      <c r="D29" s="144"/>
      <c r="E29" s="144"/>
      <c r="F29" s="144"/>
      <c r="G29" s="144"/>
      <c r="H29" s="144"/>
      <c r="I29" s="144"/>
      <c r="L29" s="144"/>
      <c r="Q29" s="144"/>
    </row>
    <row r="30" spans="1:27">
      <c r="C30" s="144"/>
      <c r="D30" s="144"/>
      <c r="E30" s="144"/>
      <c r="F30" s="144"/>
      <c r="G30" s="144"/>
      <c r="H30" s="144"/>
      <c r="I30" s="144"/>
    </row>
    <row r="31" spans="1:27">
      <c r="C31" s="144"/>
      <c r="D31" s="144"/>
      <c r="E31" s="144"/>
      <c r="F31" s="144"/>
      <c r="G31" s="144"/>
      <c r="H31" s="144"/>
      <c r="I31" s="144"/>
      <c r="L31" s="144"/>
      <c r="Q31" s="144"/>
    </row>
    <row r="32" spans="1:27">
      <c r="C32" s="144"/>
      <c r="D32" s="144"/>
      <c r="E32" s="144"/>
      <c r="F32" s="144"/>
      <c r="G32" s="144"/>
      <c r="H32" s="144"/>
      <c r="I32" s="144"/>
    </row>
    <row r="33" spans="3:9">
      <c r="C33" s="144"/>
      <c r="D33" s="144"/>
      <c r="E33" s="144"/>
      <c r="F33" s="144"/>
      <c r="G33" s="144"/>
      <c r="H33" s="144"/>
      <c r="I33" s="144"/>
    </row>
    <row r="34" spans="3:9">
      <c r="C34" s="144"/>
      <c r="D34" s="144"/>
      <c r="E34" s="144"/>
      <c r="F34" s="144"/>
      <c r="G34" s="144"/>
      <c r="H34" s="144"/>
      <c r="I34" s="144"/>
    </row>
  </sheetData>
  <sheetProtection algorithmName="SHA-512" hashValue="sUh8icPQAMJiC0jlwXYZ5hyyrSAGJlqoCLwEpkip7v2fBV3EkbLn8nkRNz9m7CnWf9Nt+BENHi+Ys1YCaulZCw==" saltValue="9Z2tPCkfzJJfENspSwn5Ig==" spinCount="100000" sheet="1" selectLockedCells="1" selectUnlockedCells="1"/>
  <mergeCells count="5">
    <mergeCell ref="N3:O3"/>
    <mergeCell ref="N4:O4"/>
    <mergeCell ref="B3:B4"/>
    <mergeCell ref="H3:J3"/>
    <mergeCell ref="H4:J4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J20:AA20 U17:AA19 H20 K11:M11 O9:AA11 I10:I11 I13:I14 U13:AA15 K10:L10 I16:I17 I9 N9:N10 U12:X12 Z12:AA12 D15 D9:D12 D8 D13:D14 D16:D17" unlockedFormula="1"/>
    <ignoredError sqref="L17:M17 J18:M19 J12:M13 O17:T19 H19 I12 O12:T15 M14 Y12" formula="1" unlockedFormula="1"/>
    <ignoredError sqref="J17 I15 N12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C80B26-A5BB-486F-925C-5908A349BA4B}">
  <sheetPr codeName="Planilha11"/>
  <dimension ref="A1:XFD212"/>
  <sheetViews>
    <sheetView showGridLines="0" zoomScale="115" zoomScaleNormal="115" workbookViewId="0">
      <pane xSplit="2" ySplit="7" topLeftCell="C8" activePane="bottomRight" state="frozen"/>
      <selection activeCell="F27" sqref="F27"/>
      <selection pane="topRight" activeCell="F27" sqref="F27"/>
      <selection pane="bottomLeft" activeCell="F27" sqref="F27"/>
      <selection pane="bottomRight" activeCell="C22" sqref="C22"/>
    </sheetView>
  </sheetViews>
  <sheetFormatPr defaultColWidth="8.54296875" defaultRowHeight="13"/>
  <cols>
    <col min="1" max="1" width="3" style="61" customWidth="1"/>
    <col min="2" max="2" width="35" style="94" bestFit="1" customWidth="1"/>
    <col min="3" max="27" width="10.54296875" style="90" customWidth="1"/>
    <col min="28" max="28" width="8.54296875" style="61"/>
    <col min="29" max="30" width="12.54296875" style="177" bestFit="1" customWidth="1"/>
    <col min="31" max="16384" width="8.54296875" style="61"/>
  </cols>
  <sheetData>
    <row r="1" spans="1:1024 1031:2048 2055:3072 3079:4096 4103:5120 5127:6144 6151:7168 7175:8192 8199:9216 9223:10240 10247:11264 11271:12288 12295:13312 13319:14336 14343:15360 15367:16384" s="4" customFormat="1">
      <c r="B1" s="10"/>
      <c r="C1" s="85"/>
      <c r="D1" s="85"/>
      <c r="E1" s="85"/>
      <c r="F1" s="85"/>
      <c r="G1" s="85"/>
      <c r="H1" s="85"/>
      <c r="I1" s="85"/>
      <c r="J1" s="85"/>
      <c r="K1" s="138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C1" s="177"/>
      <c r="AD1" s="177"/>
    </row>
    <row r="2" spans="1:1024 1031:2048 2055:3072 3079:4096 4103:5120 5127:6144 6151:7168 7175:8192 8199:9216 9223:10240 10247:11264 11271:12288 12295:13312 13319:14336 14343:15360 15367:16384" s="4" customFormat="1">
      <c r="A2" s="25"/>
      <c r="B2" s="10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C2" s="177"/>
      <c r="AD2" s="177"/>
    </row>
    <row r="3" spans="1:1024 1031:2048 2055:3072 3079:4096 4103:5120 5127:6144 6151:7168 7175:8192 8199:9216 9223:10240 10247:11264 11271:12288 12295:13312 13319:14336 14343:15360 15367:16384" s="4" customFormat="1" ht="14.5" customHeight="1">
      <c r="A3" s="25"/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183"/>
      <c r="T3" s="183"/>
      <c r="U3" s="183"/>
      <c r="V3" s="183"/>
      <c r="W3" s="85"/>
      <c r="X3" s="85"/>
      <c r="Y3" s="85"/>
      <c r="Z3" s="85"/>
      <c r="AA3" s="85"/>
      <c r="AC3" s="177"/>
      <c r="AD3" s="177"/>
    </row>
    <row r="4" spans="1:1024 1031:2048 2055:3072 3079:4096 4103:5120 5127:6144 6151:7168 7175:8192 8199:9216 9223:10240 10247:11264 11271:12288 12295:13312 13319:14336 14343:15360 15367:16384" s="4" customFormat="1" ht="14.5" customHeight="1">
      <c r="A4" s="25"/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Q4" s="230"/>
      <c r="R4" s="230"/>
      <c r="S4" s="183"/>
      <c r="T4" s="183"/>
      <c r="U4" s="183"/>
      <c r="V4" s="183"/>
      <c r="W4" s="85"/>
      <c r="X4" s="85"/>
      <c r="Y4" s="85"/>
      <c r="Z4" s="85"/>
      <c r="AA4" s="85"/>
      <c r="AC4" s="177"/>
      <c r="AD4" s="177"/>
    </row>
    <row r="5" spans="1:1024 1031:2048 2055:3072 3079:4096 4103:5120 5127:6144 6151:7168 7175:8192 8199:9216 9223:10240 10247:11264 11271:12288 12295:13312 13319:14336 14343:15360 15367:16384" s="4" customFormat="1">
      <c r="A5" s="25"/>
      <c r="B5" s="181"/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C5" s="177"/>
      <c r="AD5" s="177"/>
    </row>
    <row r="6" spans="1:1024 1031:2048 2055:3072 3079:4096 4103:5120 5127:6144 6151:7168 7175:8192 8199:9216 9223:10240 10247:11264 11271:12288 12295:13312 13319:14336 14343:15360 15367:16384" s="4" customFormat="1">
      <c r="B6" s="10"/>
      <c r="C6" s="138"/>
      <c r="D6" s="138"/>
      <c r="E6" s="138"/>
      <c r="F6" s="138"/>
      <c r="G6" s="138"/>
      <c r="H6" s="138"/>
      <c r="I6" s="138"/>
      <c r="J6" s="85"/>
      <c r="K6" s="85"/>
      <c r="L6" s="85"/>
      <c r="M6" s="85"/>
      <c r="N6" s="138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C6" s="177"/>
      <c r="AD6" s="177"/>
    </row>
    <row r="7" spans="1:1024 1031:2048 2055:3072 3079:4096 4103:5120 5127:6144 6151:7168 7175:8192 8199:9216 9223:10240 10247:11264 11271:12288 12295:13312 13319:14336 14343:15360 15367:16384" s="104" customFormat="1" ht="15" customHeight="1" thickBot="1">
      <c r="A7" s="4"/>
      <c r="B7" s="52" t="s">
        <v>339</v>
      </c>
      <c r="C7" s="54" t="s">
        <v>377</v>
      </c>
      <c r="D7" s="53" t="s">
        <v>366</v>
      </c>
      <c r="E7" s="54" t="s">
        <v>375</v>
      </c>
      <c r="F7" s="54" t="s">
        <v>367</v>
      </c>
      <c r="G7" s="54" t="s">
        <v>364</v>
      </c>
      <c r="H7" s="54" t="s">
        <v>347</v>
      </c>
      <c r="I7" s="53" t="s">
        <v>312</v>
      </c>
      <c r="J7" s="54" t="s">
        <v>315</v>
      </c>
      <c r="K7" s="54" t="s">
        <v>316</v>
      </c>
      <c r="L7" s="54" t="s">
        <v>317</v>
      </c>
      <c r="M7" s="54" t="s">
        <v>311</v>
      </c>
      <c r="N7" s="53" t="s">
        <v>172</v>
      </c>
      <c r="O7" s="55" t="s">
        <v>177</v>
      </c>
      <c r="P7" s="55" t="s">
        <v>178</v>
      </c>
      <c r="Q7" s="54" t="s">
        <v>176</v>
      </c>
      <c r="R7" s="54" t="s">
        <v>175</v>
      </c>
      <c r="S7" s="53" t="s">
        <v>171</v>
      </c>
      <c r="T7" s="54" t="s">
        <v>119</v>
      </c>
      <c r="U7" s="54" t="s">
        <v>118</v>
      </c>
      <c r="V7" s="54" t="s">
        <v>92</v>
      </c>
      <c r="W7" s="55" t="s">
        <v>91</v>
      </c>
      <c r="X7" s="53" t="s">
        <v>173</v>
      </c>
      <c r="Y7" s="139" t="s">
        <v>179</v>
      </c>
      <c r="Z7" s="139" t="s">
        <v>174</v>
      </c>
      <c r="AA7" s="53" t="s">
        <v>180</v>
      </c>
      <c r="AB7" s="73"/>
      <c r="AC7" s="178" t="s">
        <v>278</v>
      </c>
      <c r="AD7" s="178" t="s">
        <v>295</v>
      </c>
      <c r="AE7" s="74"/>
      <c r="AF7" s="72"/>
      <c r="AG7" s="73"/>
      <c r="AH7" s="73"/>
      <c r="AI7" s="73"/>
      <c r="AJ7" s="73"/>
      <c r="AK7" s="73"/>
      <c r="AL7" s="73"/>
      <c r="AM7" s="74"/>
      <c r="AN7" s="72"/>
      <c r="AO7" s="73"/>
      <c r="AP7" s="73"/>
      <c r="AQ7" s="73"/>
      <c r="AR7" s="73"/>
      <c r="AS7" s="73"/>
      <c r="AT7" s="73"/>
      <c r="AU7" s="74"/>
      <c r="AV7" s="72"/>
      <c r="AW7" s="73"/>
      <c r="AX7" s="73"/>
      <c r="AY7" s="73"/>
      <c r="AZ7" s="73"/>
      <c r="BA7" s="73"/>
      <c r="BB7" s="73"/>
      <c r="BC7" s="74"/>
      <c r="BD7" s="72"/>
      <c r="BE7" s="73"/>
      <c r="BF7" s="73"/>
      <c r="BG7" s="73"/>
      <c r="BH7" s="73"/>
      <c r="BI7" s="73"/>
      <c r="BJ7" s="73"/>
      <c r="BK7" s="74"/>
      <c r="BL7" s="72"/>
      <c r="BS7" s="56"/>
      <c r="BT7" s="105"/>
      <c r="CA7" s="56"/>
      <c r="CB7" s="105"/>
      <c r="CI7" s="56"/>
      <c r="CJ7" s="105"/>
      <c r="CQ7" s="56"/>
      <c r="CR7" s="105"/>
      <c r="CY7" s="56"/>
      <c r="CZ7" s="105"/>
      <c r="DG7" s="56"/>
      <c r="DH7" s="105"/>
      <c r="DO7" s="56"/>
      <c r="DP7" s="105"/>
      <c r="DW7" s="56"/>
      <c r="DX7" s="105"/>
      <c r="EE7" s="56"/>
      <c r="EF7" s="105"/>
      <c r="EM7" s="56"/>
      <c r="EN7" s="105"/>
      <c r="EU7" s="56"/>
      <c r="EV7" s="105"/>
      <c r="FC7" s="56"/>
      <c r="FD7" s="105"/>
      <c r="FK7" s="56"/>
      <c r="FL7" s="105"/>
      <c r="FS7" s="56"/>
      <c r="FT7" s="105"/>
      <c r="GA7" s="56"/>
      <c r="GB7" s="105"/>
      <c r="GI7" s="56"/>
      <c r="GJ7" s="105"/>
      <c r="GQ7" s="56"/>
      <c r="GR7" s="105"/>
      <c r="GY7" s="56"/>
      <c r="GZ7" s="105"/>
      <c r="HG7" s="56"/>
      <c r="HH7" s="105"/>
      <c r="HO7" s="56"/>
      <c r="HP7" s="105"/>
      <c r="HW7" s="56"/>
      <c r="HX7" s="105"/>
      <c r="IE7" s="56"/>
      <c r="IF7" s="105"/>
      <c r="IM7" s="56"/>
      <c r="IN7" s="105"/>
      <c r="IU7" s="56"/>
      <c r="IV7" s="105"/>
      <c r="JC7" s="56"/>
      <c r="JD7" s="105"/>
      <c r="JK7" s="56"/>
      <c r="JL7" s="105"/>
      <c r="JS7" s="56"/>
      <c r="JT7" s="105"/>
      <c r="KA7" s="56"/>
      <c r="KB7" s="105"/>
      <c r="KI7" s="56"/>
      <c r="KJ7" s="105"/>
      <c r="KQ7" s="56"/>
      <c r="KR7" s="105"/>
      <c r="KY7" s="56"/>
      <c r="KZ7" s="105"/>
      <c r="LG7" s="56"/>
      <c r="LH7" s="105"/>
      <c r="LO7" s="56"/>
      <c r="LP7" s="105"/>
      <c r="LW7" s="56"/>
      <c r="LX7" s="105"/>
      <c r="ME7" s="56"/>
      <c r="MF7" s="105"/>
      <c r="MM7" s="56"/>
      <c r="MN7" s="105"/>
      <c r="MU7" s="56"/>
      <c r="MV7" s="105"/>
      <c r="NC7" s="56"/>
      <c r="ND7" s="105"/>
      <c r="NK7" s="56"/>
      <c r="NL7" s="105"/>
      <c r="NS7" s="56"/>
      <c r="NT7" s="105"/>
      <c r="OA7" s="56"/>
      <c r="OB7" s="105"/>
      <c r="OI7" s="56"/>
      <c r="OJ7" s="105"/>
      <c r="OQ7" s="56"/>
      <c r="OR7" s="105"/>
      <c r="OY7" s="56"/>
      <c r="OZ7" s="105"/>
      <c r="PG7" s="56"/>
      <c r="PH7" s="105"/>
      <c r="PO7" s="56"/>
      <c r="PP7" s="105"/>
      <c r="PW7" s="56"/>
      <c r="PX7" s="105"/>
      <c r="QE7" s="56"/>
      <c r="QF7" s="105"/>
      <c r="QM7" s="56"/>
      <c r="QN7" s="105"/>
      <c r="QU7" s="56"/>
      <c r="QV7" s="105"/>
      <c r="RC7" s="56"/>
      <c r="RD7" s="105"/>
      <c r="RK7" s="56"/>
      <c r="RL7" s="105"/>
      <c r="RS7" s="56"/>
      <c r="RT7" s="105"/>
      <c r="SA7" s="56"/>
      <c r="SB7" s="105"/>
      <c r="SI7" s="56"/>
      <c r="SJ7" s="105"/>
      <c r="SQ7" s="56"/>
      <c r="SR7" s="105"/>
      <c r="SY7" s="56"/>
      <c r="SZ7" s="105"/>
      <c r="TG7" s="56"/>
      <c r="TH7" s="105"/>
      <c r="TO7" s="56"/>
      <c r="TP7" s="105"/>
      <c r="TW7" s="56"/>
      <c r="TX7" s="105"/>
      <c r="UE7" s="56"/>
      <c r="UF7" s="105"/>
      <c r="UM7" s="56"/>
      <c r="UN7" s="105"/>
      <c r="UU7" s="56"/>
      <c r="UV7" s="105"/>
      <c r="VC7" s="56"/>
      <c r="VD7" s="105"/>
      <c r="VK7" s="56"/>
      <c r="VL7" s="105"/>
      <c r="VS7" s="56"/>
      <c r="VT7" s="105"/>
      <c r="WA7" s="56"/>
      <c r="WB7" s="105"/>
      <c r="WI7" s="56"/>
      <c r="WJ7" s="105"/>
      <c r="WQ7" s="56"/>
      <c r="WR7" s="105"/>
      <c r="WY7" s="56"/>
      <c r="WZ7" s="105"/>
      <c r="XG7" s="56"/>
      <c r="XH7" s="105"/>
      <c r="XO7" s="56"/>
      <c r="XP7" s="105"/>
      <c r="XW7" s="56"/>
      <c r="XX7" s="105"/>
      <c r="YE7" s="56"/>
      <c r="YF7" s="105"/>
      <c r="YM7" s="56"/>
      <c r="YN7" s="105"/>
      <c r="YU7" s="56"/>
      <c r="YV7" s="105"/>
      <c r="ZC7" s="56"/>
      <c r="ZD7" s="105"/>
      <c r="ZK7" s="56"/>
      <c r="ZL7" s="105"/>
      <c r="ZS7" s="56"/>
      <c r="ZT7" s="105"/>
      <c r="AAA7" s="56"/>
      <c r="AAB7" s="105"/>
      <c r="AAI7" s="56"/>
      <c r="AAJ7" s="105"/>
      <c r="AAQ7" s="56"/>
      <c r="AAR7" s="105"/>
      <c r="AAY7" s="56"/>
      <c r="AAZ7" s="105"/>
      <c r="ABG7" s="56"/>
      <c r="ABH7" s="105"/>
      <c r="ABO7" s="56"/>
      <c r="ABP7" s="105"/>
      <c r="ABW7" s="56"/>
      <c r="ABX7" s="105"/>
      <c r="ACE7" s="56"/>
      <c r="ACF7" s="105"/>
      <c r="ACM7" s="56"/>
      <c r="ACN7" s="105"/>
      <c r="ACU7" s="56"/>
      <c r="ACV7" s="105"/>
      <c r="ADC7" s="56"/>
      <c r="ADD7" s="105"/>
      <c r="ADK7" s="56"/>
      <c r="ADL7" s="105"/>
      <c r="ADS7" s="56"/>
      <c r="ADT7" s="105"/>
      <c r="AEA7" s="56"/>
      <c r="AEB7" s="105"/>
      <c r="AEI7" s="56"/>
      <c r="AEJ7" s="105"/>
      <c r="AEQ7" s="56"/>
      <c r="AER7" s="105"/>
      <c r="AEY7" s="56"/>
      <c r="AEZ7" s="105"/>
      <c r="AFG7" s="56"/>
      <c r="AFH7" s="105"/>
      <c r="AFO7" s="56"/>
      <c r="AFP7" s="105"/>
      <c r="AFW7" s="56"/>
      <c r="AFX7" s="105"/>
      <c r="AGE7" s="56"/>
      <c r="AGF7" s="105"/>
      <c r="AGM7" s="56"/>
      <c r="AGN7" s="105"/>
      <c r="AGU7" s="56"/>
      <c r="AGV7" s="105"/>
      <c r="AHC7" s="56"/>
      <c r="AHD7" s="105"/>
      <c r="AHK7" s="56"/>
      <c r="AHL7" s="105"/>
      <c r="AHS7" s="56"/>
      <c r="AHT7" s="105"/>
      <c r="AIA7" s="56"/>
      <c r="AIB7" s="105"/>
      <c r="AII7" s="56"/>
      <c r="AIJ7" s="105"/>
      <c r="AIQ7" s="56"/>
      <c r="AIR7" s="105"/>
      <c r="AIY7" s="56"/>
      <c r="AIZ7" s="105"/>
      <c r="AJG7" s="56"/>
      <c r="AJH7" s="105"/>
      <c r="AJO7" s="56"/>
      <c r="AJP7" s="105"/>
      <c r="AJW7" s="56"/>
      <c r="AJX7" s="105"/>
      <c r="AKE7" s="56"/>
      <c r="AKF7" s="105"/>
      <c r="AKM7" s="56"/>
      <c r="AKN7" s="105"/>
      <c r="AKU7" s="56"/>
      <c r="AKV7" s="105"/>
      <c r="ALC7" s="56"/>
      <c r="ALD7" s="105"/>
      <c r="ALK7" s="56"/>
      <c r="ALL7" s="105"/>
      <c r="ALS7" s="56"/>
      <c r="ALT7" s="105"/>
      <c r="AMA7" s="56"/>
      <c r="AMB7" s="105"/>
      <c r="AMI7" s="56"/>
      <c r="AMJ7" s="105"/>
      <c r="AMQ7" s="56"/>
      <c r="AMR7" s="105"/>
      <c r="AMY7" s="56"/>
      <c r="AMZ7" s="105"/>
      <c r="ANG7" s="56"/>
      <c r="ANH7" s="105"/>
      <c r="ANO7" s="56"/>
      <c r="ANP7" s="105"/>
      <c r="ANW7" s="56"/>
      <c r="ANX7" s="105"/>
      <c r="AOE7" s="56"/>
      <c r="AOF7" s="105"/>
      <c r="AOM7" s="56"/>
      <c r="AON7" s="105"/>
      <c r="AOU7" s="56"/>
      <c r="AOV7" s="105"/>
      <c r="APC7" s="56"/>
      <c r="APD7" s="105"/>
      <c r="APK7" s="56"/>
      <c r="APL7" s="105"/>
      <c r="APS7" s="56"/>
      <c r="APT7" s="105"/>
      <c r="AQA7" s="56"/>
      <c r="AQB7" s="105"/>
      <c r="AQI7" s="56"/>
      <c r="AQJ7" s="105"/>
      <c r="AQQ7" s="56"/>
      <c r="AQR7" s="105"/>
      <c r="AQY7" s="56"/>
      <c r="AQZ7" s="105"/>
      <c r="ARG7" s="56"/>
      <c r="ARH7" s="105"/>
      <c r="ARO7" s="56"/>
      <c r="ARP7" s="105"/>
      <c r="ARW7" s="56"/>
      <c r="ARX7" s="105"/>
      <c r="ASE7" s="56"/>
      <c r="ASF7" s="105"/>
      <c r="ASM7" s="56"/>
      <c r="ASN7" s="105"/>
      <c r="ASU7" s="56"/>
      <c r="ASV7" s="105"/>
      <c r="ATC7" s="56"/>
      <c r="ATD7" s="105"/>
      <c r="ATK7" s="56"/>
      <c r="ATL7" s="105"/>
      <c r="ATS7" s="56"/>
      <c r="ATT7" s="105"/>
      <c r="AUA7" s="56"/>
      <c r="AUB7" s="105"/>
      <c r="AUI7" s="56"/>
      <c r="AUJ7" s="105"/>
      <c r="AUQ7" s="56"/>
      <c r="AUR7" s="105"/>
      <c r="AUY7" s="56"/>
      <c r="AUZ7" s="105"/>
      <c r="AVG7" s="56"/>
      <c r="AVH7" s="105"/>
      <c r="AVO7" s="56"/>
      <c r="AVP7" s="105"/>
      <c r="AVW7" s="56"/>
      <c r="AVX7" s="105"/>
      <c r="AWE7" s="56"/>
      <c r="AWF7" s="105"/>
      <c r="AWM7" s="56"/>
      <c r="AWN7" s="105"/>
      <c r="AWU7" s="56"/>
      <c r="AWV7" s="105"/>
      <c r="AXC7" s="56"/>
      <c r="AXD7" s="105"/>
      <c r="AXK7" s="56"/>
      <c r="AXL7" s="105"/>
      <c r="AXS7" s="56"/>
      <c r="AXT7" s="105"/>
      <c r="AYA7" s="56"/>
      <c r="AYB7" s="105"/>
      <c r="AYI7" s="56"/>
      <c r="AYJ7" s="105"/>
      <c r="AYQ7" s="56"/>
      <c r="AYR7" s="105"/>
      <c r="AYY7" s="56"/>
      <c r="AYZ7" s="105"/>
      <c r="AZG7" s="56"/>
      <c r="AZH7" s="105"/>
      <c r="AZO7" s="56"/>
      <c r="AZP7" s="105"/>
      <c r="AZW7" s="56"/>
      <c r="AZX7" s="105"/>
      <c r="BAE7" s="56"/>
      <c r="BAF7" s="105"/>
      <c r="BAM7" s="56"/>
      <c r="BAN7" s="105"/>
      <c r="BAU7" s="56"/>
      <c r="BAV7" s="105"/>
      <c r="BBC7" s="56"/>
      <c r="BBD7" s="105"/>
      <c r="BBK7" s="56"/>
      <c r="BBL7" s="105"/>
      <c r="BBS7" s="56"/>
      <c r="BBT7" s="105"/>
      <c r="BCA7" s="56"/>
      <c r="BCB7" s="105"/>
      <c r="BCI7" s="56"/>
      <c r="BCJ7" s="105"/>
      <c r="BCQ7" s="56"/>
      <c r="BCR7" s="105"/>
      <c r="BCY7" s="56"/>
      <c r="BCZ7" s="105"/>
      <c r="BDG7" s="56"/>
      <c r="BDH7" s="105"/>
      <c r="BDO7" s="56"/>
      <c r="BDP7" s="105"/>
      <c r="BDW7" s="56"/>
      <c r="BDX7" s="105"/>
      <c r="BEE7" s="56"/>
      <c r="BEF7" s="105"/>
      <c r="BEM7" s="56"/>
      <c r="BEN7" s="105"/>
      <c r="BEU7" s="56"/>
      <c r="BEV7" s="105"/>
      <c r="BFC7" s="56"/>
      <c r="BFD7" s="105"/>
      <c r="BFK7" s="56"/>
      <c r="BFL7" s="105"/>
      <c r="BFS7" s="56"/>
      <c r="BFT7" s="105"/>
      <c r="BGA7" s="56"/>
      <c r="BGB7" s="105"/>
      <c r="BGI7" s="56"/>
      <c r="BGJ7" s="105"/>
      <c r="BGQ7" s="56"/>
      <c r="BGR7" s="105"/>
      <c r="BGY7" s="56"/>
      <c r="BGZ7" s="105"/>
      <c r="BHG7" s="56"/>
      <c r="BHH7" s="105"/>
      <c r="BHO7" s="56"/>
      <c r="BHP7" s="105"/>
      <c r="BHW7" s="56"/>
      <c r="BHX7" s="105"/>
      <c r="BIE7" s="56"/>
      <c r="BIF7" s="105"/>
      <c r="BIM7" s="56"/>
      <c r="BIN7" s="105"/>
      <c r="BIU7" s="56"/>
      <c r="BIV7" s="105"/>
      <c r="BJC7" s="56"/>
      <c r="BJD7" s="105"/>
      <c r="BJK7" s="56"/>
      <c r="BJL7" s="105"/>
      <c r="BJS7" s="56"/>
      <c r="BJT7" s="105"/>
      <c r="BKA7" s="56"/>
      <c r="BKB7" s="105"/>
      <c r="BKI7" s="56"/>
      <c r="BKJ7" s="105"/>
      <c r="BKQ7" s="56"/>
      <c r="BKR7" s="105"/>
      <c r="BKY7" s="56"/>
      <c r="BKZ7" s="105"/>
      <c r="BLG7" s="56"/>
      <c r="BLH7" s="105"/>
      <c r="BLO7" s="56"/>
      <c r="BLP7" s="105"/>
      <c r="BLW7" s="56"/>
      <c r="BLX7" s="105"/>
      <c r="BME7" s="56"/>
      <c r="BMF7" s="105"/>
      <c r="BMM7" s="56"/>
      <c r="BMN7" s="105"/>
      <c r="BMU7" s="56"/>
      <c r="BMV7" s="105"/>
      <c r="BNC7" s="56"/>
      <c r="BND7" s="105"/>
      <c r="BNK7" s="56"/>
      <c r="BNL7" s="105"/>
      <c r="BNS7" s="56"/>
      <c r="BNT7" s="105"/>
      <c r="BOA7" s="56"/>
      <c r="BOB7" s="105"/>
      <c r="BOI7" s="56"/>
      <c r="BOJ7" s="105"/>
      <c r="BOQ7" s="56"/>
      <c r="BOR7" s="105"/>
      <c r="BOY7" s="56"/>
      <c r="BOZ7" s="105"/>
      <c r="BPG7" s="56"/>
      <c r="BPH7" s="105"/>
      <c r="BPO7" s="56"/>
      <c r="BPP7" s="105"/>
      <c r="BPW7" s="56"/>
      <c r="BPX7" s="105"/>
      <c r="BQE7" s="56"/>
      <c r="BQF7" s="105"/>
      <c r="BQM7" s="56"/>
      <c r="BQN7" s="105"/>
      <c r="BQU7" s="56"/>
      <c r="BQV7" s="105"/>
      <c r="BRC7" s="56"/>
      <c r="BRD7" s="105"/>
      <c r="BRK7" s="56"/>
      <c r="BRL7" s="105"/>
      <c r="BRS7" s="56"/>
      <c r="BRT7" s="105"/>
      <c r="BSA7" s="56"/>
      <c r="BSB7" s="105"/>
      <c r="BSI7" s="56"/>
      <c r="BSJ7" s="105"/>
      <c r="BSQ7" s="56"/>
      <c r="BSR7" s="105"/>
      <c r="BSY7" s="56"/>
      <c r="BSZ7" s="105"/>
      <c r="BTG7" s="56"/>
      <c r="BTH7" s="105"/>
      <c r="BTO7" s="56"/>
      <c r="BTP7" s="105"/>
      <c r="BTW7" s="56"/>
      <c r="BTX7" s="105"/>
      <c r="BUE7" s="56"/>
      <c r="BUF7" s="105"/>
      <c r="BUM7" s="56"/>
      <c r="BUN7" s="105"/>
      <c r="BUU7" s="56"/>
      <c r="BUV7" s="105"/>
      <c r="BVC7" s="56"/>
      <c r="BVD7" s="105"/>
      <c r="BVK7" s="56"/>
      <c r="BVL7" s="105"/>
      <c r="BVS7" s="56"/>
      <c r="BVT7" s="105"/>
      <c r="BWA7" s="56"/>
      <c r="BWB7" s="105"/>
      <c r="BWI7" s="56"/>
      <c r="BWJ7" s="105"/>
      <c r="BWQ7" s="56"/>
      <c r="BWR7" s="105"/>
      <c r="BWY7" s="56"/>
      <c r="BWZ7" s="105"/>
      <c r="BXG7" s="56"/>
      <c r="BXH7" s="105"/>
      <c r="BXO7" s="56"/>
      <c r="BXP7" s="105"/>
      <c r="BXW7" s="56"/>
      <c r="BXX7" s="105"/>
      <c r="BYE7" s="56"/>
      <c r="BYF7" s="105"/>
      <c r="BYM7" s="56"/>
      <c r="BYN7" s="105"/>
      <c r="BYU7" s="56"/>
      <c r="BYV7" s="105"/>
      <c r="BZC7" s="56"/>
      <c r="BZD7" s="105"/>
      <c r="BZK7" s="56"/>
      <c r="BZL7" s="105"/>
      <c r="BZS7" s="56"/>
      <c r="BZT7" s="105"/>
      <c r="CAA7" s="56"/>
      <c r="CAB7" s="105"/>
      <c r="CAI7" s="56"/>
      <c r="CAJ7" s="105"/>
      <c r="CAQ7" s="56"/>
      <c r="CAR7" s="105"/>
      <c r="CAY7" s="56"/>
      <c r="CAZ7" s="105"/>
      <c r="CBG7" s="56"/>
      <c r="CBH7" s="105"/>
      <c r="CBO7" s="56"/>
      <c r="CBP7" s="105"/>
      <c r="CBW7" s="56"/>
      <c r="CBX7" s="105"/>
      <c r="CCE7" s="56"/>
      <c r="CCF7" s="105"/>
      <c r="CCM7" s="56"/>
      <c r="CCN7" s="105"/>
      <c r="CCU7" s="56"/>
      <c r="CCV7" s="105"/>
      <c r="CDC7" s="56"/>
      <c r="CDD7" s="105"/>
      <c r="CDK7" s="56"/>
      <c r="CDL7" s="105"/>
      <c r="CDS7" s="56"/>
      <c r="CDT7" s="105"/>
      <c r="CEA7" s="56"/>
      <c r="CEB7" s="105"/>
      <c r="CEI7" s="56"/>
      <c r="CEJ7" s="105"/>
      <c r="CEQ7" s="56"/>
      <c r="CER7" s="105"/>
      <c r="CEY7" s="56"/>
      <c r="CEZ7" s="105"/>
      <c r="CFG7" s="56"/>
      <c r="CFH7" s="105"/>
      <c r="CFO7" s="56"/>
      <c r="CFP7" s="105"/>
      <c r="CFW7" s="56"/>
      <c r="CFX7" s="105"/>
      <c r="CGE7" s="56"/>
      <c r="CGF7" s="105"/>
      <c r="CGM7" s="56"/>
      <c r="CGN7" s="105"/>
      <c r="CGU7" s="56"/>
      <c r="CGV7" s="105"/>
      <c r="CHC7" s="56"/>
      <c r="CHD7" s="105"/>
      <c r="CHK7" s="56"/>
      <c r="CHL7" s="105"/>
      <c r="CHS7" s="56"/>
      <c r="CHT7" s="105"/>
      <c r="CIA7" s="56"/>
      <c r="CIB7" s="105"/>
      <c r="CII7" s="56"/>
      <c r="CIJ7" s="105"/>
      <c r="CIQ7" s="56"/>
      <c r="CIR7" s="105"/>
      <c r="CIY7" s="56"/>
      <c r="CIZ7" s="105"/>
      <c r="CJG7" s="56"/>
      <c r="CJH7" s="105"/>
      <c r="CJO7" s="56"/>
      <c r="CJP7" s="105"/>
      <c r="CJW7" s="56"/>
      <c r="CJX7" s="105"/>
      <c r="CKE7" s="56"/>
      <c r="CKF7" s="105"/>
      <c r="CKM7" s="56"/>
      <c r="CKN7" s="105"/>
      <c r="CKU7" s="56"/>
      <c r="CKV7" s="105"/>
      <c r="CLC7" s="56"/>
      <c r="CLD7" s="105"/>
      <c r="CLK7" s="56"/>
      <c r="CLL7" s="105"/>
      <c r="CLS7" s="56"/>
      <c r="CLT7" s="105"/>
      <c r="CMA7" s="56"/>
      <c r="CMB7" s="105"/>
      <c r="CMI7" s="56"/>
      <c r="CMJ7" s="105"/>
      <c r="CMQ7" s="56"/>
      <c r="CMR7" s="105"/>
      <c r="CMY7" s="56"/>
      <c r="CMZ7" s="105"/>
      <c r="CNG7" s="56"/>
      <c r="CNH7" s="105"/>
      <c r="CNO7" s="56"/>
      <c r="CNP7" s="105"/>
      <c r="CNW7" s="56"/>
      <c r="CNX7" s="105"/>
      <c r="COE7" s="56"/>
      <c r="COF7" s="105"/>
      <c r="COM7" s="56"/>
      <c r="CON7" s="105"/>
      <c r="COU7" s="56"/>
      <c r="COV7" s="105"/>
      <c r="CPC7" s="56"/>
      <c r="CPD7" s="105"/>
      <c r="CPK7" s="56"/>
      <c r="CPL7" s="105"/>
      <c r="CPS7" s="56"/>
      <c r="CPT7" s="105"/>
      <c r="CQA7" s="56"/>
      <c r="CQB7" s="105"/>
      <c r="CQI7" s="56"/>
      <c r="CQJ7" s="105"/>
      <c r="CQQ7" s="56"/>
      <c r="CQR7" s="105"/>
      <c r="CQY7" s="56"/>
      <c r="CQZ7" s="105"/>
      <c r="CRG7" s="56"/>
      <c r="CRH7" s="105"/>
      <c r="CRO7" s="56"/>
      <c r="CRP7" s="105"/>
      <c r="CRW7" s="56"/>
      <c r="CRX7" s="105"/>
      <c r="CSE7" s="56"/>
      <c r="CSF7" s="105"/>
      <c r="CSM7" s="56"/>
      <c r="CSN7" s="105"/>
      <c r="CSU7" s="56"/>
      <c r="CSV7" s="105"/>
      <c r="CTC7" s="56"/>
      <c r="CTD7" s="105"/>
      <c r="CTK7" s="56"/>
      <c r="CTL7" s="105"/>
      <c r="CTS7" s="56"/>
      <c r="CTT7" s="105"/>
      <c r="CUA7" s="56"/>
      <c r="CUB7" s="105"/>
      <c r="CUI7" s="56"/>
      <c r="CUJ7" s="105"/>
      <c r="CUQ7" s="56"/>
      <c r="CUR7" s="105"/>
      <c r="CUY7" s="56"/>
      <c r="CUZ7" s="105"/>
      <c r="CVG7" s="56"/>
      <c r="CVH7" s="105"/>
      <c r="CVO7" s="56"/>
      <c r="CVP7" s="105"/>
      <c r="CVW7" s="56"/>
      <c r="CVX7" s="105"/>
      <c r="CWE7" s="56"/>
      <c r="CWF7" s="105"/>
      <c r="CWM7" s="56"/>
      <c r="CWN7" s="105"/>
      <c r="CWU7" s="56"/>
      <c r="CWV7" s="105"/>
      <c r="CXC7" s="56"/>
      <c r="CXD7" s="105"/>
      <c r="CXK7" s="56"/>
      <c r="CXL7" s="105"/>
      <c r="CXS7" s="56"/>
      <c r="CXT7" s="105"/>
      <c r="CYA7" s="56"/>
      <c r="CYB7" s="105"/>
      <c r="CYI7" s="56"/>
      <c r="CYJ7" s="105"/>
      <c r="CYQ7" s="56"/>
      <c r="CYR7" s="105"/>
      <c r="CYY7" s="56"/>
      <c r="CYZ7" s="105"/>
      <c r="CZG7" s="56"/>
      <c r="CZH7" s="105"/>
      <c r="CZO7" s="56"/>
      <c r="CZP7" s="105"/>
      <c r="CZW7" s="56"/>
      <c r="CZX7" s="105"/>
      <c r="DAE7" s="56"/>
      <c r="DAF7" s="105"/>
      <c r="DAM7" s="56"/>
      <c r="DAN7" s="105"/>
      <c r="DAU7" s="56"/>
      <c r="DAV7" s="105"/>
      <c r="DBC7" s="56"/>
      <c r="DBD7" s="105"/>
      <c r="DBK7" s="56"/>
      <c r="DBL7" s="105"/>
      <c r="DBS7" s="56"/>
      <c r="DBT7" s="105"/>
      <c r="DCA7" s="56"/>
      <c r="DCB7" s="105"/>
      <c r="DCI7" s="56"/>
      <c r="DCJ7" s="105"/>
      <c r="DCQ7" s="56"/>
      <c r="DCR7" s="105"/>
      <c r="DCY7" s="56"/>
      <c r="DCZ7" s="105"/>
      <c r="DDG7" s="56"/>
      <c r="DDH7" s="105"/>
      <c r="DDO7" s="56"/>
      <c r="DDP7" s="105"/>
      <c r="DDW7" s="56"/>
      <c r="DDX7" s="105"/>
      <c r="DEE7" s="56"/>
      <c r="DEF7" s="105"/>
      <c r="DEM7" s="56"/>
      <c r="DEN7" s="105"/>
      <c r="DEU7" s="56"/>
      <c r="DEV7" s="105"/>
      <c r="DFC7" s="56"/>
      <c r="DFD7" s="105"/>
      <c r="DFK7" s="56"/>
      <c r="DFL7" s="105"/>
      <c r="DFS7" s="56"/>
      <c r="DFT7" s="105"/>
      <c r="DGA7" s="56"/>
      <c r="DGB7" s="105"/>
      <c r="DGI7" s="56"/>
      <c r="DGJ7" s="105"/>
      <c r="DGQ7" s="56"/>
      <c r="DGR7" s="105"/>
      <c r="DGY7" s="56"/>
      <c r="DGZ7" s="105"/>
      <c r="DHG7" s="56"/>
      <c r="DHH7" s="105"/>
      <c r="DHO7" s="56"/>
      <c r="DHP7" s="105"/>
      <c r="DHW7" s="56"/>
      <c r="DHX7" s="105"/>
      <c r="DIE7" s="56"/>
      <c r="DIF7" s="105"/>
      <c r="DIM7" s="56"/>
      <c r="DIN7" s="105"/>
      <c r="DIU7" s="56"/>
      <c r="DIV7" s="105"/>
      <c r="DJC7" s="56"/>
      <c r="DJD7" s="105"/>
      <c r="DJK7" s="56"/>
      <c r="DJL7" s="105"/>
      <c r="DJS7" s="56"/>
      <c r="DJT7" s="105"/>
      <c r="DKA7" s="56"/>
      <c r="DKB7" s="105"/>
      <c r="DKI7" s="56"/>
      <c r="DKJ7" s="105"/>
      <c r="DKQ7" s="56"/>
      <c r="DKR7" s="105"/>
      <c r="DKY7" s="56"/>
      <c r="DKZ7" s="105"/>
      <c r="DLG7" s="56"/>
      <c r="DLH7" s="105"/>
      <c r="DLO7" s="56"/>
      <c r="DLP7" s="105"/>
      <c r="DLW7" s="56"/>
      <c r="DLX7" s="105"/>
      <c r="DME7" s="56"/>
      <c r="DMF7" s="105"/>
      <c r="DMM7" s="56"/>
      <c r="DMN7" s="105"/>
      <c r="DMU7" s="56"/>
      <c r="DMV7" s="105"/>
      <c r="DNC7" s="56"/>
      <c r="DND7" s="105"/>
      <c r="DNK7" s="56"/>
      <c r="DNL7" s="105"/>
      <c r="DNS7" s="56"/>
      <c r="DNT7" s="105"/>
      <c r="DOA7" s="56"/>
      <c r="DOB7" s="105"/>
      <c r="DOI7" s="56"/>
      <c r="DOJ7" s="105"/>
      <c r="DOQ7" s="56"/>
      <c r="DOR7" s="105"/>
      <c r="DOY7" s="56"/>
      <c r="DOZ7" s="105"/>
      <c r="DPG7" s="56"/>
      <c r="DPH7" s="105"/>
      <c r="DPO7" s="56"/>
      <c r="DPP7" s="105"/>
      <c r="DPW7" s="56"/>
      <c r="DPX7" s="105"/>
      <c r="DQE7" s="56"/>
      <c r="DQF7" s="105"/>
      <c r="DQM7" s="56"/>
      <c r="DQN7" s="105"/>
      <c r="DQU7" s="56"/>
      <c r="DQV7" s="105"/>
      <c r="DRC7" s="56"/>
      <c r="DRD7" s="105"/>
      <c r="DRK7" s="56"/>
      <c r="DRL7" s="105"/>
      <c r="DRS7" s="56"/>
      <c r="DRT7" s="105"/>
      <c r="DSA7" s="56"/>
      <c r="DSB7" s="105"/>
      <c r="DSI7" s="56"/>
      <c r="DSJ7" s="105"/>
      <c r="DSQ7" s="56"/>
      <c r="DSR7" s="105"/>
      <c r="DSY7" s="56"/>
      <c r="DSZ7" s="105"/>
      <c r="DTG7" s="56"/>
      <c r="DTH7" s="105"/>
      <c r="DTO7" s="56"/>
      <c r="DTP7" s="105"/>
      <c r="DTW7" s="56"/>
      <c r="DTX7" s="105"/>
      <c r="DUE7" s="56"/>
      <c r="DUF7" s="105"/>
      <c r="DUM7" s="56"/>
      <c r="DUN7" s="105"/>
      <c r="DUU7" s="56"/>
      <c r="DUV7" s="105"/>
      <c r="DVC7" s="56"/>
      <c r="DVD7" s="105"/>
      <c r="DVK7" s="56"/>
      <c r="DVL7" s="105"/>
      <c r="DVS7" s="56"/>
      <c r="DVT7" s="105"/>
      <c r="DWA7" s="56"/>
      <c r="DWB7" s="105"/>
      <c r="DWI7" s="56"/>
      <c r="DWJ7" s="105"/>
      <c r="DWQ7" s="56"/>
      <c r="DWR7" s="105"/>
      <c r="DWY7" s="56"/>
      <c r="DWZ7" s="105"/>
      <c r="DXG7" s="56"/>
      <c r="DXH7" s="105"/>
      <c r="DXO7" s="56"/>
      <c r="DXP7" s="105"/>
      <c r="DXW7" s="56"/>
      <c r="DXX7" s="105"/>
      <c r="DYE7" s="56"/>
      <c r="DYF7" s="105"/>
      <c r="DYM7" s="56"/>
      <c r="DYN7" s="105"/>
      <c r="DYU7" s="56"/>
      <c r="DYV7" s="105"/>
      <c r="DZC7" s="56"/>
      <c r="DZD7" s="105"/>
      <c r="DZK7" s="56"/>
      <c r="DZL7" s="105"/>
      <c r="DZS7" s="56"/>
      <c r="DZT7" s="105"/>
      <c r="EAA7" s="56"/>
      <c r="EAB7" s="105"/>
      <c r="EAI7" s="56"/>
      <c r="EAJ7" s="105"/>
      <c r="EAQ7" s="56"/>
      <c r="EAR7" s="105"/>
      <c r="EAY7" s="56"/>
      <c r="EAZ7" s="105"/>
      <c r="EBG7" s="56"/>
      <c r="EBH7" s="105"/>
      <c r="EBO7" s="56"/>
      <c r="EBP7" s="105"/>
      <c r="EBW7" s="56"/>
      <c r="EBX7" s="105"/>
      <c r="ECE7" s="56"/>
      <c r="ECF7" s="105"/>
      <c r="ECM7" s="56"/>
      <c r="ECN7" s="105"/>
      <c r="ECU7" s="56"/>
      <c r="ECV7" s="105"/>
      <c r="EDC7" s="56"/>
      <c r="EDD7" s="105"/>
      <c r="EDK7" s="56"/>
      <c r="EDL7" s="105"/>
      <c r="EDS7" s="56"/>
      <c r="EDT7" s="105"/>
      <c r="EEA7" s="56"/>
      <c r="EEB7" s="105"/>
      <c r="EEI7" s="56"/>
      <c r="EEJ7" s="105"/>
      <c r="EEQ7" s="56"/>
      <c r="EER7" s="105"/>
      <c r="EEY7" s="56"/>
      <c r="EEZ7" s="105"/>
      <c r="EFG7" s="56"/>
      <c r="EFH7" s="105"/>
      <c r="EFO7" s="56"/>
      <c r="EFP7" s="105"/>
      <c r="EFW7" s="56"/>
      <c r="EFX7" s="105"/>
      <c r="EGE7" s="56"/>
      <c r="EGF7" s="105"/>
      <c r="EGM7" s="56"/>
      <c r="EGN7" s="105"/>
      <c r="EGU7" s="56"/>
      <c r="EGV7" s="105"/>
      <c r="EHC7" s="56"/>
      <c r="EHD7" s="105"/>
      <c r="EHK7" s="56"/>
      <c r="EHL7" s="105"/>
      <c r="EHS7" s="56"/>
      <c r="EHT7" s="105"/>
      <c r="EIA7" s="56"/>
      <c r="EIB7" s="105"/>
      <c r="EII7" s="56"/>
      <c r="EIJ7" s="105"/>
      <c r="EIQ7" s="56"/>
      <c r="EIR7" s="105"/>
      <c r="EIY7" s="56"/>
      <c r="EIZ7" s="105"/>
      <c r="EJG7" s="56"/>
      <c r="EJH7" s="105"/>
      <c r="EJO7" s="56"/>
      <c r="EJP7" s="105"/>
      <c r="EJW7" s="56"/>
      <c r="EJX7" s="105"/>
      <c r="EKE7" s="56"/>
      <c r="EKF7" s="105"/>
      <c r="EKM7" s="56"/>
      <c r="EKN7" s="105"/>
      <c r="EKU7" s="56"/>
      <c r="EKV7" s="105"/>
      <c r="ELC7" s="56"/>
      <c r="ELD7" s="105"/>
      <c r="ELK7" s="56"/>
      <c r="ELL7" s="105"/>
      <c r="ELS7" s="56"/>
      <c r="ELT7" s="105"/>
      <c r="EMA7" s="56"/>
      <c r="EMB7" s="105"/>
      <c r="EMI7" s="56"/>
      <c r="EMJ7" s="105"/>
      <c r="EMQ7" s="56"/>
      <c r="EMR7" s="105"/>
      <c r="EMY7" s="56"/>
      <c r="EMZ7" s="105"/>
      <c r="ENG7" s="56"/>
      <c r="ENH7" s="105"/>
      <c r="ENO7" s="56"/>
      <c r="ENP7" s="105"/>
      <c r="ENW7" s="56"/>
      <c r="ENX7" s="105"/>
      <c r="EOE7" s="56"/>
      <c r="EOF7" s="105"/>
      <c r="EOM7" s="56"/>
      <c r="EON7" s="105"/>
      <c r="EOU7" s="56"/>
      <c r="EOV7" s="105"/>
      <c r="EPC7" s="56"/>
      <c r="EPD7" s="105"/>
      <c r="EPK7" s="56"/>
      <c r="EPL7" s="105"/>
      <c r="EPS7" s="56"/>
      <c r="EPT7" s="105"/>
      <c r="EQA7" s="56"/>
      <c r="EQB7" s="105"/>
      <c r="EQI7" s="56"/>
      <c r="EQJ7" s="105"/>
      <c r="EQQ7" s="56"/>
      <c r="EQR7" s="105"/>
      <c r="EQY7" s="56"/>
      <c r="EQZ7" s="105"/>
      <c r="ERG7" s="56"/>
      <c r="ERH7" s="105"/>
      <c r="ERO7" s="56"/>
      <c r="ERP7" s="105"/>
      <c r="ERW7" s="56"/>
      <c r="ERX7" s="105"/>
      <c r="ESE7" s="56"/>
      <c r="ESF7" s="105"/>
      <c r="ESM7" s="56"/>
      <c r="ESN7" s="105"/>
      <c r="ESU7" s="56"/>
      <c r="ESV7" s="105"/>
      <c r="ETC7" s="56"/>
      <c r="ETD7" s="105"/>
      <c r="ETK7" s="56"/>
      <c r="ETL7" s="105"/>
      <c r="ETS7" s="56"/>
      <c r="ETT7" s="105"/>
      <c r="EUA7" s="56"/>
      <c r="EUB7" s="105"/>
      <c r="EUI7" s="56"/>
      <c r="EUJ7" s="105"/>
      <c r="EUQ7" s="56"/>
      <c r="EUR7" s="105"/>
      <c r="EUY7" s="56"/>
      <c r="EUZ7" s="105"/>
      <c r="EVG7" s="56"/>
      <c r="EVH7" s="105"/>
      <c r="EVO7" s="56"/>
      <c r="EVP7" s="105"/>
      <c r="EVW7" s="56"/>
      <c r="EVX7" s="105"/>
      <c r="EWE7" s="56"/>
      <c r="EWF7" s="105"/>
      <c r="EWM7" s="56"/>
      <c r="EWN7" s="105"/>
      <c r="EWU7" s="56"/>
      <c r="EWV7" s="105"/>
      <c r="EXC7" s="56"/>
      <c r="EXD7" s="105"/>
      <c r="EXK7" s="56"/>
      <c r="EXL7" s="105"/>
      <c r="EXS7" s="56"/>
      <c r="EXT7" s="105"/>
      <c r="EYA7" s="56"/>
      <c r="EYB7" s="105"/>
      <c r="EYI7" s="56"/>
      <c r="EYJ7" s="105"/>
      <c r="EYQ7" s="56"/>
      <c r="EYR7" s="105"/>
      <c r="EYY7" s="56"/>
      <c r="EYZ7" s="105"/>
      <c r="EZG7" s="56"/>
      <c r="EZH7" s="105"/>
      <c r="EZO7" s="56"/>
      <c r="EZP7" s="105"/>
      <c r="EZW7" s="56"/>
      <c r="EZX7" s="105"/>
      <c r="FAE7" s="56"/>
      <c r="FAF7" s="105"/>
      <c r="FAM7" s="56"/>
      <c r="FAN7" s="105"/>
      <c r="FAU7" s="56"/>
      <c r="FAV7" s="105"/>
      <c r="FBC7" s="56"/>
      <c r="FBD7" s="105"/>
      <c r="FBK7" s="56"/>
      <c r="FBL7" s="105"/>
      <c r="FBS7" s="56"/>
      <c r="FBT7" s="105"/>
      <c r="FCA7" s="56"/>
      <c r="FCB7" s="105"/>
      <c r="FCI7" s="56"/>
      <c r="FCJ7" s="105"/>
      <c r="FCQ7" s="56"/>
      <c r="FCR7" s="105"/>
      <c r="FCY7" s="56"/>
      <c r="FCZ7" s="105"/>
      <c r="FDG7" s="56"/>
      <c r="FDH7" s="105"/>
      <c r="FDO7" s="56"/>
      <c r="FDP7" s="105"/>
      <c r="FDW7" s="56"/>
      <c r="FDX7" s="105"/>
      <c r="FEE7" s="56"/>
      <c r="FEF7" s="105"/>
      <c r="FEM7" s="56"/>
      <c r="FEN7" s="105"/>
      <c r="FEU7" s="56"/>
      <c r="FEV7" s="105"/>
      <c r="FFC7" s="56"/>
      <c r="FFD7" s="105"/>
      <c r="FFK7" s="56"/>
      <c r="FFL7" s="105"/>
      <c r="FFS7" s="56"/>
      <c r="FFT7" s="105"/>
      <c r="FGA7" s="56"/>
      <c r="FGB7" s="105"/>
      <c r="FGI7" s="56"/>
      <c r="FGJ7" s="105"/>
      <c r="FGQ7" s="56"/>
      <c r="FGR7" s="105"/>
      <c r="FGY7" s="56"/>
      <c r="FGZ7" s="105"/>
      <c r="FHG7" s="56"/>
      <c r="FHH7" s="105"/>
      <c r="FHO7" s="56"/>
      <c r="FHP7" s="105"/>
      <c r="FHW7" s="56"/>
      <c r="FHX7" s="105"/>
      <c r="FIE7" s="56"/>
      <c r="FIF7" s="105"/>
      <c r="FIM7" s="56"/>
      <c r="FIN7" s="105"/>
      <c r="FIU7" s="56"/>
      <c r="FIV7" s="105"/>
      <c r="FJC7" s="56"/>
      <c r="FJD7" s="105"/>
      <c r="FJK7" s="56"/>
      <c r="FJL7" s="105"/>
      <c r="FJS7" s="56"/>
      <c r="FJT7" s="105"/>
      <c r="FKA7" s="56"/>
      <c r="FKB7" s="105"/>
      <c r="FKI7" s="56"/>
      <c r="FKJ7" s="105"/>
      <c r="FKQ7" s="56"/>
      <c r="FKR7" s="105"/>
      <c r="FKY7" s="56"/>
      <c r="FKZ7" s="105"/>
      <c r="FLG7" s="56"/>
      <c r="FLH7" s="105"/>
      <c r="FLO7" s="56"/>
      <c r="FLP7" s="105"/>
      <c r="FLW7" s="56"/>
      <c r="FLX7" s="105"/>
      <c r="FME7" s="56"/>
      <c r="FMF7" s="105"/>
      <c r="FMM7" s="56"/>
      <c r="FMN7" s="105"/>
      <c r="FMU7" s="56"/>
      <c r="FMV7" s="105"/>
      <c r="FNC7" s="56"/>
      <c r="FND7" s="105"/>
      <c r="FNK7" s="56"/>
      <c r="FNL7" s="105"/>
      <c r="FNS7" s="56"/>
      <c r="FNT7" s="105"/>
      <c r="FOA7" s="56"/>
      <c r="FOB7" s="105"/>
      <c r="FOI7" s="56"/>
      <c r="FOJ7" s="105"/>
      <c r="FOQ7" s="56"/>
      <c r="FOR7" s="105"/>
      <c r="FOY7" s="56"/>
      <c r="FOZ7" s="105"/>
      <c r="FPG7" s="56"/>
      <c r="FPH7" s="105"/>
      <c r="FPO7" s="56"/>
      <c r="FPP7" s="105"/>
      <c r="FPW7" s="56"/>
      <c r="FPX7" s="105"/>
      <c r="FQE7" s="56"/>
      <c r="FQF7" s="105"/>
      <c r="FQM7" s="56"/>
      <c r="FQN7" s="105"/>
      <c r="FQU7" s="56"/>
      <c r="FQV7" s="105"/>
      <c r="FRC7" s="56"/>
      <c r="FRD7" s="105"/>
      <c r="FRK7" s="56"/>
      <c r="FRL7" s="105"/>
      <c r="FRS7" s="56"/>
      <c r="FRT7" s="105"/>
      <c r="FSA7" s="56"/>
      <c r="FSB7" s="105"/>
      <c r="FSI7" s="56"/>
      <c r="FSJ7" s="105"/>
      <c r="FSQ7" s="56"/>
      <c r="FSR7" s="105"/>
      <c r="FSY7" s="56"/>
      <c r="FSZ7" s="105"/>
      <c r="FTG7" s="56"/>
      <c r="FTH7" s="105"/>
      <c r="FTO7" s="56"/>
      <c r="FTP7" s="105"/>
      <c r="FTW7" s="56"/>
      <c r="FTX7" s="105"/>
      <c r="FUE7" s="56"/>
      <c r="FUF7" s="105"/>
      <c r="FUM7" s="56"/>
      <c r="FUN7" s="105"/>
      <c r="FUU7" s="56"/>
      <c r="FUV7" s="105"/>
      <c r="FVC7" s="56"/>
      <c r="FVD7" s="105"/>
      <c r="FVK7" s="56"/>
      <c r="FVL7" s="105"/>
      <c r="FVS7" s="56"/>
      <c r="FVT7" s="105"/>
      <c r="FWA7" s="56"/>
      <c r="FWB7" s="105"/>
      <c r="FWI7" s="56"/>
      <c r="FWJ7" s="105"/>
      <c r="FWQ7" s="56"/>
      <c r="FWR7" s="105"/>
      <c r="FWY7" s="56"/>
      <c r="FWZ7" s="105"/>
      <c r="FXG7" s="56"/>
      <c r="FXH7" s="105"/>
      <c r="FXO7" s="56"/>
      <c r="FXP7" s="105"/>
      <c r="FXW7" s="56"/>
      <c r="FXX7" s="105"/>
      <c r="FYE7" s="56"/>
      <c r="FYF7" s="105"/>
      <c r="FYM7" s="56"/>
      <c r="FYN7" s="105"/>
      <c r="FYU7" s="56"/>
      <c r="FYV7" s="105"/>
      <c r="FZC7" s="56"/>
      <c r="FZD7" s="105"/>
      <c r="FZK7" s="56"/>
      <c r="FZL7" s="105"/>
      <c r="FZS7" s="56"/>
      <c r="FZT7" s="105"/>
      <c r="GAA7" s="56"/>
      <c r="GAB7" s="105"/>
      <c r="GAI7" s="56"/>
      <c r="GAJ7" s="105"/>
      <c r="GAQ7" s="56"/>
      <c r="GAR7" s="105"/>
      <c r="GAY7" s="56"/>
      <c r="GAZ7" s="105"/>
      <c r="GBG7" s="56"/>
      <c r="GBH7" s="105"/>
      <c r="GBO7" s="56"/>
      <c r="GBP7" s="105"/>
      <c r="GBW7" s="56"/>
      <c r="GBX7" s="105"/>
      <c r="GCE7" s="56"/>
      <c r="GCF7" s="105"/>
      <c r="GCM7" s="56"/>
      <c r="GCN7" s="105"/>
      <c r="GCU7" s="56"/>
      <c r="GCV7" s="105"/>
      <c r="GDC7" s="56"/>
      <c r="GDD7" s="105"/>
      <c r="GDK7" s="56"/>
      <c r="GDL7" s="105"/>
      <c r="GDS7" s="56"/>
      <c r="GDT7" s="105"/>
      <c r="GEA7" s="56"/>
      <c r="GEB7" s="105"/>
      <c r="GEI7" s="56"/>
      <c r="GEJ7" s="105"/>
      <c r="GEQ7" s="56"/>
      <c r="GER7" s="105"/>
      <c r="GEY7" s="56"/>
      <c r="GEZ7" s="105"/>
      <c r="GFG7" s="56"/>
      <c r="GFH7" s="105"/>
      <c r="GFO7" s="56"/>
      <c r="GFP7" s="105"/>
      <c r="GFW7" s="56"/>
      <c r="GFX7" s="105"/>
      <c r="GGE7" s="56"/>
      <c r="GGF7" s="105"/>
      <c r="GGM7" s="56"/>
      <c r="GGN7" s="105"/>
      <c r="GGU7" s="56"/>
      <c r="GGV7" s="105"/>
      <c r="GHC7" s="56"/>
      <c r="GHD7" s="105"/>
      <c r="GHK7" s="56"/>
      <c r="GHL7" s="105"/>
      <c r="GHS7" s="56"/>
      <c r="GHT7" s="105"/>
      <c r="GIA7" s="56"/>
      <c r="GIB7" s="105"/>
      <c r="GII7" s="56"/>
      <c r="GIJ7" s="105"/>
      <c r="GIQ7" s="56"/>
      <c r="GIR7" s="105"/>
      <c r="GIY7" s="56"/>
      <c r="GIZ7" s="105"/>
      <c r="GJG7" s="56"/>
      <c r="GJH7" s="105"/>
      <c r="GJO7" s="56"/>
      <c r="GJP7" s="105"/>
      <c r="GJW7" s="56"/>
      <c r="GJX7" s="105"/>
      <c r="GKE7" s="56"/>
      <c r="GKF7" s="105"/>
      <c r="GKM7" s="56"/>
      <c r="GKN7" s="105"/>
      <c r="GKU7" s="56"/>
      <c r="GKV7" s="105"/>
      <c r="GLC7" s="56"/>
      <c r="GLD7" s="105"/>
      <c r="GLK7" s="56"/>
      <c r="GLL7" s="105"/>
      <c r="GLS7" s="56"/>
      <c r="GLT7" s="105"/>
      <c r="GMA7" s="56"/>
      <c r="GMB7" s="105"/>
      <c r="GMI7" s="56"/>
      <c r="GMJ7" s="105"/>
      <c r="GMQ7" s="56"/>
      <c r="GMR7" s="105"/>
      <c r="GMY7" s="56"/>
      <c r="GMZ7" s="105"/>
      <c r="GNG7" s="56"/>
      <c r="GNH7" s="105"/>
      <c r="GNO7" s="56"/>
      <c r="GNP7" s="105"/>
      <c r="GNW7" s="56"/>
      <c r="GNX7" s="105"/>
      <c r="GOE7" s="56"/>
      <c r="GOF7" s="105"/>
      <c r="GOM7" s="56"/>
      <c r="GON7" s="105"/>
      <c r="GOU7" s="56"/>
      <c r="GOV7" s="105"/>
      <c r="GPC7" s="56"/>
      <c r="GPD7" s="105"/>
      <c r="GPK7" s="56"/>
      <c r="GPL7" s="105"/>
      <c r="GPS7" s="56"/>
      <c r="GPT7" s="105"/>
      <c r="GQA7" s="56"/>
      <c r="GQB7" s="105"/>
      <c r="GQI7" s="56"/>
      <c r="GQJ7" s="105"/>
      <c r="GQQ7" s="56"/>
      <c r="GQR7" s="105"/>
      <c r="GQY7" s="56"/>
      <c r="GQZ7" s="105"/>
      <c r="GRG7" s="56"/>
      <c r="GRH7" s="105"/>
      <c r="GRO7" s="56"/>
      <c r="GRP7" s="105"/>
      <c r="GRW7" s="56"/>
      <c r="GRX7" s="105"/>
      <c r="GSE7" s="56"/>
      <c r="GSF7" s="105"/>
      <c r="GSM7" s="56"/>
      <c r="GSN7" s="105"/>
      <c r="GSU7" s="56"/>
      <c r="GSV7" s="105"/>
      <c r="GTC7" s="56"/>
      <c r="GTD7" s="105"/>
      <c r="GTK7" s="56"/>
      <c r="GTL7" s="105"/>
      <c r="GTS7" s="56"/>
      <c r="GTT7" s="105"/>
      <c r="GUA7" s="56"/>
      <c r="GUB7" s="105"/>
      <c r="GUI7" s="56"/>
      <c r="GUJ7" s="105"/>
      <c r="GUQ7" s="56"/>
      <c r="GUR7" s="105"/>
      <c r="GUY7" s="56"/>
      <c r="GUZ7" s="105"/>
      <c r="GVG7" s="56"/>
      <c r="GVH7" s="105"/>
      <c r="GVO7" s="56"/>
      <c r="GVP7" s="105"/>
      <c r="GVW7" s="56"/>
      <c r="GVX7" s="105"/>
      <c r="GWE7" s="56"/>
      <c r="GWF7" s="105"/>
      <c r="GWM7" s="56"/>
      <c r="GWN7" s="105"/>
      <c r="GWU7" s="56"/>
      <c r="GWV7" s="105"/>
      <c r="GXC7" s="56"/>
      <c r="GXD7" s="105"/>
      <c r="GXK7" s="56"/>
      <c r="GXL7" s="105"/>
      <c r="GXS7" s="56"/>
      <c r="GXT7" s="105"/>
      <c r="GYA7" s="56"/>
      <c r="GYB7" s="105"/>
      <c r="GYI7" s="56"/>
      <c r="GYJ7" s="105"/>
      <c r="GYQ7" s="56"/>
      <c r="GYR7" s="105"/>
      <c r="GYY7" s="56"/>
      <c r="GYZ7" s="105"/>
      <c r="GZG7" s="56"/>
      <c r="GZH7" s="105"/>
      <c r="GZO7" s="56"/>
      <c r="GZP7" s="105"/>
      <c r="GZW7" s="56"/>
      <c r="GZX7" s="105"/>
      <c r="HAE7" s="56"/>
      <c r="HAF7" s="105"/>
      <c r="HAM7" s="56"/>
      <c r="HAN7" s="105"/>
      <c r="HAU7" s="56"/>
      <c r="HAV7" s="105"/>
      <c r="HBC7" s="56"/>
      <c r="HBD7" s="105"/>
      <c r="HBK7" s="56"/>
      <c r="HBL7" s="105"/>
      <c r="HBS7" s="56"/>
      <c r="HBT7" s="105"/>
      <c r="HCA7" s="56"/>
      <c r="HCB7" s="105"/>
      <c r="HCI7" s="56"/>
      <c r="HCJ7" s="105"/>
      <c r="HCQ7" s="56"/>
      <c r="HCR7" s="105"/>
      <c r="HCY7" s="56"/>
      <c r="HCZ7" s="105"/>
      <c r="HDG7" s="56"/>
      <c r="HDH7" s="105"/>
      <c r="HDO7" s="56"/>
      <c r="HDP7" s="105"/>
      <c r="HDW7" s="56"/>
      <c r="HDX7" s="105"/>
      <c r="HEE7" s="56"/>
      <c r="HEF7" s="105"/>
      <c r="HEM7" s="56"/>
      <c r="HEN7" s="105"/>
      <c r="HEU7" s="56"/>
      <c r="HEV7" s="105"/>
      <c r="HFC7" s="56"/>
      <c r="HFD7" s="105"/>
      <c r="HFK7" s="56"/>
      <c r="HFL7" s="105"/>
      <c r="HFS7" s="56"/>
      <c r="HFT7" s="105"/>
      <c r="HGA7" s="56"/>
      <c r="HGB7" s="105"/>
      <c r="HGI7" s="56"/>
      <c r="HGJ7" s="105"/>
      <c r="HGQ7" s="56"/>
      <c r="HGR7" s="105"/>
      <c r="HGY7" s="56"/>
      <c r="HGZ7" s="105"/>
      <c r="HHG7" s="56"/>
      <c r="HHH7" s="105"/>
      <c r="HHO7" s="56"/>
      <c r="HHP7" s="105"/>
      <c r="HHW7" s="56"/>
      <c r="HHX7" s="105"/>
      <c r="HIE7" s="56"/>
      <c r="HIF7" s="105"/>
      <c r="HIM7" s="56"/>
      <c r="HIN7" s="105"/>
      <c r="HIU7" s="56"/>
      <c r="HIV7" s="105"/>
      <c r="HJC7" s="56"/>
      <c r="HJD7" s="105"/>
      <c r="HJK7" s="56"/>
      <c r="HJL7" s="105"/>
      <c r="HJS7" s="56"/>
      <c r="HJT7" s="105"/>
      <c r="HKA7" s="56"/>
      <c r="HKB7" s="105"/>
      <c r="HKI7" s="56"/>
      <c r="HKJ7" s="105"/>
      <c r="HKQ7" s="56"/>
      <c r="HKR7" s="105"/>
      <c r="HKY7" s="56"/>
      <c r="HKZ7" s="105"/>
      <c r="HLG7" s="56"/>
      <c r="HLH7" s="105"/>
      <c r="HLO7" s="56"/>
      <c r="HLP7" s="105"/>
      <c r="HLW7" s="56"/>
      <c r="HLX7" s="105"/>
      <c r="HME7" s="56"/>
      <c r="HMF7" s="105"/>
      <c r="HMM7" s="56"/>
      <c r="HMN7" s="105"/>
      <c r="HMU7" s="56"/>
      <c r="HMV7" s="105"/>
      <c r="HNC7" s="56"/>
      <c r="HND7" s="105"/>
      <c r="HNK7" s="56"/>
      <c r="HNL7" s="105"/>
      <c r="HNS7" s="56"/>
      <c r="HNT7" s="105"/>
      <c r="HOA7" s="56"/>
      <c r="HOB7" s="105"/>
      <c r="HOI7" s="56"/>
      <c r="HOJ7" s="105"/>
      <c r="HOQ7" s="56"/>
      <c r="HOR7" s="105"/>
      <c r="HOY7" s="56"/>
      <c r="HOZ7" s="105"/>
      <c r="HPG7" s="56"/>
      <c r="HPH7" s="105"/>
      <c r="HPO7" s="56"/>
      <c r="HPP7" s="105"/>
      <c r="HPW7" s="56"/>
      <c r="HPX7" s="105"/>
      <c r="HQE7" s="56"/>
      <c r="HQF7" s="105"/>
      <c r="HQM7" s="56"/>
      <c r="HQN7" s="105"/>
      <c r="HQU7" s="56"/>
      <c r="HQV7" s="105"/>
      <c r="HRC7" s="56"/>
      <c r="HRD7" s="105"/>
      <c r="HRK7" s="56"/>
      <c r="HRL7" s="105"/>
      <c r="HRS7" s="56"/>
      <c r="HRT7" s="105"/>
      <c r="HSA7" s="56"/>
      <c r="HSB7" s="105"/>
      <c r="HSI7" s="56"/>
      <c r="HSJ7" s="105"/>
      <c r="HSQ7" s="56"/>
      <c r="HSR7" s="105"/>
      <c r="HSY7" s="56"/>
      <c r="HSZ7" s="105"/>
      <c r="HTG7" s="56"/>
      <c r="HTH7" s="105"/>
      <c r="HTO7" s="56"/>
      <c r="HTP7" s="105"/>
      <c r="HTW7" s="56"/>
      <c r="HTX7" s="105"/>
      <c r="HUE7" s="56"/>
      <c r="HUF7" s="105"/>
      <c r="HUM7" s="56"/>
      <c r="HUN7" s="105"/>
      <c r="HUU7" s="56"/>
      <c r="HUV7" s="105"/>
      <c r="HVC7" s="56"/>
      <c r="HVD7" s="105"/>
      <c r="HVK7" s="56"/>
      <c r="HVL7" s="105"/>
      <c r="HVS7" s="56"/>
      <c r="HVT7" s="105"/>
      <c r="HWA7" s="56"/>
      <c r="HWB7" s="105"/>
      <c r="HWI7" s="56"/>
      <c r="HWJ7" s="105"/>
      <c r="HWQ7" s="56"/>
      <c r="HWR7" s="105"/>
      <c r="HWY7" s="56"/>
      <c r="HWZ7" s="105"/>
      <c r="HXG7" s="56"/>
      <c r="HXH7" s="105"/>
      <c r="HXO7" s="56"/>
      <c r="HXP7" s="105"/>
      <c r="HXW7" s="56"/>
      <c r="HXX7" s="105"/>
      <c r="HYE7" s="56"/>
      <c r="HYF7" s="105"/>
      <c r="HYM7" s="56"/>
      <c r="HYN7" s="105"/>
      <c r="HYU7" s="56"/>
      <c r="HYV7" s="105"/>
      <c r="HZC7" s="56"/>
      <c r="HZD7" s="105"/>
      <c r="HZK7" s="56"/>
      <c r="HZL7" s="105"/>
      <c r="HZS7" s="56"/>
      <c r="HZT7" s="105"/>
      <c r="IAA7" s="56"/>
      <c r="IAB7" s="105"/>
      <c r="IAI7" s="56"/>
      <c r="IAJ7" s="105"/>
      <c r="IAQ7" s="56"/>
      <c r="IAR7" s="105"/>
      <c r="IAY7" s="56"/>
      <c r="IAZ7" s="105"/>
      <c r="IBG7" s="56"/>
      <c r="IBH7" s="105"/>
      <c r="IBO7" s="56"/>
      <c r="IBP7" s="105"/>
      <c r="IBW7" s="56"/>
      <c r="IBX7" s="105"/>
      <c r="ICE7" s="56"/>
      <c r="ICF7" s="105"/>
      <c r="ICM7" s="56"/>
      <c r="ICN7" s="105"/>
      <c r="ICU7" s="56"/>
      <c r="ICV7" s="105"/>
      <c r="IDC7" s="56"/>
      <c r="IDD7" s="105"/>
      <c r="IDK7" s="56"/>
      <c r="IDL7" s="105"/>
      <c r="IDS7" s="56"/>
      <c r="IDT7" s="105"/>
      <c r="IEA7" s="56"/>
      <c r="IEB7" s="105"/>
      <c r="IEI7" s="56"/>
      <c r="IEJ7" s="105"/>
      <c r="IEQ7" s="56"/>
      <c r="IER7" s="105"/>
      <c r="IEY7" s="56"/>
      <c r="IEZ7" s="105"/>
      <c r="IFG7" s="56"/>
      <c r="IFH7" s="105"/>
      <c r="IFO7" s="56"/>
      <c r="IFP7" s="105"/>
      <c r="IFW7" s="56"/>
      <c r="IFX7" s="105"/>
      <c r="IGE7" s="56"/>
      <c r="IGF7" s="105"/>
      <c r="IGM7" s="56"/>
      <c r="IGN7" s="105"/>
      <c r="IGU7" s="56"/>
      <c r="IGV7" s="105"/>
      <c r="IHC7" s="56"/>
      <c r="IHD7" s="105"/>
      <c r="IHK7" s="56"/>
      <c r="IHL7" s="105"/>
      <c r="IHS7" s="56"/>
      <c r="IHT7" s="105"/>
      <c r="IIA7" s="56"/>
      <c r="IIB7" s="105"/>
      <c r="III7" s="56"/>
      <c r="IIJ7" s="105"/>
      <c r="IIQ7" s="56"/>
      <c r="IIR7" s="105"/>
      <c r="IIY7" s="56"/>
      <c r="IIZ7" s="105"/>
      <c r="IJG7" s="56"/>
      <c r="IJH7" s="105"/>
      <c r="IJO7" s="56"/>
      <c r="IJP7" s="105"/>
      <c r="IJW7" s="56"/>
      <c r="IJX7" s="105"/>
      <c r="IKE7" s="56"/>
      <c r="IKF7" s="105"/>
      <c r="IKM7" s="56"/>
      <c r="IKN7" s="105"/>
      <c r="IKU7" s="56"/>
      <c r="IKV7" s="105"/>
      <c r="ILC7" s="56"/>
      <c r="ILD7" s="105"/>
      <c r="ILK7" s="56"/>
      <c r="ILL7" s="105"/>
      <c r="ILS7" s="56"/>
      <c r="ILT7" s="105"/>
      <c r="IMA7" s="56"/>
      <c r="IMB7" s="105"/>
      <c r="IMI7" s="56"/>
      <c r="IMJ7" s="105"/>
      <c r="IMQ7" s="56"/>
      <c r="IMR7" s="105"/>
      <c r="IMY7" s="56"/>
      <c r="IMZ7" s="105"/>
      <c r="ING7" s="56"/>
      <c r="INH7" s="105"/>
      <c r="INO7" s="56"/>
      <c r="INP7" s="105"/>
      <c r="INW7" s="56"/>
      <c r="INX7" s="105"/>
      <c r="IOE7" s="56"/>
      <c r="IOF7" s="105"/>
      <c r="IOM7" s="56"/>
      <c r="ION7" s="105"/>
      <c r="IOU7" s="56"/>
      <c r="IOV7" s="105"/>
      <c r="IPC7" s="56"/>
      <c r="IPD7" s="105"/>
      <c r="IPK7" s="56"/>
      <c r="IPL7" s="105"/>
      <c r="IPS7" s="56"/>
      <c r="IPT7" s="105"/>
      <c r="IQA7" s="56"/>
      <c r="IQB7" s="105"/>
      <c r="IQI7" s="56"/>
      <c r="IQJ7" s="105"/>
      <c r="IQQ7" s="56"/>
      <c r="IQR7" s="105"/>
      <c r="IQY7" s="56"/>
      <c r="IQZ7" s="105"/>
      <c r="IRG7" s="56"/>
      <c r="IRH7" s="105"/>
      <c r="IRO7" s="56"/>
      <c r="IRP7" s="105"/>
      <c r="IRW7" s="56"/>
      <c r="IRX7" s="105"/>
      <c r="ISE7" s="56"/>
      <c r="ISF7" s="105"/>
      <c r="ISM7" s="56"/>
      <c r="ISN7" s="105"/>
      <c r="ISU7" s="56"/>
      <c r="ISV7" s="105"/>
      <c r="ITC7" s="56"/>
      <c r="ITD7" s="105"/>
      <c r="ITK7" s="56"/>
      <c r="ITL7" s="105"/>
      <c r="ITS7" s="56"/>
      <c r="ITT7" s="105"/>
      <c r="IUA7" s="56"/>
      <c r="IUB7" s="105"/>
      <c r="IUI7" s="56"/>
      <c r="IUJ7" s="105"/>
      <c r="IUQ7" s="56"/>
      <c r="IUR7" s="105"/>
      <c r="IUY7" s="56"/>
      <c r="IUZ7" s="105"/>
      <c r="IVG7" s="56"/>
      <c r="IVH7" s="105"/>
      <c r="IVO7" s="56"/>
      <c r="IVP7" s="105"/>
      <c r="IVW7" s="56"/>
      <c r="IVX7" s="105"/>
      <c r="IWE7" s="56"/>
      <c r="IWF7" s="105"/>
      <c r="IWM7" s="56"/>
      <c r="IWN7" s="105"/>
      <c r="IWU7" s="56"/>
      <c r="IWV7" s="105"/>
      <c r="IXC7" s="56"/>
      <c r="IXD7" s="105"/>
      <c r="IXK7" s="56"/>
      <c r="IXL7" s="105"/>
      <c r="IXS7" s="56"/>
      <c r="IXT7" s="105"/>
      <c r="IYA7" s="56"/>
      <c r="IYB7" s="105"/>
      <c r="IYI7" s="56"/>
      <c r="IYJ7" s="105"/>
      <c r="IYQ7" s="56"/>
      <c r="IYR7" s="105"/>
      <c r="IYY7" s="56"/>
      <c r="IYZ7" s="105"/>
      <c r="IZG7" s="56"/>
      <c r="IZH7" s="105"/>
      <c r="IZO7" s="56"/>
      <c r="IZP7" s="105"/>
      <c r="IZW7" s="56"/>
      <c r="IZX7" s="105"/>
      <c r="JAE7" s="56"/>
      <c r="JAF7" s="105"/>
      <c r="JAM7" s="56"/>
      <c r="JAN7" s="105"/>
      <c r="JAU7" s="56"/>
      <c r="JAV7" s="105"/>
      <c r="JBC7" s="56"/>
      <c r="JBD7" s="105"/>
      <c r="JBK7" s="56"/>
      <c r="JBL7" s="105"/>
      <c r="JBS7" s="56"/>
      <c r="JBT7" s="105"/>
      <c r="JCA7" s="56"/>
      <c r="JCB7" s="105"/>
      <c r="JCI7" s="56"/>
      <c r="JCJ7" s="105"/>
      <c r="JCQ7" s="56"/>
      <c r="JCR7" s="105"/>
      <c r="JCY7" s="56"/>
      <c r="JCZ7" s="105"/>
      <c r="JDG7" s="56"/>
      <c r="JDH7" s="105"/>
      <c r="JDO7" s="56"/>
      <c r="JDP7" s="105"/>
      <c r="JDW7" s="56"/>
      <c r="JDX7" s="105"/>
      <c r="JEE7" s="56"/>
      <c r="JEF7" s="105"/>
      <c r="JEM7" s="56"/>
      <c r="JEN7" s="105"/>
      <c r="JEU7" s="56"/>
      <c r="JEV7" s="105"/>
      <c r="JFC7" s="56"/>
      <c r="JFD7" s="105"/>
      <c r="JFK7" s="56"/>
      <c r="JFL7" s="105"/>
      <c r="JFS7" s="56"/>
      <c r="JFT7" s="105"/>
      <c r="JGA7" s="56"/>
      <c r="JGB7" s="105"/>
      <c r="JGI7" s="56"/>
      <c r="JGJ7" s="105"/>
      <c r="JGQ7" s="56"/>
      <c r="JGR7" s="105"/>
      <c r="JGY7" s="56"/>
      <c r="JGZ7" s="105"/>
      <c r="JHG7" s="56"/>
      <c r="JHH7" s="105"/>
      <c r="JHO7" s="56"/>
      <c r="JHP7" s="105"/>
      <c r="JHW7" s="56"/>
      <c r="JHX7" s="105"/>
      <c r="JIE7" s="56"/>
      <c r="JIF7" s="105"/>
      <c r="JIM7" s="56"/>
      <c r="JIN7" s="105"/>
      <c r="JIU7" s="56"/>
      <c r="JIV7" s="105"/>
      <c r="JJC7" s="56"/>
      <c r="JJD7" s="105"/>
      <c r="JJK7" s="56"/>
      <c r="JJL7" s="105"/>
      <c r="JJS7" s="56"/>
      <c r="JJT7" s="105"/>
      <c r="JKA7" s="56"/>
      <c r="JKB7" s="105"/>
      <c r="JKI7" s="56"/>
      <c r="JKJ7" s="105"/>
      <c r="JKQ7" s="56"/>
      <c r="JKR7" s="105"/>
      <c r="JKY7" s="56"/>
      <c r="JKZ7" s="105"/>
      <c r="JLG7" s="56"/>
      <c r="JLH7" s="105"/>
      <c r="JLO7" s="56"/>
      <c r="JLP7" s="105"/>
      <c r="JLW7" s="56"/>
      <c r="JLX7" s="105"/>
      <c r="JME7" s="56"/>
      <c r="JMF7" s="105"/>
      <c r="JMM7" s="56"/>
      <c r="JMN7" s="105"/>
      <c r="JMU7" s="56"/>
      <c r="JMV7" s="105"/>
      <c r="JNC7" s="56"/>
      <c r="JND7" s="105"/>
      <c r="JNK7" s="56"/>
      <c r="JNL7" s="105"/>
      <c r="JNS7" s="56"/>
      <c r="JNT7" s="105"/>
      <c r="JOA7" s="56"/>
      <c r="JOB7" s="105"/>
      <c r="JOI7" s="56"/>
      <c r="JOJ7" s="105"/>
      <c r="JOQ7" s="56"/>
      <c r="JOR7" s="105"/>
      <c r="JOY7" s="56"/>
      <c r="JOZ7" s="105"/>
      <c r="JPG7" s="56"/>
      <c r="JPH7" s="105"/>
      <c r="JPO7" s="56"/>
      <c r="JPP7" s="105"/>
      <c r="JPW7" s="56"/>
      <c r="JPX7" s="105"/>
      <c r="JQE7" s="56"/>
      <c r="JQF7" s="105"/>
      <c r="JQM7" s="56"/>
      <c r="JQN7" s="105"/>
      <c r="JQU7" s="56"/>
      <c r="JQV7" s="105"/>
      <c r="JRC7" s="56"/>
      <c r="JRD7" s="105"/>
      <c r="JRK7" s="56"/>
      <c r="JRL7" s="105"/>
      <c r="JRS7" s="56"/>
      <c r="JRT7" s="105"/>
      <c r="JSA7" s="56"/>
      <c r="JSB7" s="105"/>
      <c r="JSI7" s="56"/>
      <c r="JSJ7" s="105"/>
      <c r="JSQ7" s="56"/>
      <c r="JSR7" s="105"/>
      <c r="JSY7" s="56"/>
      <c r="JSZ7" s="105"/>
      <c r="JTG7" s="56"/>
      <c r="JTH7" s="105"/>
      <c r="JTO7" s="56"/>
      <c r="JTP7" s="105"/>
      <c r="JTW7" s="56"/>
      <c r="JTX7" s="105"/>
      <c r="JUE7" s="56"/>
      <c r="JUF7" s="105"/>
      <c r="JUM7" s="56"/>
      <c r="JUN7" s="105"/>
      <c r="JUU7" s="56"/>
      <c r="JUV7" s="105"/>
      <c r="JVC7" s="56"/>
      <c r="JVD7" s="105"/>
      <c r="JVK7" s="56"/>
      <c r="JVL7" s="105"/>
      <c r="JVS7" s="56"/>
      <c r="JVT7" s="105"/>
      <c r="JWA7" s="56"/>
      <c r="JWB7" s="105"/>
      <c r="JWI7" s="56"/>
      <c r="JWJ7" s="105"/>
      <c r="JWQ7" s="56"/>
      <c r="JWR7" s="105"/>
      <c r="JWY7" s="56"/>
      <c r="JWZ7" s="105"/>
      <c r="JXG7" s="56"/>
      <c r="JXH7" s="105"/>
      <c r="JXO7" s="56"/>
      <c r="JXP7" s="105"/>
      <c r="JXW7" s="56"/>
      <c r="JXX7" s="105"/>
      <c r="JYE7" s="56"/>
      <c r="JYF7" s="105"/>
      <c r="JYM7" s="56"/>
      <c r="JYN7" s="105"/>
      <c r="JYU7" s="56"/>
      <c r="JYV7" s="105"/>
      <c r="JZC7" s="56"/>
      <c r="JZD7" s="105"/>
      <c r="JZK7" s="56"/>
      <c r="JZL7" s="105"/>
      <c r="JZS7" s="56"/>
      <c r="JZT7" s="105"/>
      <c r="KAA7" s="56"/>
      <c r="KAB7" s="105"/>
      <c r="KAI7" s="56"/>
      <c r="KAJ7" s="105"/>
      <c r="KAQ7" s="56"/>
      <c r="KAR7" s="105"/>
      <c r="KAY7" s="56"/>
      <c r="KAZ7" s="105"/>
      <c r="KBG7" s="56"/>
      <c r="KBH7" s="105"/>
      <c r="KBO7" s="56"/>
      <c r="KBP7" s="105"/>
      <c r="KBW7" s="56"/>
      <c r="KBX7" s="105"/>
      <c r="KCE7" s="56"/>
      <c r="KCF7" s="105"/>
      <c r="KCM7" s="56"/>
      <c r="KCN7" s="105"/>
      <c r="KCU7" s="56"/>
      <c r="KCV7" s="105"/>
      <c r="KDC7" s="56"/>
      <c r="KDD7" s="105"/>
      <c r="KDK7" s="56"/>
      <c r="KDL7" s="105"/>
      <c r="KDS7" s="56"/>
      <c r="KDT7" s="105"/>
      <c r="KEA7" s="56"/>
      <c r="KEB7" s="105"/>
      <c r="KEI7" s="56"/>
      <c r="KEJ7" s="105"/>
      <c r="KEQ7" s="56"/>
      <c r="KER7" s="105"/>
      <c r="KEY7" s="56"/>
      <c r="KEZ7" s="105"/>
      <c r="KFG7" s="56"/>
      <c r="KFH7" s="105"/>
      <c r="KFO7" s="56"/>
      <c r="KFP7" s="105"/>
      <c r="KFW7" s="56"/>
      <c r="KFX7" s="105"/>
      <c r="KGE7" s="56"/>
      <c r="KGF7" s="105"/>
      <c r="KGM7" s="56"/>
      <c r="KGN7" s="105"/>
      <c r="KGU7" s="56"/>
      <c r="KGV7" s="105"/>
      <c r="KHC7" s="56"/>
      <c r="KHD7" s="105"/>
      <c r="KHK7" s="56"/>
      <c r="KHL7" s="105"/>
      <c r="KHS7" s="56"/>
      <c r="KHT7" s="105"/>
      <c r="KIA7" s="56"/>
      <c r="KIB7" s="105"/>
      <c r="KII7" s="56"/>
      <c r="KIJ7" s="105"/>
      <c r="KIQ7" s="56"/>
      <c r="KIR7" s="105"/>
      <c r="KIY7" s="56"/>
      <c r="KIZ7" s="105"/>
      <c r="KJG7" s="56"/>
      <c r="KJH7" s="105"/>
      <c r="KJO7" s="56"/>
      <c r="KJP7" s="105"/>
      <c r="KJW7" s="56"/>
      <c r="KJX7" s="105"/>
      <c r="KKE7" s="56"/>
      <c r="KKF7" s="105"/>
      <c r="KKM7" s="56"/>
      <c r="KKN7" s="105"/>
      <c r="KKU7" s="56"/>
      <c r="KKV7" s="105"/>
      <c r="KLC7" s="56"/>
      <c r="KLD7" s="105"/>
      <c r="KLK7" s="56"/>
      <c r="KLL7" s="105"/>
      <c r="KLS7" s="56"/>
      <c r="KLT7" s="105"/>
      <c r="KMA7" s="56"/>
      <c r="KMB7" s="105"/>
      <c r="KMI7" s="56"/>
      <c r="KMJ7" s="105"/>
      <c r="KMQ7" s="56"/>
      <c r="KMR7" s="105"/>
      <c r="KMY7" s="56"/>
      <c r="KMZ7" s="105"/>
      <c r="KNG7" s="56"/>
      <c r="KNH7" s="105"/>
      <c r="KNO7" s="56"/>
      <c r="KNP7" s="105"/>
      <c r="KNW7" s="56"/>
      <c r="KNX7" s="105"/>
      <c r="KOE7" s="56"/>
      <c r="KOF7" s="105"/>
      <c r="KOM7" s="56"/>
      <c r="KON7" s="105"/>
      <c r="KOU7" s="56"/>
      <c r="KOV7" s="105"/>
      <c r="KPC7" s="56"/>
      <c r="KPD7" s="105"/>
      <c r="KPK7" s="56"/>
      <c r="KPL7" s="105"/>
      <c r="KPS7" s="56"/>
      <c r="KPT7" s="105"/>
      <c r="KQA7" s="56"/>
      <c r="KQB7" s="105"/>
      <c r="KQI7" s="56"/>
      <c r="KQJ7" s="105"/>
      <c r="KQQ7" s="56"/>
      <c r="KQR7" s="105"/>
      <c r="KQY7" s="56"/>
      <c r="KQZ7" s="105"/>
      <c r="KRG7" s="56"/>
      <c r="KRH7" s="105"/>
      <c r="KRO7" s="56"/>
      <c r="KRP7" s="105"/>
      <c r="KRW7" s="56"/>
      <c r="KRX7" s="105"/>
      <c r="KSE7" s="56"/>
      <c r="KSF7" s="105"/>
      <c r="KSM7" s="56"/>
      <c r="KSN7" s="105"/>
      <c r="KSU7" s="56"/>
      <c r="KSV7" s="105"/>
      <c r="KTC7" s="56"/>
      <c r="KTD7" s="105"/>
      <c r="KTK7" s="56"/>
      <c r="KTL7" s="105"/>
      <c r="KTS7" s="56"/>
      <c r="KTT7" s="105"/>
      <c r="KUA7" s="56"/>
      <c r="KUB7" s="105"/>
      <c r="KUI7" s="56"/>
      <c r="KUJ7" s="105"/>
      <c r="KUQ7" s="56"/>
      <c r="KUR7" s="105"/>
      <c r="KUY7" s="56"/>
      <c r="KUZ7" s="105"/>
      <c r="KVG7" s="56"/>
      <c r="KVH7" s="105"/>
      <c r="KVO7" s="56"/>
      <c r="KVP7" s="105"/>
      <c r="KVW7" s="56"/>
      <c r="KVX7" s="105"/>
      <c r="KWE7" s="56"/>
      <c r="KWF7" s="105"/>
      <c r="KWM7" s="56"/>
      <c r="KWN7" s="105"/>
      <c r="KWU7" s="56"/>
      <c r="KWV7" s="105"/>
      <c r="KXC7" s="56"/>
      <c r="KXD7" s="105"/>
      <c r="KXK7" s="56"/>
      <c r="KXL7" s="105"/>
      <c r="KXS7" s="56"/>
      <c r="KXT7" s="105"/>
      <c r="KYA7" s="56"/>
      <c r="KYB7" s="105"/>
      <c r="KYI7" s="56"/>
      <c r="KYJ7" s="105"/>
      <c r="KYQ7" s="56"/>
      <c r="KYR7" s="105"/>
      <c r="KYY7" s="56"/>
      <c r="KYZ7" s="105"/>
      <c r="KZG7" s="56"/>
      <c r="KZH7" s="105"/>
      <c r="KZO7" s="56"/>
      <c r="KZP7" s="105"/>
      <c r="KZW7" s="56"/>
      <c r="KZX7" s="105"/>
      <c r="LAE7" s="56"/>
      <c r="LAF7" s="105"/>
      <c r="LAM7" s="56"/>
      <c r="LAN7" s="105"/>
      <c r="LAU7" s="56"/>
      <c r="LAV7" s="105"/>
      <c r="LBC7" s="56"/>
      <c r="LBD7" s="105"/>
      <c r="LBK7" s="56"/>
      <c r="LBL7" s="105"/>
      <c r="LBS7" s="56"/>
      <c r="LBT7" s="105"/>
      <c r="LCA7" s="56"/>
      <c r="LCB7" s="105"/>
      <c r="LCI7" s="56"/>
      <c r="LCJ7" s="105"/>
      <c r="LCQ7" s="56"/>
      <c r="LCR7" s="105"/>
      <c r="LCY7" s="56"/>
      <c r="LCZ7" s="105"/>
      <c r="LDG7" s="56"/>
      <c r="LDH7" s="105"/>
      <c r="LDO7" s="56"/>
      <c r="LDP7" s="105"/>
      <c r="LDW7" s="56"/>
      <c r="LDX7" s="105"/>
      <c r="LEE7" s="56"/>
      <c r="LEF7" s="105"/>
      <c r="LEM7" s="56"/>
      <c r="LEN7" s="105"/>
      <c r="LEU7" s="56"/>
      <c r="LEV7" s="105"/>
      <c r="LFC7" s="56"/>
      <c r="LFD7" s="105"/>
      <c r="LFK7" s="56"/>
      <c r="LFL7" s="105"/>
      <c r="LFS7" s="56"/>
      <c r="LFT7" s="105"/>
      <c r="LGA7" s="56"/>
      <c r="LGB7" s="105"/>
      <c r="LGI7" s="56"/>
      <c r="LGJ7" s="105"/>
      <c r="LGQ7" s="56"/>
      <c r="LGR7" s="105"/>
      <c r="LGY7" s="56"/>
      <c r="LGZ7" s="105"/>
      <c r="LHG7" s="56"/>
      <c r="LHH7" s="105"/>
      <c r="LHO7" s="56"/>
      <c r="LHP7" s="105"/>
      <c r="LHW7" s="56"/>
      <c r="LHX7" s="105"/>
      <c r="LIE7" s="56"/>
      <c r="LIF7" s="105"/>
      <c r="LIM7" s="56"/>
      <c r="LIN7" s="105"/>
      <c r="LIU7" s="56"/>
      <c r="LIV7" s="105"/>
      <c r="LJC7" s="56"/>
      <c r="LJD7" s="105"/>
      <c r="LJK7" s="56"/>
      <c r="LJL7" s="105"/>
      <c r="LJS7" s="56"/>
      <c r="LJT7" s="105"/>
      <c r="LKA7" s="56"/>
      <c r="LKB7" s="105"/>
      <c r="LKI7" s="56"/>
      <c r="LKJ7" s="105"/>
      <c r="LKQ7" s="56"/>
      <c r="LKR7" s="105"/>
      <c r="LKY7" s="56"/>
      <c r="LKZ7" s="105"/>
      <c r="LLG7" s="56"/>
      <c r="LLH7" s="105"/>
      <c r="LLO7" s="56"/>
      <c r="LLP7" s="105"/>
      <c r="LLW7" s="56"/>
      <c r="LLX7" s="105"/>
      <c r="LME7" s="56"/>
      <c r="LMF7" s="105"/>
      <c r="LMM7" s="56"/>
      <c r="LMN7" s="105"/>
      <c r="LMU7" s="56"/>
      <c r="LMV7" s="105"/>
      <c r="LNC7" s="56"/>
      <c r="LND7" s="105"/>
      <c r="LNK7" s="56"/>
      <c r="LNL7" s="105"/>
      <c r="LNS7" s="56"/>
      <c r="LNT7" s="105"/>
      <c r="LOA7" s="56"/>
      <c r="LOB7" s="105"/>
      <c r="LOI7" s="56"/>
      <c r="LOJ7" s="105"/>
      <c r="LOQ7" s="56"/>
      <c r="LOR7" s="105"/>
      <c r="LOY7" s="56"/>
      <c r="LOZ7" s="105"/>
      <c r="LPG7" s="56"/>
      <c r="LPH7" s="105"/>
      <c r="LPO7" s="56"/>
      <c r="LPP7" s="105"/>
      <c r="LPW7" s="56"/>
      <c r="LPX7" s="105"/>
      <c r="LQE7" s="56"/>
      <c r="LQF7" s="105"/>
      <c r="LQM7" s="56"/>
      <c r="LQN7" s="105"/>
      <c r="LQU7" s="56"/>
      <c r="LQV7" s="105"/>
      <c r="LRC7" s="56"/>
      <c r="LRD7" s="105"/>
      <c r="LRK7" s="56"/>
      <c r="LRL7" s="105"/>
      <c r="LRS7" s="56"/>
      <c r="LRT7" s="105"/>
      <c r="LSA7" s="56"/>
      <c r="LSB7" s="105"/>
      <c r="LSI7" s="56"/>
      <c r="LSJ7" s="105"/>
      <c r="LSQ7" s="56"/>
      <c r="LSR7" s="105"/>
      <c r="LSY7" s="56"/>
      <c r="LSZ7" s="105"/>
      <c r="LTG7" s="56"/>
      <c r="LTH7" s="105"/>
      <c r="LTO7" s="56"/>
      <c r="LTP7" s="105"/>
      <c r="LTW7" s="56"/>
      <c r="LTX7" s="105"/>
      <c r="LUE7" s="56"/>
      <c r="LUF7" s="105"/>
      <c r="LUM7" s="56"/>
      <c r="LUN7" s="105"/>
      <c r="LUU7" s="56"/>
      <c r="LUV7" s="105"/>
      <c r="LVC7" s="56"/>
      <c r="LVD7" s="105"/>
      <c r="LVK7" s="56"/>
      <c r="LVL7" s="105"/>
      <c r="LVS7" s="56"/>
      <c r="LVT7" s="105"/>
      <c r="LWA7" s="56"/>
      <c r="LWB7" s="105"/>
      <c r="LWI7" s="56"/>
      <c r="LWJ7" s="105"/>
      <c r="LWQ7" s="56"/>
      <c r="LWR7" s="105"/>
      <c r="LWY7" s="56"/>
      <c r="LWZ7" s="105"/>
      <c r="LXG7" s="56"/>
      <c r="LXH7" s="105"/>
      <c r="LXO7" s="56"/>
      <c r="LXP7" s="105"/>
      <c r="LXW7" s="56"/>
      <c r="LXX7" s="105"/>
      <c r="LYE7" s="56"/>
      <c r="LYF7" s="105"/>
      <c r="LYM7" s="56"/>
      <c r="LYN7" s="105"/>
      <c r="LYU7" s="56"/>
      <c r="LYV7" s="105"/>
      <c r="LZC7" s="56"/>
      <c r="LZD7" s="105"/>
      <c r="LZK7" s="56"/>
      <c r="LZL7" s="105"/>
      <c r="LZS7" s="56"/>
      <c r="LZT7" s="105"/>
      <c r="MAA7" s="56"/>
      <c r="MAB7" s="105"/>
      <c r="MAI7" s="56"/>
      <c r="MAJ7" s="105"/>
      <c r="MAQ7" s="56"/>
      <c r="MAR7" s="105"/>
      <c r="MAY7" s="56"/>
      <c r="MAZ7" s="105"/>
      <c r="MBG7" s="56"/>
      <c r="MBH7" s="105"/>
      <c r="MBO7" s="56"/>
      <c r="MBP7" s="105"/>
      <c r="MBW7" s="56"/>
      <c r="MBX7" s="105"/>
      <c r="MCE7" s="56"/>
      <c r="MCF7" s="105"/>
      <c r="MCM7" s="56"/>
      <c r="MCN7" s="105"/>
      <c r="MCU7" s="56"/>
      <c r="MCV7" s="105"/>
      <c r="MDC7" s="56"/>
      <c r="MDD7" s="105"/>
      <c r="MDK7" s="56"/>
      <c r="MDL7" s="105"/>
      <c r="MDS7" s="56"/>
      <c r="MDT7" s="105"/>
      <c r="MEA7" s="56"/>
      <c r="MEB7" s="105"/>
      <c r="MEI7" s="56"/>
      <c r="MEJ7" s="105"/>
      <c r="MEQ7" s="56"/>
      <c r="MER7" s="105"/>
      <c r="MEY7" s="56"/>
      <c r="MEZ7" s="105"/>
      <c r="MFG7" s="56"/>
      <c r="MFH7" s="105"/>
      <c r="MFO7" s="56"/>
      <c r="MFP7" s="105"/>
      <c r="MFW7" s="56"/>
      <c r="MFX7" s="105"/>
      <c r="MGE7" s="56"/>
      <c r="MGF7" s="105"/>
      <c r="MGM7" s="56"/>
      <c r="MGN7" s="105"/>
      <c r="MGU7" s="56"/>
      <c r="MGV7" s="105"/>
      <c r="MHC7" s="56"/>
      <c r="MHD7" s="105"/>
      <c r="MHK7" s="56"/>
      <c r="MHL7" s="105"/>
      <c r="MHS7" s="56"/>
      <c r="MHT7" s="105"/>
      <c r="MIA7" s="56"/>
      <c r="MIB7" s="105"/>
      <c r="MII7" s="56"/>
      <c r="MIJ7" s="105"/>
      <c r="MIQ7" s="56"/>
      <c r="MIR7" s="105"/>
      <c r="MIY7" s="56"/>
      <c r="MIZ7" s="105"/>
      <c r="MJG7" s="56"/>
      <c r="MJH7" s="105"/>
      <c r="MJO7" s="56"/>
      <c r="MJP7" s="105"/>
      <c r="MJW7" s="56"/>
      <c r="MJX7" s="105"/>
      <c r="MKE7" s="56"/>
      <c r="MKF7" s="105"/>
      <c r="MKM7" s="56"/>
      <c r="MKN7" s="105"/>
      <c r="MKU7" s="56"/>
      <c r="MKV7" s="105"/>
      <c r="MLC7" s="56"/>
      <c r="MLD7" s="105"/>
      <c r="MLK7" s="56"/>
      <c r="MLL7" s="105"/>
      <c r="MLS7" s="56"/>
      <c r="MLT7" s="105"/>
      <c r="MMA7" s="56"/>
      <c r="MMB7" s="105"/>
      <c r="MMI7" s="56"/>
      <c r="MMJ7" s="105"/>
      <c r="MMQ7" s="56"/>
      <c r="MMR7" s="105"/>
      <c r="MMY7" s="56"/>
      <c r="MMZ7" s="105"/>
      <c r="MNG7" s="56"/>
      <c r="MNH7" s="105"/>
      <c r="MNO7" s="56"/>
      <c r="MNP7" s="105"/>
      <c r="MNW7" s="56"/>
      <c r="MNX7" s="105"/>
      <c r="MOE7" s="56"/>
      <c r="MOF7" s="105"/>
      <c r="MOM7" s="56"/>
      <c r="MON7" s="105"/>
      <c r="MOU7" s="56"/>
      <c r="MOV7" s="105"/>
      <c r="MPC7" s="56"/>
      <c r="MPD7" s="105"/>
      <c r="MPK7" s="56"/>
      <c r="MPL7" s="105"/>
      <c r="MPS7" s="56"/>
      <c r="MPT7" s="105"/>
      <c r="MQA7" s="56"/>
      <c r="MQB7" s="105"/>
      <c r="MQI7" s="56"/>
      <c r="MQJ7" s="105"/>
      <c r="MQQ7" s="56"/>
      <c r="MQR7" s="105"/>
      <c r="MQY7" s="56"/>
      <c r="MQZ7" s="105"/>
      <c r="MRG7" s="56"/>
      <c r="MRH7" s="105"/>
      <c r="MRO7" s="56"/>
      <c r="MRP7" s="105"/>
      <c r="MRW7" s="56"/>
      <c r="MRX7" s="105"/>
      <c r="MSE7" s="56"/>
      <c r="MSF7" s="105"/>
      <c r="MSM7" s="56"/>
      <c r="MSN7" s="105"/>
      <c r="MSU7" s="56"/>
      <c r="MSV7" s="105"/>
      <c r="MTC7" s="56"/>
      <c r="MTD7" s="105"/>
      <c r="MTK7" s="56"/>
      <c r="MTL7" s="105"/>
      <c r="MTS7" s="56"/>
      <c r="MTT7" s="105"/>
      <c r="MUA7" s="56"/>
      <c r="MUB7" s="105"/>
      <c r="MUI7" s="56"/>
      <c r="MUJ7" s="105"/>
      <c r="MUQ7" s="56"/>
      <c r="MUR7" s="105"/>
      <c r="MUY7" s="56"/>
      <c r="MUZ7" s="105"/>
      <c r="MVG7" s="56"/>
      <c r="MVH7" s="105"/>
      <c r="MVO7" s="56"/>
      <c r="MVP7" s="105"/>
      <c r="MVW7" s="56"/>
      <c r="MVX7" s="105"/>
      <c r="MWE7" s="56"/>
      <c r="MWF7" s="105"/>
      <c r="MWM7" s="56"/>
      <c r="MWN7" s="105"/>
      <c r="MWU7" s="56"/>
      <c r="MWV7" s="105"/>
      <c r="MXC7" s="56"/>
      <c r="MXD7" s="105"/>
      <c r="MXK7" s="56"/>
      <c r="MXL7" s="105"/>
      <c r="MXS7" s="56"/>
      <c r="MXT7" s="105"/>
      <c r="MYA7" s="56"/>
      <c r="MYB7" s="105"/>
      <c r="MYI7" s="56"/>
      <c r="MYJ7" s="105"/>
      <c r="MYQ7" s="56"/>
      <c r="MYR7" s="105"/>
      <c r="MYY7" s="56"/>
      <c r="MYZ7" s="105"/>
      <c r="MZG7" s="56"/>
      <c r="MZH7" s="105"/>
      <c r="MZO7" s="56"/>
      <c r="MZP7" s="105"/>
      <c r="MZW7" s="56"/>
      <c r="MZX7" s="105"/>
      <c r="NAE7" s="56"/>
      <c r="NAF7" s="105"/>
      <c r="NAM7" s="56"/>
      <c r="NAN7" s="105"/>
      <c r="NAU7" s="56"/>
      <c r="NAV7" s="105"/>
      <c r="NBC7" s="56"/>
      <c r="NBD7" s="105"/>
      <c r="NBK7" s="56"/>
      <c r="NBL7" s="105"/>
      <c r="NBS7" s="56"/>
      <c r="NBT7" s="105"/>
      <c r="NCA7" s="56"/>
      <c r="NCB7" s="105"/>
      <c r="NCI7" s="56"/>
      <c r="NCJ7" s="105"/>
      <c r="NCQ7" s="56"/>
      <c r="NCR7" s="105"/>
      <c r="NCY7" s="56"/>
      <c r="NCZ7" s="105"/>
      <c r="NDG7" s="56"/>
      <c r="NDH7" s="105"/>
      <c r="NDO7" s="56"/>
      <c r="NDP7" s="105"/>
      <c r="NDW7" s="56"/>
      <c r="NDX7" s="105"/>
      <c r="NEE7" s="56"/>
      <c r="NEF7" s="105"/>
      <c r="NEM7" s="56"/>
      <c r="NEN7" s="105"/>
      <c r="NEU7" s="56"/>
      <c r="NEV7" s="105"/>
      <c r="NFC7" s="56"/>
      <c r="NFD7" s="105"/>
      <c r="NFK7" s="56"/>
      <c r="NFL7" s="105"/>
      <c r="NFS7" s="56"/>
      <c r="NFT7" s="105"/>
      <c r="NGA7" s="56"/>
      <c r="NGB7" s="105"/>
      <c r="NGI7" s="56"/>
      <c r="NGJ7" s="105"/>
      <c r="NGQ7" s="56"/>
      <c r="NGR7" s="105"/>
      <c r="NGY7" s="56"/>
      <c r="NGZ7" s="105"/>
      <c r="NHG7" s="56"/>
      <c r="NHH7" s="105"/>
      <c r="NHO7" s="56"/>
      <c r="NHP7" s="105"/>
      <c r="NHW7" s="56"/>
      <c r="NHX7" s="105"/>
      <c r="NIE7" s="56"/>
      <c r="NIF7" s="105"/>
      <c r="NIM7" s="56"/>
      <c r="NIN7" s="105"/>
      <c r="NIU7" s="56"/>
      <c r="NIV7" s="105"/>
      <c r="NJC7" s="56"/>
      <c r="NJD7" s="105"/>
      <c r="NJK7" s="56"/>
      <c r="NJL7" s="105"/>
      <c r="NJS7" s="56"/>
      <c r="NJT7" s="105"/>
      <c r="NKA7" s="56"/>
      <c r="NKB7" s="105"/>
      <c r="NKI7" s="56"/>
      <c r="NKJ7" s="105"/>
      <c r="NKQ7" s="56"/>
      <c r="NKR7" s="105"/>
      <c r="NKY7" s="56"/>
      <c r="NKZ7" s="105"/>
      <c r="NLG7" s="56"/>
      <c r="NLH7" s="105"/>
      <c r="NLO7" s="56"/>
      <c r="NLP7" s="105"/>
      <c r="NLW7" s="56"/>
      <c r="NLX7" s="105"/>
      <c r="NME7" s="56"/>
      <c r="NMF7" s="105"/>
      <c r="NMM7" s="56"/>
      <c r="NMN7" s="105"/>
      <c r="NMU7" s="56"/>
      <c r="NMV7" s="105"/>
      <c r="NNC7" s="56"/>
      <c r="NND7" s="105"/>
      <c r="NNK7" s="56"/>
      <c r="NNL7" s="105"/>
      <c r="NNS7" s="56"/>
      <c r="NNT7" s="105"/>
      <c r="NOA7" s="56"/>
      <c r="NOB7" s="105"/>
      <c r="NOI7" s="56"/>
      <c r="NOJ7" s="105"/>
      <c r="NOQ7" s="56"/>
      <c r="NOR7" s="105"/>
      <c r="NOY7" s="56"/>
      <c r="NOZ7" s="105"/>
      <c r="NPG7" s="56"/>
      <c r="NPH7" s="105"/>
      <c r="NPO7" s="56"/>
      <c r="NPP7" s="105"/>
      <c r="NPW7" s="56"/>
      <c r="NPX7" s="105"/>
      <c r="NQE7" s="56"/>
      <c r="NQF7" s="105"/>
      <c r="NQM7" s="56"/>
      <c r="NQN7" s="105"/>
      <c r="NQU7" s="56"/>
      <c r="NQV7" s="105"/>
      <c r="NRC7" s="56"/>
      <c r="NRD7" s="105"/>
      <c r="NRK7" s="56"/>
      <c r="NRL7" s="105"/>
      <c r="NRS7" s="56"/>
      <c r="NRT7" s="105"/>
      <c r="NSA7" s="56"/>
      <c r="NSB7" s="105"/>
      <c r="NSI7" s="56"/>
      <c r="NSJ7" s="105"/>
      <c r="NSQ7" s="56"/>
      <c r="NSR7" s="105"/>
      <c r="NSY7" s="56"/>
      <c r="NSZ7" s="105"/>
      <c r="NTG7" s="56"/>
      <c r="NTH7" s="105"/>
      <c r="NTO7" s="56"/>
      <c r="NTP7" s="105"/>
      <c r="NTW7" s="56"/>
      <c r="NTX7" s="105"/>
      <c r="NUE7" s="56"/>
      <c r="NUF7" s="105"/>
      <c r="NUM7" s="56"/>
      <c r="NUN7" s="105"/>
      <c r="NUU7" s="56"/>
      <c r="NUV7" s="105"/>
      <c r="NVC7" s="56"/>
      <c r="NVD7" s="105"/>
      <c r="NVK7" s="56"/>
      <c r="NVL7" s="105"/>
      <c r="NVS7" s="56"/>
      <c r="NVT7" s="105"/>
      <c r="NWA7" s="56"/>
      <c r="NWB7" s="105"/>
      <c r="NWI7" s="56"/>
      <c r="NWJ7" s="105"/>
      <c r="NWQ7" s="56"/>
      <c r="NWR7" s="105"/>
      <c r="NWY7" s="56"/>
      <c r="NWZ7" s="105"/>
      <c r="NXG7" s="56"/>
      <c r="NXH7" s="105"/>
      <c r="NXO7" s="56"/>
      <c r="NXP7" s="105"/>
      <c r="NXW7" s="56"/>
      <c r="NXX7" s="105"/>
      <c r="NYE7" s="56"/>
      <c r="NYF7" s="105"/>
      <c r="NYM7" s="56"/>
      <c r="NYN7" s="105"/>
      <c r="NYU7" s="56"/>
      <c r="NYV7" s="105"/>
      <c r="NZC7" s="56"/>
      <c r="NZD7" s="105"/>
      <c r="NZK7" s="56"/>
      <c r="NZL7" s="105"/>
      <c r="NZS7" s="56"/>
      <c r="NZT7" s="105"/>
      <c r="OAA7" s="56"/>
      <c r="OAB7" s="105"/>
      <c r="OAI7" s="56"/>
      <c r="OAJ7" s="105"/>
      <c r="OAQ7" s="56"/>
      <c r="OAR7" s="105"/>
      <c r="OAY7" s="56"/>
      <c r="OAZ7" s="105"/>
      <c r="OBG7" s="56"/>
      <c r="OBH7" s="105"/>
      <c r="OBO7" s="56"/>
      <c r="OBP7" s="105"/>
      <c r="OBW7" s="56"/>
      <c r="OBX7" s="105"/>
      <c r="OCE7" s="56"/>
      <c r="OCF7" s="105"/>
      <c r="OCM7" s="56"/>
      <c r="OCN7" s="105"/>
      <c r="OCU7" s="56"/>
      <c r="OCV7" s="105"/>
      <c r="ODC7" s="56"/>
      <c r="ODD7" s="105"/>
      <c r="ODK7" s="56"/>
      <c r="ODL7" s="105"/>
      <c r="ODS7" s="56"/>
      <c r="ODT7" s="105"/>
      <c r="OEA7" s="56"/>
      <c r="OEB7" s="105"/>
      <c r="OEI7" s="56"/>
      <c r="OEJ7" s="105"/>
      <c r="OEQ7" s="56"/>
      <c r="OER7" s="105"/>
      <c r="OEY7" s="56"/>
      <c r="OEZ7" s="105"/>
      <c r="OFG7" s="56"/>
      <c r="OFH7" s="105"/>
      <c r="OFO7" s="56"/>
      <c r="OFP7" s="105"/>
      <c r="OFW7" s="56"/>
      <c r="OFX7" s="105"/>
      <c r="OGE7" s="56"/>
      <c r="OGF7" s="105"/>
      <c r="OGM7" s="56"/>
      <c r="OGN7" s="105"/>
      <c r="OGU7" s="56"/>
      <c r="OGV7" s="105"/>
      <c r="OHC7" s="56"/>
      <c r="OHD7" s="105"/>
      <c r="OHK7" s="56"/>
      <c r="OHL7" s="105"/>
      <c r="OHS7" s="56"/>
      <c r="OHT7" s="105"/>
      <c r="OIA7" s="56"/>
      <c r="OIB7" s="105"/>
      <c r="OII7" s="56"/>
      <c r="OIJ7" s="105"/>
      <c r="OIQ7" s="56"/>
      <c r="OIR7" s="105"/>
      <c r="OIY7" s="56"/>
      <c r="OIZ7" s="105"/>
      <c r="OJG7" s="56"/>
      <c r="OJH7" s="105"/>
      <c r="OJO7" s="56"/>
      <c r="OJP7" s="105"/>
      <c r="OJW7" s="56"/>
      <c r="OJX7" s="105"/>
      <c r="OKE7" s="56"/>
      <c r="OKF7" s="105"/>
      <c r="OKM7" s="56"/>
      <c r="OKN7" s="105"/>
      <c r="OKU7" s="56"/>
      <c r="OKV7" s="105"/>
      <c r="OLC7" s="56"/>
      <c r="OLD7" s="105"/>
      <c r="OLK7" s="56"/>
      <c r="OLL7" s="105"/>
      <c r="OLS7" s="56"/>
      <c r="OLT7" s="105"/>
      <c r="OMA7" s="56"/>
      <c r="OMB7" s="105"/>
      <c r="OMI7" s="56"/>
      <c r="OMJ7" s="105"/>
      <c r="OMQ7" s="56"/>
      <c r="OMR7" s="105"/>
      <c r="OMY7" s="56"/>
      <c r="OMZ7" s="105"/>
      <c r="ONG7" s="56"/>
      <c r="ONH7" s="105"/>
      <c r="ONO7" s="56"/>
      <c r="ONP7" s="105"/>
      <c r="ONW7" s="56"/>
      <c r="ONX7" s="105"/>
      <c r="OOE7" s="56"/>
      <c r="OOF7" s="105"/>
      <c r="OOM7" s="56"/>
      <c r="OON7" s="105"/>
      <c r="OOU7" s="56"/>
      <c r="OOV7" s="105"/>
      <c r="OPC7" s="56"/>
      <c r="OPD7" s="105"/>
      <c r="OPK7" s="56"/>
      <c r="OPL7" s="105"/>
      <c r="OPS7" s="56"/>
      <c r="OPT7" s="105"/>
      <c r="OQA7" s="56"/>
      <c r="OQB7" s="105"/>
      <c r="OQI7" s="56"/>
      <c r="OQJ7" s="105"/>
      <c r="OQQ7" s="56"/>
      <c r="OQR7" s="105"/>
      <c r="OQY7" s="56"/>
      <c r="OQZ7" s="105"/>
      <c r="ORG7" s="56"/>
      <c r="ORH7" s="105"/>
      <c r="ORO7" s="56"/>
      <c r="ORP7" s="105"/>
      <c r="ORW7" s="56"/>
      <c r="ORX7" s="105"/>
      <c r="OSE7" s="56"/>
      <c r="OSF7" s="105"/>
      <c r="OSM7" s="56"/>
      <c r="OSN7" s="105"/>
      <c r="OSU7" s="56"/>
      <c r="OSV7" s="105"/>
      <c r="OTC7" s="56"/>
      <c r="OTD7" s="105"/>
      <c r="OTK7" s="56"/>
      <c r="OTL7" s="105"/>
      <c r="OTS7" s="56"/>
      <c r="OTT7" s="105"/>
      <c r="OUA7" s="56"/>
      <c r="OUB7" s="105"/>
      <c r="OUI7" s="56"/>
      <c r="OUJ7" s="105"/>
      <c r="OUQ7" s="56"/>
      <c r="OUR7" s="105"/>
      <c r="OUY7" s="56"/>
      <c r="OUZ7" s="105"/>
      <c r="OVG7" s="56"/>
      <c r="OVH7" s="105"/>
      <c r="OVO7" s="56"/>
      <c r="OVP7" s="105"/>
      <c r="OVW7" s="56"/>
      <c r="OVX7" s="105"/>
      <c r="OWE7" s="56"/>
      <c r="OWF7" s="105"/>
      <c r="OWM7" s="56"/>
      <c r="OWN7" s="105"/>
      <c r="OWU7" s="56"/>
      <c r="OWV7" s="105"/>
      <c r="OXC7" s="56"/>
      <c r="OXD7" s="105"/>
      <c r="OXK7" s="56"/>
      <c r="OXL7" s="105"/>
      <c r="OXS7" s="56"/>
      <c r="OXT7" s="105"/>
      <c r="OYA7" s="56"/>
      <c r="OYB7" s="105"/>
      <c r="OYI7" s="56"/>
      <c r="OYJ7" s="105"/>
      <c r="OYQ7" s="56"/>
      <c r="OYR7" s="105"/>
      <c r="OYY7" s="56"/>
      <c r="OYZ7" s="105"/>
      <c r="OZG7" s="56"/>
      <c r="OZH7" s="105"/>
      <c r="OZO7" s="56"/>
      <c r="OZP7" s="105"/>
      <c r="OZW7" s="56"/>
      <c r="OZX7" s="105"/>
      <c r="PAE7" s="56"/>
      <c r="PAF7" s="105"/>
      <c r="PAM7" s="56"/>
      <c r="PAN7" s="105"/>
      <c r="PAU7" s="56"/>
      <c r="PAV7" s="105"/>
      <c r="PBC7" s="56"/>
      <c r="PBD7" s="105"/>
      <c r="PBK7" s="56"/>
      <c r="PBL7" s="105"/>
      <c r="PBS7" s="56"/>
      <c r="PBT7" s="105"/>
      <c r="PCA7" s="56"/>
      <c r="PCB7" s="105"/>
      <c r="PCI7" s="56"/>
      <c r="PCJ7" s="105"/>
      <c r="PCQ7" s="56"/>
      <c r="PCR7" s="105"/>
      <c r="PCY7" s="56"/>
      <c r="PCZ7" s="105"/>
      <c r="PDG7" s="56"/>
      <c r="PDH7" s="105"/>
      <c r="PDO7" s="56"/>
      <c r="PDP7" s="105"/>
      <c r="PDW7" s="56"/>
      <c r="PDX7" s="105"/>
      <c r="PEE7" s="56"/>
      <c r="PEF7" s="105"/>
      <c r="PEM7" s="56"/>
      <c r="PEN7" s="105"/>
      <c r="PEU7" s="56"/>
      <c r="PEV7" s="105"/>
      <c r="PFC7" s="56"/>
      <c r="PFD7" s="105"/>
      <c r="PFK7" s="56"/>
      <c r="PFL7" s="105"/>
      <c r="PFS7" s="56"/>
      <c r="PFT7" s="105"/>
      <c r="PGA7" s="56"/>
      <c r="PGB7" s="105"/>
      <c r="PGI7" s="56"/>
      <c r="PGJ7" s="105"/>
      <c r="PGQ7" s="56"/>
      <c r="PGR7" s="105"/>
      <c r="PGY7" s="56"/>
      <c r="PGZ7" s="105"/>
      <c r="PHG7" s="56"/>
      <c r="PHH7" s="105"/>
      <c r="PHO7" s="56"/>
      <c r="PHP7" s="105"/>
      <c r="PHW7" s="56"/>
      <c r="PHX7" s="105"/>
      <c r="PIE7" s="56"/>
      <c r="PIF7" s="105"/>
      <c r="PIM7" s="56"/>
      <c r="PIN7" s="105"/>
      <c r="PIU7" s="56"/>
      <c r="PIV7" s="105"/>
      <c r="PJC7" s="56"/>
      <c r="PJD7" s="105"/>
      <c r="PJK7" s="56"/>
      <c r="PJL7" s="105"/>
      <c r="PJS7" s="56"/>
      <c r="PJT7" s="105"/>
      <c r="PKA7" s="56"/>
      <c r="PKB7" s="105"/>
      <c r="PKI7" s="56"/>
      <c r="PKJ7" s="105"/>
      <c r="PKQ7" s="56"/>
      <c r="PKR7" s="105"/>
      <c r="PKY7" s="56"/>
      <c r="PKZ7" s="105"/>
      <c r="PLG7" s="56"/>
      <c r="PLH7" s="105"/>
      <c r="PLO7" s="56"/>
      <c r="PLP7" s="105"/>
      <c r="PLW7" s="56"/>
      <c r="PLX7" s="105"/>
      <c r="PME7" s="56"/>
      <c r="PMF7" s="105"/>
      <c r="PMM7" s="56"/>
      <c r="PMN7" s="105"/>
      <c r="PMU7" s="56"/>
      <c r="PMV7" s="105"/>
      <c r="PNC7" s="56"/>
      <c r="PND7" s="105"/>
      <c r="PNK7" s="56"/>
      <c r="PNL7" s="105"/>
      <c r="PNS7" s="56"/>
      <c r="PNT7" s="105"/>
      <c r="POA7" s="56"/>
      <c r="POB7" s="105"/>
      <c r="POI7" s="56"/>
      <c r="POJ7" s="105"/>
      <c r="POQ7" s="56"/>
      <c r="POR7" s="105"/>
      <c r="POY7" s="56"/>
      <c r="POZ7" s="105"/>
      <c r="PPG7" s="56"/>
      <c r="PPH7" s="105"/>
      <c r="PPO7" s="56"/>
      <c r="PPP7" s="105"/>
      <c r="PPW7" s="56"/>
      <c r="PPX7" s="105"/>
      <c r="PQE7" s="56"/>
      <c r="PQF7" s="105"/>
      <c r="PQM7" s="56"/>
      <c r="PQN7" s="105"/>
      <c r="PQU7" s="56"/>
      <c r="PQV7" s="105"/>
      <c r="PRC7" s="56"/>
      <c r="PRD7" s="105"/>
      <c r="PRK7" s="56"/>
      <c r="PRL7" s="105"/>
      <c r="PRS7" s="56"/>
      <c r="PRT7" s="105"/>
      <c r="PSA7" s="56"/>
      <c r="PSB7" s="105"/>
      <c r="PSI7" s="56"/>
      <c r="PSJ7" s="105"/>
      <c r="PSQ7" s="56"/>
      <c r="PSR7" s="105"/>
      <c r="PSY7" s="56"/>
      <c r="PSZ7" s="105"/>
      <c r="PTG7" s="56"/>
      <c r="PTH7" s="105"/>
      <c r="PTO7" s="56"/>
      <c r="PTP7" s="105"/>
      <c r="PTW7" s="56"/>
      <c r="PTX7" s="105"/>
      <c r="PUE7" s="56"/>
      <c r="PUF7" s="105"/>
      <c r="PUM7" s="56"/>
      <c r="PUN7" s="105"/>
      <c r="PUU7" s="56"/>
      <c r="PUV7" s="105"/>
      <c r="PVC7" s="56"/>
      <c r="PVD7" s="105"/>
      <c r="PVK7" s="56"/>
      <c r="PVL7" s="105"/>
      <c r="PVS7" s="56"/>
      <c r="PVT7" s="105"/>
      <c r="PWA7" s="56"/>
      <c r="PWB7" s="105"/>
      <c r="PWI7" s="56"/>
      <c r="PWJ7" s="105"/>
      <c r="PWQ7" s="56"/>
      <c r="PWR7" s="105"/>
      <c r="PWY7" s="56"/>
      <c r="PWZ7" s="105"/>
      <c r="PXG7" s="56"/>
      <c r="PXH7" s="105"/>
      <c r="PXO7" s="56"/>
      <c r="PXP7" s="105"/>
      <c r="PXW7" s="56"/>
      <c r="PXX7" s="105"/>
      <c r="PYE7" s="56"/>
      <c r="PYF7" s="105"/>
      <c r="PYM7" s="56"/>
      <c r="PYN7" s="105"/>
      <c r="PYU7" s="56"/>
      <c r="PYV7" s="105"/>
      <c r="PZC7" s="56"/>
      <c r="PZD7" s="105"/>
      <c r="PZK7" s="56"/>
      <c r="PZL7" s="105"/>
      <c r="PZS7" s="56"/>
      <c r="PZT7" s="105"/>
      <c r="QAA7" s="56"/>
      <c r="QAB7" s="105"/>
      <c r="QAI7" s="56"/>
      <c r="QAJ7" s="105"/>
      <c r="QAQ7" s="56"/>
      <c r="QAR7" s="105"/>
      <c r="QAY7" s="56"/>
      <c r="QAZ7" s="105"/>
      <c r="QBG7" s="56"/>
      <c r="QBH7" s="105"/>
      <c r="QBO7" s="56"/>
      <c r="QBP7" s="105"/>
      <c r="QBW7" s="56"/>
      <c r="QBX7" s="105"/>
      <c r="QCE7" s="56"/>
      <c r="QCF7" s="105"/>
      <c r="QCM7" s="56"/>
      <c r="QCN7" s="105"/>
      <c r="QCU7" s="56"/>
      <c r="QCV7" s="105"/>
      <c r="QDC7" s="56"/>
      <c r="QDD7" s="105"/>
      <c r="QDK7" s="56"/>
      <c r="QDL7" s="105"/>
      <c r="QDS7" s="56"/>
      <c r="QDT7" s="105"/>
      <c r="QEA7" s="56"/>
      <c r="QEB7" s="105"/>
      <c r="QEI7" s="56"/>
      <c r="QEJ7" s="105"/>
      <c r="QEQ7" s="56"/>
      <c r="QER7" s="105"/>
      <c r="QEY7" s="56"/>
      <c r="QEZ7" s="105"/>
      <c r="QFG7" s="56"/>
      <c r="QFH7" s="105"/>
      <c r="QFO7" s="56"/>
      <c r="QFP7" s="105"/>
      <c r="QFW7" s="56"/>
      <c r="QFX7" s="105"/>
      <c r="QGE7" s="56"/>
      <c r="QGF7" s="105"/>
      <c r="QGM7" s="56"/>
      <c r="QGN7" s="105"/>
      <c r="QGU7" s="56"/>
      <c r="QGV7" s="105"/>
      <c r="QHC7" s="56"/>
      <c r="QHD7" s="105"/>
      <c r="QHK7" s="56"/>
      <c r="QHL7" s="105"/>
      <c r="QHS7" s="56"/>
      <c r="QHT7" s="105"/>
      <c r="QIA7" s="56"/>
      <c r="QIB7" s="105"/>
      <c r="QII7" s="56"/>
      <c r="QIJ7" s="105"/>
      <c r="QIQ7" s="56"/>
      <c r="QIR7" s="105"/>
      <c r="QIY7" s="56"/>
      <c r="QIZ7" s="105"/>
      <c r="QJG7" s="56"/>
      <c r="QJH7" s="105"/>
      <c r="QJO7" s="56"/>
      <c r="QJP7" s="105"/>
      <c r="QJW7" s="56"/>
      <c r="QJX7" s="105"/>
      <c r="QKE7" s="56"/>
      <c r="QKF7" s="105"/>
      <c r="QKM7" s="56"/>
      <c r="QKN7" s="105"/>
      <c r="QKU7" s="56"/>
      <c r="QKV7" s="105"/>
      <c r="QLC7" s="56"/>
      <c r="QLD7" s="105"/>
      <c r="QLK7" s="56"/>
      <c r="QLL7" s="105"/>
      <c r="QLS7" s="56"/>
      <c r="QLT7" s="105"/>
      <c r="QMA7" s="56"/>
      <c r="QMB7" s="105"/>
      <c r="QMI7" s="56"/>
      <c r="QMJ7" s="105"/>
      <c r="QMQ7" s="56"/>
      <c r="QMR7" s="105"/>
      <c r="QMY7" s="56"/>
      <c r="QMZ7" s="105"/>
      <c r="QNG7" s="56"/>
      <c r="QNH7" s="105"/>
      <c r="QNO7" s="56"/>
      <c r="QNP7" s="105"/>
      <c r="QNW7" s="56"/>
      <c r="QNX7" s="105"/>
      <c r="QOE7" s="56"/>
      <c r="QOF7" s="105"/>
      <c r="QOM7" s="56"/>
      <c r="QON7" s="105"/>
      <c r="QOU7" s="56"/>
      <c r="QOV7" s="105"/>
      <c r="QPC7" s="56"/>
      <c r="QPD7" s="105"/>
      <c r="QPK7" s="56"/>
      <c r="QPL7" s="105"/>
      <c r="QPS7" s="56"/>
      <c r="QPT7" s="105"/>
      <c r="QQA7" s="56"/>
      <c r="QQB7" s="105"/>
      <c r="QQI7" s="56"/>
      <c r="QQJ7" s="105"/>
      <c r="QQQ7" s="56"/>
      <c r="QQR7" s="105"/>
      <c r="QQY7" s="56"/>
      <c r="QQZ7" s="105"/>
      <c r="QRG7" s="56"/>
      <c r="QRH7" s="105"/>
      <c r="QRO7" s="56"/>
      <c r="QRP7" s="105"/>
      <c r="QRW7" s="56"/>
      <c r="QRX7" s="105"/>
      <c r="QSE7" s="56"/>
      <c r="QSF7" s="105"/>
      <c r="QSM7" s="56"/>
      <c r="QSN7" s="105"/>
      <c r="QSU7" s="56"/>
      <c r="QSV7" s="105"/>
      <c r="QTC7" s="56"/>
      <c r="QTD7" s="105"/>
      <c r="QTK7" s="56"/>
      <c r="QTL7" s="105"/>
      <c r="QTS7" s="56"/>
      <c r="QTT7" s="105"/>
      <c r="QUA7" s="56"/>
      <c r="QUB7" s="105"/>
      <c r="QUI7" s="56"/>
      <c r="QUJ7" s="105"/>
      <c r="QUQ7" s="56"/>
      <c r="QUR7" s="105"/>
      <c r="QUY7" s="56"/>
      <c r="QUZ7" s="105"/>
      <c r="QVG7" s="56"/>
      <c r="QVH7" s="105"/>
      <c r="QVO7" s="56"/>
      <c r="QVP7" s="105"/>
      <c r="QVW7" s="56"/>
      <c r="QVX7" s="105"/>
      <c r="QWE7" s="56"/>
      <c r="QWF7" s="105"/>
      <c r="QWM7" s="56"/>
      <c r="QWN7" s="105"/>
      <c r="QWU7" s="56"/>
      <c r="QWV7" s="105"/>
      <c r="QXC7" s="56"/>
      <c r="QXD7" s="105"/>
      <c r="QXK7" s="56"/>
      <c r="QXL7" s="105"/>
      <c r="QXS7" s="56"/>
      <c r="QXT7" s="105"/>
      <c r="QYA7" s="56"/>
      <c r="QYB7" s="105"/>
      <c r="QYI7" s="56"/>
      <c r="QYJ7" s="105"/>
      <c r="QYQ7" s="56"/>
      <c r="QYR7" s="105"/>
      <c r="QYY7" s="56"/>
      <c r="QYZ7" s="105"/>
      <c r="QZG7" s="56"/>
      <c r="QZH7" s="105"/>
      <c r="QZO7" s="56"/>
      <c r="QZP7" s="105"/>
      <c r="QZW7" s="56"/>
      <c r="QZX7" s="105"/>
      <c r="RAE7" s="56"/>
      <c r="RAF7" s="105"/>
      <c r="RAM7" s="56"/>
      <c r="RAN7" s="105"/>
      <c r="RAU7" s="56"/>
      <c r="RAV7" s="105"/>
      <c r="RBC7" s="56"/>
      <c r="RBD7" s="105"/>
      <c r="RBK7" s="56"/>
      <c r="RBL7" s="105"/>
      <c r="RBS7" s="56"/>
      <c r="RBT7" s="105"/>
      <c r="RCA7" s="56"/>
      <c r="RCB7" s="105"/>
      <c r="RCI7" s="56"/>
      <c r="RCJ7" s="105"/>
      <c r="RCQ7" s="56"/>
      <c r="RCR7" s="105"/>
      <c r="RCY7" s="56"/>
      <c r="RCZ7" s="105"/>
      <c r="RDG7" s="56"/>
      <c r="RDH7" s="105"/>
      <c r="RDO7" s="56"/>
      <c r="RDP7" s="105"/>
      <c r="RDW7" s="56"/>
      <c r="RDX7" s="105"/>
      <c r="REE7" s="56"/>
      <c r="REF7" s="105"/>
      <c r="REM7" s="56"/>
      <c r="REN7" s="105"/>
      <c r="REU7" s="56"/>
      <c r="REV7" s="105"/>
      <c r="RFC7" s="56"/>
      <c r="RFD7" s="105"/>
      <c r="RFK7" s="56"/>
      <c r="RFL7" s="105"/>
      <c r="RFS7" s="56"/>
      <c r="RFT7" s="105"/>
      <c r="RGA7" s="56"/>
      <c r="RGB7" s="105"/>
      <c r="RGI7" s="56"/>
      <c r="RGJ7" s="105"/>
      <c r="RGQ7" s="56"/>
      <c r="RGR7" s="105"/>
      <c r="RGY7" s="56"/>
      <c r="RGZ7" s="105"/>
      <c r="RHG7" s="56"/>
      <c r="RHH7" s="105"/>
      <c r="RHO7" s="56"/>
      <c r="RHP7" s="105"/>
      <c r="RHW7" s="56"/>
      <c r="RHX7" s="105"/>
      <c r="RIE7" s="56"/>
      <c r="RIF7" s="105"/>
      <c r="RIM7" s="56"/>
      <c r="RIN7" s="105"/>
      <c r="RIU7" s="56"/>
      <c r="RIV7" s="105"/>
      <c r="RJC7" s="56"/>
      <c r="RJD7" s="105"/>
      <c r="RJK7" s="56"/>
      <c r="RJL7" s="105"/>
      <c r="RJS7" s="56"/>
      <c r="RJT7" s="105"/>
      <c r="RKA7" s="56"/>
      <c r="RKB7" s="105"/>
      <c r="RKI7" s="56"/>
      <c r="RKJ7" s="105"/>
      <c r="RKQ7" s="56"/>
      <c r="RKR7" s="105"/>
      <c r="RKY7" s="56"/>
      <c r="RKZ7" s="105"/>
      <c r="RLG7" s="56"/>
      <c r="RLH7" s="105"/>
      <c r="RLO7" s="56"/>
      <c r="RLP7" s="105"/>
      <c r="RLW7" s="56"/>
      <c r="RLX7" s="105"/>
      <c r="RME7" s="56"/>
      <c r="RMF7" s="105"/>
      <c r="RMM7" s="56"/>
      <c r="RMN7" s="105"/>
      <c r="RMU7" s="56"/>
      <c r="RMV7" s="105"/>
      <c r="RNC7" s="56"/>
      <c r="RND7" s="105"/>
      <c r="RNK7" s="56"/>
      <c r="RNL7" s="105"/>
      <c r="RNS7" s="56"/>
      <c r="RNT7" s="105"/>
      <c r="ROA7" s="56"/>
      <c r="ROB7" s="105"/>
      <c r="ROI7" s="56"/>
      <c r="ROJ7" s="105"/>
      <c r="ROQ7" s="56"/>
      <c r="ROR7" s="105"/>
      <c r="ROY7" s="56"/>
      <c r="ROZ7" s="105"/>
      <c r="RPG7" s="56"/>
      <c r="RPH7" s="105"/>
      <c r="RPO7" s="56"/>
      <c r="RPP7" s="105"/>
      <c r="RPW7" s="56"/>
      <c r="RPX7" s="105"/>
      <c r="RQE7" s="56"/>
      <c r="RQF7" s="105"/>
      <c r="RQM7" s="56"/>
      <c r="RQN7" s="105"/>
      <c r="RQU7" s="56"/>
      <c r="RQV7" s="105"/>
      <c r="RRC7" s="56"/>
      <c r="RRD7" s="105"/>
      <c r="RRK7" s="56"/>
      <c r="RRL7" s="105"/>
      <c r="RRS7" s="56"/>
      <c r="RRT7" s="105"/>
      <c r="RSA7" s="56"/>
      <c r="RSB7" s="105"/>
      <c r="RSI7" s="56"/>
      <c r="RSJ7" s="105"/>
      <c r="RSQ7" s="56"/>
      <c r="RSR7" s="105"/>
      <c r="RSY7" s="56"/>
      <c r="RSZ7" s="105"/>
      <c r="RTG7" s="56"/>
      <c r="RTH7" s="105"/>
      <c r="RTO7" s="56"/>
      <c r="RTP7" s="105"/>
      <c r="RTW7" s="56"/>
      <c r="RTX7" s="105"/>
      <c r="RUE7" s="56"/>
      <c r="RUF7" s="105"/>
      <c r="RUM7" s="56"/>
      <c r="RUN7" s="105"/>
      <c r="RUU7" s="56"/>
      <c r="RUV7" s="105"/>
      <c r="RVC7" s="56"/>
      <c r="RVD7" s="105"/>
      <c r="RVK7" s="56"/>
      <c r="RVL7" s="105"/>
      <c r="RVS7" s="56"/>
      <c r="RVT7" s="105"/>
      <c r="RWA7" s="56"/>
      <c r="RWB7" s="105"/>
      <c r="RWI7" s="56"/>
      <c r="RWJ7" s="105"/>
      <c r="RWQ7" s="56"/>
      <c r="RWR7" s="105"/>
      <c r="RWY7" s="56"/>
      <c r="RWZ7" s="105"/>
      <c r="RXG7" s="56"/>
      <c r="RXH7" s="105"/>
      <c r="RXO7" s="56"/>
      <c r="RXP7" s="105"/>
      <c r="RXW7" s="56"/>
      <c r="RXX7" s="105"/>
      <c r="RYE7" s="56"/>
      <c r="RYF7" s="105"/>
      <c r="RYM7" s="56"/>
      <c r="RYN7" s="105"/>
      <c r="RYU7" s="56"/>
      <c r="RYV7" s="105"/>
      <c r="RZC7" s="56"/>
      <c r="RZD7" s="105"/>
      <c r="RZK7" s="56"/>
      <c r="RZL7" s="105"/>
      <c r="RZS7" s="56"/>
      <c r="RZT7" s="105"/>
      <c r="SAA7" s="56"/>
      <c r="SAB7" s="105"/>
      <c r="SAI7" s="56"/>
      <c r="SAJ7" s="105"/>
      <c r="SAQ7" s="56"/>
      <c r="SAR7" s="105"/>
      <c r="SAY7" s="56"/>
      <c r="SAZ7" s="105"/>
      <c r="SBG7" s="56"/>
      <c r="SBH7" s="105"/>
      <c r="SBO7" s="56"/>
      <c r="SBP7" s="105"/>
      <c r="SBW7" s="56"/>
      <c r="SBX7" s="105"/>
      <c r="SCE7" s="56"/>
      <c r="SCF7" s="105"/>
      <c r="SCM7" s="56"/>
      <c r="SCN7" s="105"/>
      <c r="SCU7" s="56"/>
      <c r="SCV7" s="105"/>
      <c r="SDC7" s="56"/>
      <c r="SDD7" s="105"/>
      <c r="SDK7" s="56"/>
      <c r="SDL7" s="105"/>
      <c r="SDS7" s="56"/>
      <c r="SDT7" s="105"/>
      <c r="SEA7" s="56"/>
      <c r="SEB7" s="105"/>
      <c r="SEI7" s="56"/>
      <c r="SEJ7" s="105"/>
      <c r="SEQ7" s="56"/>
      <c r="SER7" s="105"/>
      <c r="SEY7" s="56"/>
      <c r="SEZ7" s="105"/>
      <c r="SFG7" s="56"/>
      <c r="SFH7" s="105"/>
      <c r="SFO7" s="56"/>
      <c r="SFP7" s="105"/>
      <c r="SFW7" s="56"/>
      <c r="SFX7" s="105"/>
      <c r="SGE7" s="56"/>
      <c r="SGF7" s="105"/>
      <c r="SGM7" s="56"/>
      <c r="SGN7" s="105"/>
      <c r="SGU7" s="56"/>
      <c r="SGV7" s="105"/>
      <c r="SHC7" s="56"/>
      <c r="SHD7" s="105"/>
      <c r="SHK7" s="56"/>
      <c r="SHL7" s="105"/>
      <c r="SHS7" s="56"/>
      <c r="SHT7" s="105"/>
      <c r="SIA7" s="56"/>
      <c r="SIB7" s="105"/>
      <c r="SII7" s="56"/>
      <c r="SIJ7" s="105"/>
      <c r="SIQ7" s="56"/>
      <c r="SIR7" s="105"/>
      <c r="SIY7" s="56"/>
      <c r="SIZ7" s="105"/>
      <c r="SJG7" s="56"/>
      <c r="SJH7" s="105"/>
      <c r="SJO7" s="56"/>
      <c r="SJP7" s="105"/>
      <c r="SJW7" s="56"/>
      <c r="SJX7" s="105"/>
      <c r="SKE7" s="56"/>
      <c r="SKF7" s="105"/>
      <c r="SKM7" s="56"/>
      <c r="SKN7" s="105"/>
      <c r="SKU7" s="56"/>
      <c r="SKV7" s="105"/>
      <c r="SLC7" s="56"/>
      <c r="SLD7" s="105"/>
      <c r="SLK7" s="56"/>
      <c r="SLL7" s="105"/>
      <c r="SLS7" s="56"/>
      <c r="SLT7" s="105"/>
      <c r="SMA7" s="56"/>
      <c r="SMB7" s="105"/>
      <c r="SMI7" s="56"/>
      <c r="SMJ7" s="105"/>
      <c r="SMQ7" s="56"/>
      <c r="SMR7" s="105"/>
      <c r="SMY7" s="56"/>
      <c r="SMZ7" s="105"/>
      <c r="SNG7" s="56"/>
      <c r="SNH7" s="105"/>
      <c r="SNO7" s="56"/>
      <c r="SNP7" s="105"/>
      <c r="SNW7" s="56"/>
      <c r="SNX7" s="105"/>
      <c r="SOE7" s="56"/>
      <c r="SOF7" s="105"/>
      <c r="SOM7" s="56"/>
      <c r="SON7" s="105"/>
      <c r="SOU7" s="56"/>
      <c r="SOV7" s="105"/>
      <c r="SPC7" s="56"/>
      <c r="SPD7" s="105"/>
      <c r="SPK7" s="56"/>
      <c r="SPL7" s="105"/>
      <c r="SPS7" s="56"/>
      <c r="SPT7" s="105"/>
      <c r="SQA7" s="56"/>
      <c r="SQB7" s="105"/>
      <c r="SQI7" s="56"/>
      <c r="SQJ7" s="105"/>
      <c r="SQQ7" s="56"/>
      <c r="SQR7" s="105"/>
      <c r="SQY7" s="56"/>
      <c r="SQZ7" s="105"/>
      <c r="SRG7" s="56"/>
      <c r="SRH7" s="105"/>
      <c r="SRO7" s="56"/>
      <c r="SRP7" s="105"/>
      <c r="SRW7" s="56"/>
      <c r="SRX7" s="105"/>
      <c r="SSE7" s="56"/>
      <c r="SSF7" s="105"/>
      <c r="SSM7" s="56"/>
      <c r="SSN7" s="105"/>
      <c r="SSU7" s="56"/>
      <c r="SSV7" s="105"/>
      <c r="STC7" s="56"/>
      <c r="STD7" s="105"/>
      <c r="STK7" s="56"/>
      <c r="STL7" s="105"/>
      <c r="STS7" s="56"/>
      <c r="STT7" s="105"/>
      <c r="SUA7" s="56"/>
      <c r="SUB7" s="105"/>
      <c r="SUI7" s="56"/>
      <c r="SUJ7" s="105"/>
      <c r="SUQ7" s="56"/>
      <c r="SUR7" s="105"/>
      <c r="SUY7" s="56"/>
      <c r="SUZ7" s="105"/>
      <c r="SVG7" s="56"/>
      <c r="SVH7" s="105"/>
      <c r="SVO7" s="56"/>
      <c r="SVP7" s="105"/>
      <c r="SVW7" s="56"/>
      <c r="SVX7" s="105"/>
      <c r="SWE7" s="56"/>
      <c r="SWF7" s="105"/>
      <c r="SWM7" s="56"/>
      <c r="SWN7" s="105"/>
      <c r="SWU7" s="56"/>
      <c r="SWV7" s="105"/>
      <c r="SXC7" s="56"/>
      <c r="SXD7" s="105"/>
      <c r="SXK7" s="56"/>
      <c r="SXL7" s="105"/>
      <c r="SXS7" s="56"/>
      <c r="SXT7" s="105"/>
      <c r="SYA7" s="56"/>
      <c r="SYB7" s="105"/>
      <c r="SYI7" s="56"/>
      <c r="SYJ7" s="105"/>
      <c r="SYQ7" s="56"/>
      <c r="SYR7" s="105"/>
      <c r="SYY7" s="56"/>
      <c r="SYZ7" s="105"/>
      <c r="SZG7" s="56"/>
      <c r="SZH7" s="105"/>
      <c r="SZO7" s="56"/>
      <c r="SZP7" s="105"/>
      <c r="SZW7" s="56"/>
      <c r="SZX7" s="105"/>
      <c r="TAE7" s="56"/>
      <c r="TAF7" s="105"/>
      <c r="TAM7" s="56"/>
      <c r="TAN7" s="105"/>
      <c r="TAU7" s="56"/>
      <c r="TAV7" s="105"/>
      <c r="TBC7" s="56"/>
      <c r="TBD7" s="105"/>
      <c r="TBK7" s="56"/>
      <c r="TBL7" s="105"/>
      <c r="TBS7" s="56"/>
      <c r="TBT7" s="105"/>
      <c r="TCA7" s="56"/>
      <c r="TCB7" s="105"/>
      <c r="TCI7" s="56"/>
      <c r="TCJ7" s="105"/>
      <c r="TCQ7" s="56"/>
      <c r="TCR7" s="105"/>
      <c r="TCY7" s="56"/>
      <c r="TCZ7" s="105"/>
      <c r="TDG7" s="56"/>
      <c r="TDH7" s="105"/>
      <c r="TDO7" s="56"/>
      <c r="TDP7" s="105"/>
      <c r="TDW7" s="56"/>
      <c r="TDX7" s="105"/>
      <c r="TEE7" s="56"/>
      <c r="TEF7" s="105"/>
      <c r="TEM7" s="56"/>
      <c r="TEN7" s="105"/>
      <c r="TEU7" s="56"/>
      <c r="TEV7" s="105"/>
      <c r="TFC7" s="56"/>
      <c r="TFD7" s="105"/>
      <c r="TFK7" s="56"/>
      <c r="TFL7" s="105"/>
      <c r="TFS7" s="56"/>
      <c r="TFT7" s="105"/>
      <c r="TGA7" s="56"/>
      <c r="TGB7" s="105"/>
      <c r="TGI7" s="56"/>
      <c r="TGJ7" s="105"/>
      <c r="TGQ7" s="56"/>
      <c r="TGR7" s="105"/>
      <c r="TGY7" s="56"/>
      <c r="TGZ7" s="105"/>
      <c r="THG7" s="56"/>
      <c r="THH7" s="105"/>
      <c r="THO7" s="56"/>
      <c r="THP7" s="105"/>
      <c r="THW7" s="56"/>
      <c r="THX7" s="105"/>
      <c r="TIE7" s="56"/>
      <c r="TIF7" s="105"/>
      <c r="TIM7" s="56"/>
      <c r="TIN7" s="105"/>
      <c r="TIU7" s="56"/>
      <c r="TIV7" s="105"/>
      <c r="TJC7" s="56"/>
      <c r="TJD7" s="105"/>
      <c r="TJK7" s="56"/>
      <c r="TJL7" s="105"/>
      <c r="TJS7" s="56"/>
      <c r="TJT7" s="105"/>
      <c r="TKA7" s="56"/>
      <c r="TKB7" s="105"/>
      <c r="TKI7" s="56"/>
      <c r="TKJ7" s="105"/>
      <c r="TKQ7" s="56"/>
      <c r="TKR7" s="105"/>
      <c r="TKY7" s="56"/>
      <c r="TKZ7" s="105"/>
      <c r="TLG7" s="56"/>
      <c r="TLH7" s="105"/>
      <c r="TLO7" s="56"/>
      <c r="TLP7" s="105"/>
      <c r="TLW7" s="56"/>
      <c r="TLX7" s="105"/>
      <c r="TME7" s="56"/>
      <c r="TMF7" s="105"/>
      <c r="TMM7" s="56"/>
      <c r="TMN7" s="105"/>
      <c r="TMU7" s="56"/>
      <c r="TMV7" s="105"/>
      <c r="TNC7" s="56"/>
      <c r="TND7" s="105"/>
      <c r="TNK7" s="56"/>
      <c r="TNL7" s="105"/>
      <c r="TNS7" s="56"/>
      <c r="TNT7" s="105"/>
      <c r="TOA7" s="56"/>
      <c r="TOB7" s="105"/>
      <c r="TOI7" s="56"/>
      <c r="TOJ7" s="105"/>
      <c r="TOQ7" s="56"/>
      <c r="TOR7" s="105"/>
      <c r="TOY7" s="56"/>
      <c r="TOZ7" s="105"/>
      <c r="TPG7" s="56"/>
      <c r="TPH7" s="105"/>
      <c r="TPO7" s="56"/>
      <c r="TPP7" s="105"/>
      <c r="TPW7" s="56"/>
      <c r="TPX7" s="105"/>
      <c r="TQE7" s="56"/>
      <c r="TQF7" s="105"/>
      <c r="TQM7" s="56"/>
      <c r="TQN7" s="105"/>
      <c r="TQU7" s="56"/>
      <c r="TQV7" s="105"/>
      <c r="TRC7" s="56"/>
      <c r="TRD7" s="105"/>
      <c r="TRK7" s="56"/>
      <c r="TRL7" s="105"/>
      <c r="TRS7" s="56"/>
      <c r="TRT7" s="105"/>
      <c r="TSA7" s="56"/>
      <c r="TSB7" s="105"/>
      <c r="TSI7" s="56"/>
      <c r="TSJ7" s="105"/>
      <c r="TSQ7" s="56"/>
      <c r="TSR7" s="105"/>
      <c r="TSY7" s="56"/>
      <c r="TSZ7" s="105"/>
      <c r="TTG7" s="56"/>
      <c r="TTH7" s="105"/>
      <c r="TTO7" s="56"/>
      <c r="TTP7" s="105"/>
      <c r="TTW7" s="56"/>
      <c r="TTX7" s="105"/>
      <c r="TUE7" s="56"/>
      <c r="TUF7" s="105"/>
      <c r="TUM7" s="56"/>
      <c r="TUN7" s="105"/>
      <c r="TUU7" s="56"/>
      <c r="TUV7" s="105"/>
      <c r="TVC7" s="56"/>
      <c r="TVD7" s="105"/>
      <c r="TVK7" s="56"/>
      <c r="TVL7" s="105"/>
      <c r="TVS7" s="56"/>
      <c r="TVT7" s="105"/>
      <c r="TWA7" s="56"/>
      <c r="TWB7" s="105"/>
      <c r="TWI7" s="56"/>
      <c r="TWJ7" s="105"/>
      <c r="TWQ7" s="56"/>
      <c r="TWR7" s="105"/>
      <c r="TWY7" s="56"/>
      <c r="TWZ7" s="105"/>
      <c r="TXG7" s="56"/>
      <c r="TXH7" s="105"/>
      <c r="TXO7" s="56"/>
      <c r="TXP7" s="105"/>
      <c r="TXW7" s="56"/>
      <c r="TXX7" s="105"/>
      <c r="TYE7" s="56"/>
      <c r="TYF7" s="105"/>
      <c r="TYM7" s="56"/>
      <c r="TYN7" s="105"/>
      <c r="TYU7" s="56"/>
      <c r="TYV7" s="105"/>
      <c r="TZC7" s="56"/>
      <c r="TZD7" s="105"/>
      <c r="TZK7" s="56"/>
      <c r="TZL7" s="105"/>
      <c r="TZS7" s="56"/>
      <c r="TZT7" s="105"/>
      <c r="UAA7" s="56"/>
      <c r="UAB7" s="105"/>
      <c r="UAI7" s="56"/>
      <c r="UAJ7" s="105"/>
      <c r="UAQ7" s="56"/>
      <c r="UAR7" s="105"/>
      <c r="UAY7" s="56"/>
      <c r="UAZ7" s="105"/>
      <c r="UBG7" s="56"/>
      <c r="UBH7" s="105"/>
      <c r="UBO7" s="56"/>
      <c r="UBP7" s="105"/>
      <c r="UBW7" s="56"/>
      <c r="UBX7" s="105"/>
      <c r="UCE7" s="56"/>
      <c r="UCF7" s="105"/>
      <c r="UCM7" s="56"/>
      <c r="UCN7" s="105"/>
      <c r="UCU7" s="56"/>
      <c r="UCV7" s="105"/>
      <c r="UDC7" s="56"/>
      <c r="UDD7" s="105"/>
      <c r="UDK7" s="56"/>
      <c r="UDL7" s="105"/>
      <c r="UDS7" s="56"/>
      <c r="UDT7" s="105"/>
      <c r="UEA7" s="56"/>
      <c r="UEB7" s="105"/>
      <c r="UEI7" s="56"/>
      <c r="UEJ7" s="105"/>
      <c r="UEQ7" s="56"/>
      <c r="UER7" s="105"/>
      <c r="UEY7" s="56"/>
      <c r="UEZ7" s="105"/>
      <c r="UFG7" s="56"/>
      <c r="UFH7" s="105"/>
      <c r="UFO7" s="56"/>
      <c r="UFP7" s="105"/>
      <c r="UFW7" s="56"/>
      <c r="UFX7" s="105"/>
      <c r="UGE7" s="56"/>
      <c r="UGF7" s="105"/>
      <c r="UGM7" s="56"/>
      <c r="UGN7" s="105"/>
      <c r="UGU7" s="56"/>
      <c r="UGV7" s="105"/>
      <c r="UHC7" s="56"/>
      <c r="UHD7" s="105"/>
      <c r="UHK7" s="56"/>
      <c r="UHL7" s="105"/>
      <c r="UHS7" s="56"/>
      <c r="UHT7" s="105"/>
      <c r="UIA7" s="56"/>
      <c r="UIB7" s="105"/>
      <c r="UII7" s="56"/>
      <c r="UIJ7" s="105"/>
      <c r="UIQ7" s="56"/>
      <c r="UIR7" s="105"/>
      <c r="UIY7" s="56"/>
      <c r="UIZ7" s="105"/>
      <c r="UJG7" s="56"/>
      <c r="UJH7" s="105"/>
      <c r="UJO7" s="56"/>
      <c r="UJP7" s="105"/>
      <c r="UJW7" s="56"/>
      <c r="UJX7" s="105"/>
      <c r="UKE7" s="56"/>
      <c r="UKF7" s="105"/>
      <c r="UKM7" s="56"/>
      <c r="UKN7" s="105"/>
      <c r="UKU7" s="56"/>
      <c r="UKV7" s="105"/>
      <c r="ULC7" s="56"/>
      <c r="ULD7" s="105"/>
      <c r="ULK7" s="56"/>
      <c r="ULL7" s="105"/>
      <c r="ULS7" s="56"/>
      <c r="ULT7" s="105"/>
      <c r="UMA7" s="56"/>
      <c r="UMB7" s="105"/>
      <c r="UMI7" s="56"/>
      <c r="UMJ7" s="105"/>
      <c r="UMQ7" s="56"/>
      <c r="UMR7" s="105"/>
      <c r="UMY7" s="56"/>
      <c r="UMZ7" s="105"/>
      <c r="UNG7" s="56"/>
      <c r="UNH7" s="105"/>
      <c r="UNO7" s="56"/>
      <c r="UNP7" s="105"/>
      <c r="UNW7" s="56"/>
      <c r="UNX7" s="105"/>
      <c r="UOE7" s="56"/>
      <c r="UOF7" s="105"/>
      <c r="UOM7" s="56"/>
      <c r="UON7" s="105"/>
      <c r="UOU7" s="56"/>
      <c r="UOV7" s="105"/>
      <c r="UPC7" s="56"/>
      <c r="UPD7" s="105"/>
      <c r="UPK7" s="56"/>
      <c r="UPL7" s="105"/>
      <c r="UPS7" s="56"/>
      <c r="UPT7" s="105"/>
      <c r="UQA7" s="56"/>
      <c r="UQB7" s="105"/>
      <c r="UQI7" s="56"/>
      <c r="UQJ7" s="105"/>
      <c r="UQQ7" s="56"/>
      <c r="UQR7" s="105"/>
      <c r="UQY7" s="56"/>
      <c r="UQZ7" s="105"/>
      <c r="URG7" s="56"/>
      <c r="URH7" s="105"/>
      <c r="URO7" s="56"/>
      <c r="URP7" s="105"/>
      <c r="URW7" s="56"/>
      <c r="URX7" s="105"/>
      <c r="USE7" s="56"/>
      <c r="USF7" s="105"/>
      <c r="USM7" s="56"/>
      <c r="USN7" s="105"/>
      <c r="USU7" s="56"/>
      <c r="USV7" s="105"/>
      <c r="UTC7" s="56"/>
      <c r="UTD7" s="105"/>
      <c r="UTK7" s="56"/>
      <c r="UTL7" s="105"/>
      <c r="UTS7" s="56"/>
      <c r="UTT7" s="105"/>
      <c r="UUA7" s="56"/>
      <c r="UUB7" s="105"/>
      <c r="UUI7" s="56"/>
      <c r="UUJ7" s="105"/>
      <c r="UUQ7" s="56"/>
      <c r="UUR7" s="105"/>
      <c r="UUY7" s="56"/>
      <c r="UUZ7" s="105"/>
      <c r="UVG7" s="56"/>
      <c r="UVH7" s="105"/>
      <c r="UVO7" s="56"/>
      <c r="UVP7" s="105"/>
      <c r="UVW7" s="56"/>
      <c r="UVX7" s="105"/>
      <c r="UWE7" s="56"/>
      <c r="UWF7" s="105"/>
      <c r="UWM7" s="56"/>
      <c r="UWN7" s="105"/>
      <c r="UWU7" s="56"/>
      <c r="UWV7" s="105"/>
      <c r="UXC7" s="56"/>
      <c r="UXD7" s="105"/>
      <c r="UXK7" s="56"/>
      <c r="UXL7" s="105"/>
      <c r="UXS7" s="56"/>
      <c r="UXT7" s="105"/>
      <c r="UYA7" s="56"/>
      <c r="UYB7" s="105"/>
      <c r="UYI7" s="56"/>
      <c r="UYJ7" s="105"/>
      <c r="UYQ7" s="56"/>
      <c r="UYR7" s="105"/>
      <c r="UYY7" s="56"/>
      <c r="UYZ7" s="105"/>
      <c r="UZG7" s="56"/>
      <c r="UZH7" s="105"/>
      <c r="UZO7" s="56"/>
      <c r="UZP7" s="105"/>
      <c r="UZW7" s="56"/>
      <c r="UZX7" s="105"/>
      <c r="VAE7" s="56"/>
      <c r="VAF7" s="105"/>
      <c r="VAM7" s="56"/>
      <c r="VAN7" s="105"/>
      <c r="VAU7" s="56"/>
      <c r="VAV7" s="105"/>
      <c r="VBC7" s="56"/>
      <c r="VBD7" s="105"/>
      <c r="VBK7" s="56"/>
      <c r="VBL7" s="105"/>
      <c r="VBS7" s="56"/>
      <c r="VBT7" s="105"/>
      <c r="VCA7" s="56"/>
      <c r="VCB7" s="105"/>
      <c r="VCI7" s="56"/>
      <c r="VCJ7" s="105"/>
      <c r="VCQ7" s="56"/>
      <c r="VCR7" s="105"/>
      <c r="VCY7" s="56"/>
      <c r="VCZ7" s="105"/>
      <c r="VDG7" s="56"/>
      <c r="VDH7" s="105"/>
      <c r="VDO7" s="56"/>
      <c r="VDP7" s="105"/>
      <c r="VDW7" s="56"/>
      <c r="VDX7" s="105"/>
      <c r="VEE7" s="56"/>
      <c r="VEF7" s="105"/>
      <c r="VEM7" s="56"/>
      <c r="VEN7" s="105"/>
      <c r="VEU7" s="56"/>
      <c r="VEV7" s="105"/>
      <c r="VFC7" s="56"/>
      <c r="VFD7" s="105"/>
      <c r="VFK7" s="56"/>
      <c r="VFL7" s="105"/>
      <c r="VFS7" s="56"/>
      <c r="VFT7" s="105"/>
      <c r="VGA7" s="56"/>
      <c r="VGB7" s="105"/>
      <c r="VGI7" s="56"/>
      <c r="VGJ7" s="105"/>
      <c r="VGQ7" s="56"/>
      <c r="VGR7" s="105"/>
      <c r="VGY7" s="56"/>
      <c r="VGZ7" s="105"/>
      <c r="VHG7" s="56"/>
      <c r="VHH7" s="105"/>
      <c r="VHO7" s="56"/>
      <c r="VHP7" s="105"/>
      <c r="VHW7" s="56"/>
      <c r="VHX7" s="105"/>
      <c r="VIE7" s="56"/>
      <c r="VIF7" s="105"/>
      <c r="VIM7" s="56"/>
      <c r="VIN7" s="105"/>
      <c r="VIU7" s="56"/>
      <c r="VIV7" s="105"/>
      <c r="VJC7" s="56"/>
      <c r="VJD7" s="105"/>
      <c r="VJK7" s="56"/>
      <c r="VJL7" s="105"/>
      <c r="VJS7" s="56"/>
      <c r="VJT7" s="105"/>
      <c r="VKA7" s="56"/>
      <c r="VKB7" s="105"/>
      <c r="VKI7" s="56"/>
      <c r="VKJ7" s="105"/>
      <c r="VKQ7" s="56"/>
      <c r="VKR7" s="105"/>
      <c r="VKY7" s="56"/>
      <c r="VKZ7" s="105"/>
      <c r="VLG7" s="56"/>
      <c r="VLH7" s="105"/>
      <c r="VLO7" s="56"/>
      <c r="VLP7" s="105"/>
      <c r="VLW7" s="56"/>
      <c r="VLX7" s="105"/>
      <c r="VME7" s="56"/>
      <c r="VMF7" s="105"/>
      <c r="VMM7" s="56"/>
      <c r="VMN7" s="105"/>
      <c r="VMU7" s="56"/>
      <c r="VMV7" s="105"/>
      <c r="VNC7" s="56"/>
      <c r="VND7" s="105"/>
      <c r="VNK7" s="56"/>
      <c r="VNL7" s="105"/>
      <c r="VNS7" s="56"/>
      <c r="VNT7" s="105"/>
      <c r="VOA7" s="56"/>
      <c r="VOB7" s="105"/>
      <c r="VOI7" s="56"/>
      <c r="VOJ7" s="105"/>
      <c r="VOQ7" s="56"/>
      <c r="VOR7" s="105"/>
      <c r="VOY7" s="56"/>
      <c r="VOZ7" s="105"/>
      <c r="VPG7" s="56"/>
      <c r="VPH7" s="105"/>
      <c r="VPO7" s="56"/>
      <c r="VPP7" s="105"/>
      <c r="VPW7" s="56"/>
      <c r="VPX7" s="105"/>
      <c r="VQE7" s="56"/>
      <c r="VQF7" s="105"/>
      <c r="VQM7" s="56"/>
      <c r="VQN7" s="105"/>
      <c r="VQU7" s="56"/>
      <c r="VQV7" s="105"/>
      <c r="VRC7" s="56"/>
      <c r="VRD7" s="105"/>
      <c r="VRK7" s="56"/>
      <c r="VRL7" s="105"/>
      <c r="VRS7" s="56"/>
      <c r="VRT7" s="105"/>
      <c r="VSA7" s="56"/>
      <c r="VSB7" s="105"/>
      <c r="VSI7" s="56"/>
      <c r="VSJ7" s="105"/>
      <c r="VSQ7" s="56"/>
      <c r="VSR7" s="105"/>
      <c r="VSY7" s="56"/>
      <c r="VSZ7" s="105"/>
      <c r="VTG7" s="56"/>
      <c r="VTH7" s="105"/>
      <c r="VTO7" s="56"/>
      <c r="VTP7" s="105"/>
      <c r="VTW7" s="56"/>
      <c r="VTX7" s="105"/>
      <c r="VUE7" s="56"/>
      <c r="VUF7" s="105"/>
      <c r="VUM7" s="56"/>
      <c r="VUN7" s="105"/>
      <c r="VUU7" s="56"/>
      <c r="VUV7" s="105"/>
      <c r="VVC7" s="56"/>
      <c r="VVD7" s="105"/>
      <c r="VVK7" s="56"/>
      <c r="VVL7" s="105"/>
      <c r="VVS7" s="56"/>
      <c r="VVT7" s="105"/>
      <c r="VWA7" s="56"/>
      <c r="VWB7" s="105"/>
      <c r="VWI7" s="56"/>
      <c r="VWJ7" s="105"/>
      <c r="VWQ7" s="56"/>
      <c r="VWR7" s="105"/>
      <c r="VWY7" s="56"/>
      <c r="VWZ7" s="105"/>
      <c r="VXG7" s="56"/>
      <c r="VXH7" s="105"/>
      <c r="VXO7" s="56"/>
      <c r="VXP7" s="105"/>
      <c r="VXW7" s="56"/>
      <c r="VXX7" s="105"/>
      <c r="VYE7" s="56"/>
      <c r="VYF7" s="105"/>
      <c r="VYM7" s="56"/>
      <c r="VYN7" s="105"/>
      <c r="VYU7" s="56"/>
      <c r="VYV7" s="105"/>
      <c r="VZC7" s="56"/>
      <c r="VZD7" s="105"/>
      <c r="VZK7" s="56"/>
      <c r="VZL7" s="105"/>
      <c r="VZS7" s="56"/>
      <c r="VZT7" s="105"/>
      <c r="WAA7" s="56"/>
      <c r="WAB7" s="105"/>
      <c r="WAI7" s="56"/>
      <c r="WAJ7" s="105"/>
      <c r="WAQ7" s="56"/>
      <c r="WAR7" s="105"/>
      <c r="WAY7" s="56"/>
      <c r="WAZ7" s="105"/>
      <c r="WBG7" s="56"/>
      <c r="WBH7" s="105"/>
      <c r="WBO7" s="56"/>
      <c r="WBP7" s="105"/>
      <c r="WBW7" s="56"/>
      <c r="WBX7" s="105"/>
      <c r="WCE7" s="56"/>
      <c r="WCF7" s="105"/>
      <c r="WCM7" s="56"/>
      <c r="WCN7" s="105"/>
      <c r="WCU7" s="56"/>
      <c r="WCV7" s="105"/>
      <c r="WDC7" s="56"/>
      <c r="WDD7" s="105"/>
      <c r="WDK7" s="56"/>
      <c r="WDL7" s="105"/>
      <c r="WDS7" s="56"/>
      <c r="WDT7" s="105"/>
      <c r="WEA7" s="56"/>
      <c r="WEB7" s="105"/>
      <c r="WEI7" s="56"/>
      <c r="WEJ7" s="105"/>
      <c r="WEQ7" s="56"/>
      <c r="WER7" s="105"/>
      <c r="WEY7" s="56"/>
      <c r="WEZ7" s="105"/>
      <c r="WFG7" s="56"/>
      <c r="WFH7" s="105"/>
      <c r="WFO7" s="56"/>
      <c r="WFP7" s="105"/>
      <c r="WFW7" s="56"/>
      <c r="WFX7" s="105"/>
      <c r="WGE7" s="56"/>
      <c r="WGF7" s="105"/>
      <c r="WGM7" s="56"/>
      <c r="WGN7" s="105"/>
      <c r="WGU7" s="56"/>
      <c r="WGV7" s="105"/>
      <c r="WHC7" s="56"/>
      <c r="WHD7" s="105"/>
      <c r="WHK7" s="56"/>
      <c r="WHL7" s="105"/>
      <c r="WHS7" s="56"/>
      <c r="WHT7" s="105"/>
      <c r="WIA7" s="56"/>
      <c r="WIB7" s="105"/>
      <c r="WII7" s="56"/>
      <c r="WIJ7" s="105"/>
      <c r="WIQ7" s="56"/>
      <c r="WIR7" s="105"/>
      <c r="WIY7" s="56"/>
      <c r="WIZ7" s="105"/>
      <c r="WJG7" s="56"/>
      <c r="WJH7" s="105"/>
      <c r="WJO7" s="56"/>
      <c r="WJP7" s="105"/>
      <c r="WJW7" s="56"/>
      <c r="WJX7" s="105"/>
      <c r="WKE7" s="56"/>
      <c r="WKF7" s="105"/>
      <c r="WKM7" s="56"/>
      <c r="WKN7" s="105"/>
      <c r="WKU7" s="56"/>
      <c r="WKV7" s="105"/>
      <c r="WLC7" s="56"/>
      <c r="WLD7" s="105"/>
      <c r="WLK7" s="56"/>
      <c r="WLL7" s="105"/>
      <c r="WLS7" s="56"/>
      <c r="WLT7" s="105"/>
      <c r="WMA7" s="56"/>
      <c r="WMB7" s="105"/>
      <c r="WMI7" s="56"/>
      <c r="WMJ7" s="105"/>
      <c r="WMQ7" s="56"/>
      <c r="WMR7" s="105"/>
      <c r="WMY7" s="56"/>
      <c r="WMZ7" s="105"/>
      <c r="WNG7" s="56"/>
      <c r="WNH7" s="105"/>
      <c r="WNO7" s="56"/>
      <c r="WNP7" s="105"/>
      <c r="WNW7" s="56"/>
      <c r="WNX7" s="105"/>
      <c r="WOE7" s="56"/>
      <c r="WOF7" s="105"/>
      <c r="WOM7" s="56"/>
      <c r="WON7" s="105"/>
      <c r="WOU7" s="56"/>
      <c r="WOV7" s="105"/>
      <c r="WPC7" s="56"/>
      <c r="WPD7" s="105"/>
      <c r="WPK7" s="56"/>
      <c r="WPL7" s="105"/>
      <c r="WPS7" s="56"/>
      <c r="WPT7" s="105"/>
      <c r="WQA7" s="56"/>
      <c r="WQB7" s="105"/>
      <c r="WQI7" s="56"/>
      <c r="WQJ7" s="105"/>
      <c r="WQQ7" s="56"/>
      <c r="WQR7" s="105"/>
      <c r="WQY7" s="56"/>
      <c r="WQZ7" s="105"/>
      <c r="WRG7" s="56"/>
      <c r="WRH7" s="105"/>
      <c r="WRO7" s="56"/>
      <c r="WRP7" s="105"/>
      <c r="WRW7" s="56"/>
      <c r="WRX7" s="105"/>
      <c r="WSE7" s="56"/>
      <c r="WSF7" s="105"/>
      <c r="WSM7" s="56"/>
      <c r="WSN7" s="105"/>
      <c r="WSU7" s="56"/>
      <c r="WSV7" s="105"/>
      <c r="WTC7" s="56"/>
      <c r="WTD7" s="105"/>
      <c r="WTK7" s="56"/>
      <c r="WTL7" s="105"/>
      <c r="WTS7" s="56"/>
      <c r="WTT7" s="105"/>
      <c r="WUA7" s="56"/>
      <c r="WUB7" s="105"/>
      <c r="WUI7" s="56"/>
      <c r="WUJ7" s="105"/>
      <c r="WUQ7" s="56"/>
      <c r="WUR7" s="105"/>
      <c r="WUY7" s="56"/>
      <c r="WUZ7" s="105"/>
      <c r="WVG7" s="56"/>
      <c r="WVH7" s="105"/>
      <c r="WVO7" s="56"/>
      <c r="WVP7" s="105"/>
      <c r="WVW7" s="56"/>
      <c r="WVX7" s="105"/>
      <c r="WWE7" s="56"/>
      <c r="WWF7" s="105"/>
      <c r="WWM7" s="56"/>
      <c r="WWN7" s="105"/>
      <c r="WWU7" s="56"/>
      <c r="WWV7" s="105"/>
      <c r="WXC7" s="56"/>
      <c r="WXD7" s="105"/>
      <c r="WXK7" s="56"/>
      <c r="WXL7" s="105"/>
      <c r="WXS7" s="56"/>
      <c r="WXT7" s="105"/>
      <c r="WYA7" s="56"/>
      <c r="WYB7" s="105"/>
      <c r="WYI7" s="56"/>
      <c r="WYJ7" s="105"/>
      <c r="WYQ7" s="56"/>
      <c r="WYR7" s="105"/>
      <c r="WYY7" s="56"/>
      <c r="WYZ7" s="105"/>
      <c r="WZG7" s="56"/>
      <c r="WZH7" s="105"/>
      <c r="WZO7" s="56"/>
      <c r="WZP7" s="105"/>
      <c r="WZW7" s="56"/>
      <c r="WZX7" s="105"/>
      <c r="XAE7" s="56"/>
      <c r="XAF7" s="105"/>
      <c r="XAM7" s="56"/>
      <c r="XAN7" s="105"/>
      <c r="XAU7" s="56"/>
      <c r="XAV7" s="105"/>
      <c r="XBC7" s="56"/>
      <c r="XBD7" s="105"/>
      <c r="XBK7" s="56"/>
      <c r="XBL7" s="105"/>
      <c r="XBS7" s="56"/>
      <c r="XBT7" s="105"/>
      <c r="XCA7" s="56"/>
      <c r="XCB7" s="105"/>
      <c r="XCI7" s="56"/>
      <c r="XCJ7" s="105"/>
      <c r="XCQ7" s="56"/>
      <c r="XCR7" s="105"/>
      <c r="XCY7" s="56"/>
      <c r="XCZ7" s="105"/>
      <c r="XDG7" s="56"/>
      <c r="XDH7" s="105"/>
      <c r="XDO7" s="56"/>
      <c r="XDP7" s="105"/>
      <c r="XDW7" s="56"/>
      <c r="XDX7" s="105"/>
      <c r="XEE7" s="56"/>
      <c r="XEF7" s="105"/>
      <c r="XEM7" s="56"/>
      <c r="XEN7" s="105"/>
      <c r="XEU7" s="56"/>
      <c r="XEV7" s="105"/>
      <c r="XFC7" s="56"/>
      <c r="XFD7" s="105"/>
    </row>
    <row r="8" spans="1:1024 1031:2048 2055:3072 3079:4096 4103:5120 5127:6144 6151:7168 7175:8192 8199:9216 9223:10240 10247:11264 11271:12288 12295:13312 13319:14336 14343:15360 15367:16384" s="4" customFormat="1" ht="2.15" customHeight="1">
      <c r="B8" s="82"/>
      <c r="C8" s="88"/>
      <c r="D8" s="88"/>
      <c r="E8" s="88"/>
      <c r="F8" s="88"/>
      <c r="G8" s="88"/>
      <c r="H8" s="88"/>
      <c r="I8" s="88"/>
      <c r="J8" s="89"/>
      <c r="K8" s="89"/>
      <c r="L8" s="89"/>
      <c r="M8" s="88"/>
      <c r="N8" s="89"/>
      <c r="O8" s="89"/>
      <c r="P8" s="89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C8" s="177"/>
      <c r="AD8" s="177"/>
    </row>
    <row r="9" spans="1:1024 1031:2048 2055:3072 3079:4096 4103:5120 5127:6144 6151:7168 7175:8192 8199:9216 9223:10240 10247:11264 11271:12288 12295:13312 13319:14336 14343:15360 15367:16384" s="4" customFormat="1" ht="15" customHeight="1" thickBot="1">
      <c r="B9" s="56" t="s">
        <v>237</v>
      </c>
      <c r="C9" s="153"/>
      <c r="D9" s="153"/>
      <c r="E9" s="153"/>
      <c r="F9" s="153"/>
      <c r="G9" s="153"/>
      <c r="H9" s="153"/>
      <c r="I9" s="208"/>
      <c r="J9" s="153"/>
      <c r="K9" s="153"/>
      <c r="L9" s="153"/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53"/>
      <c r="AA9" s="153"/>
      <c r="AB9" s="22"/>
      <c r="AC9" s="177"/>
      <c r="AD9" s="177"/>
    </row>
    <row r="10" spans="1:1024 1031:2048 2055:3072 3079:4096 4103:5120 5127:6144 6151:7168 7175:8192 8199:9216 9223:10240 10247:11264 11271:12288 12295:13312 13319:14336 14343:15360 15367:16384" s="73" customFormat="1" ht="15" customHeight="1" thickBot="1">
      <c r="A10" s="4"/>
      <c r="B10" s="145" t="s">
        <v>127</v>
      </c>
      <c r="C10" s="146">
        <f t="shared" ref="C10:M10" si="0">C11+C12+C15+C16+C17+C18+C20+C19</f>
        <v>320387</v>
      </c>
      <c r="D10" s="146">
        <f>SUM(E10:H10)</f>
        <v>1356704.2</v>
      </c>
      <c r="E10" s="146">
        <f t="shared" si="0"/>
        <v>323881</v>
      </c>
      <c r="F10" s="146">
        <f t="shared" si="0"/>
        <v>336484</v>
      </c>
      <c r="G10" s="146">
        <f t="shared" si="0"/>
        <v>341812.2</v>
      </c>
      <c r="H10" s="146">
        <f t="shared" si="0"/>
        <v>354527</v>
      </c>
      <c r="I10" s="146">
        <f t="shared" si="0"/>
        <v>1416801.9</v>
      </c>
      <c r="J10" s="146">
        <f t="shared" si="0"/>
        <v>363774</v>
      </c>
      <c r="K10" s="146">
        <f t="shared" si="0"/>
        <v>409680.95</v>
      </c>
      <c r="L10" s="146">
        <f t="shared" si="0"/>
        <v>386088.95</v>
      </c>
      <c r="M10" s="146">
        <f t="shared" si="0"/>
        <v>257258</v>
      </c>
      <c r="N10" s="147">
        <f t="shared" ref="N10:AA10" si="1">N11+N12+N15+N16+N17+N18+N20</f>
        <v>1391760.3</v>
      </c>
      <c r="O10" s="146">
        <f t="shared" si="1"/>
        <v>351319.3</v>
      </c>
      <c r="P10" s="146">
        <f t="shared" si="1"/>
        <v>363301</v>
      </c>
      <c r="Q10" s="146">
        <f t="shared" si="1"/>
        <v>371060</v>
      </c>
      <c r="R10" s="146">
        <f t="shared" si="1"/>
        <v>306080</v>
      </c>
      <c r="S10" s="146">
        <f t="shared" si="1"/>
        <v>852341.08390999981</v>
      </c>
      <c r="T10" s="146">
        <f>T11+T12+T15+T16+T17+T18+T20</f>
        <v>249767.08839999998</v>
      </c>
      <c r="U10" s="146">
        <f t="shared" si="1"/>
        <v>213636.73680000001</v>
      </c>
      <c r="V10" s="146">
        <f t="shared" si="1"/>
        <v>226944.72244000004</v>
      </c>
      <c r="W10" s="146">
        <f t="shared" si="1"/>
        <v>161993.53867999997</v>
      </c>
      <c r="X10" s="146">
        <f t="shared" si="1"/>
        <v>835844</v>
      </c>
      <c r="Y10" s="146">
        <f t="shared" si="1"/>
        <v>393246</v>
      </c>
      <c r="Z10" s="146">
        <f t="shared" si="1"/>
        <v>442598</v>
      </c>
      <c r="AA10" s="146">
        <f t="shared" si="1"/>
        <v>711907</v>
      </c>
      <c r="AC10" s="178">
        <f>X10-Y10-Z10</f>
        <v>0</v>
      </c>
      <c r="AD10" s="178">
        <f t="shared" ref="AD10:AD33" si="2">W10+V10+U10+T10-S10</f>
        <v>1.0024100001901388</v>
      </c>
      <c r="AE10" s="74"/>
      <c r="AF10" s="72"/>
      <c r="AM10" s="74"/>
      <c r="AN10" s="72"/>
      <c r="AU10" s="74"/>
      <c r="AV10" s="72"/>
      <c r="BC10" s="74"/>
      <c r="BD10" s="72"/>
      <c r="BK10" s="74"/>
      <c r="BL10" s="72"/>
      <c r="BS10" s="74"/>
      <c r="BT10" s="72"/>
      <c r="CA10" s="74"/>
      <c r="CB10" s="72"/>
      <c r="CI10" s="74"/>
      <c r="CJ10" s="72"/>
      <c r="CQ10" s="74"/>
      <c r="CR10" s="72"/>
      <c r="CY10" s="74"/>
      <c r="CZ10" s="72"/>
      <c r="DG10" s="74"/>
      <c r="DH10" s="72"/>
      <c r="DO10" s="74"/>
      <c r="DP10" s="72"/>
      <c r="DW10" s="74"/>
      <c r="DX10" s="72"/>
      <c r="EE10" s="74"/>
      <c r="EF10" s="72"/>
      <c r="EM10" s="74"/>
      <c r="EN10" s="72"/>
      <c r="EU10" s="74"/>
      <c r="EV10" s="72"/>
      <c r="FC10" s="74"/>
      <c r="FD10" s="72"/>
      <c r="FK10" s="74"/>
      <c r="FL10" s="72"/>
      <c r="FS10" s="74"/>
      <c r="FT10" s="72"/>
      <c r="GA10" s="74"/>
      <c r="GB10" s="72"/>
      <c r="GI10" s="74"/>
      <c r="GJ10" s="72"/>
      <c r="GQ10" s="74"/>
      <c r="GR10" s="72"/>
      <c r="GY10" s="74"/>
      <c r="GZ10" s="72"/>
      <c r="HG10" s="74"/>
      <c r="HH10" s="72"/>
      <c r="HO10" s="74"/>
      <c r="HP10" s="72"/>
      <c r="HW10" s="74"/>
      <c r="HX10" s="72"/>
      <c r="IE10" s="74"/>
      <c r="IF10" s="72"/>
      <c r="IM10" s="74"/>
      <c r="IN10" s="72"/>
      <c r="IU10" s="74"/>
      <c r="IV10" s="72"/>
      <c r="JC10" s="74"/>
      <c r="JD10" s="72"/>
      <c r="JK10" s="74"/>
      <c r="JL10" s="72"/>
      <c r="JS10" s="74"/>
      <c r="JT10" s="72"/>
      <c r="KA10" s="74"/>
      <c r="KB10" s="72"/>
      <c r="KI10" s="74"/>
      <c r="KJ10" s="72"/>
      <c r="KQ10" s="74"/>
      <c r="KR10" s="72"/>
      <c r="KY10" s="74"/>
      <c r="KZ10" s="72"/>
      <c r="LG10" s="74"/>
      <c r="LH10" s="72"/>
      <c r="LO10" s="74"/>
      <c r="LP10" s="72"/>
      <c r="LW10" s="74"/>
      <c r="LX10" s="72"/>
      <c r="ME10" s="74"/>
      <c r="MF10" s="72"/>
      <c r="MM10" s="74"/>
      <c r="MN10" s="72"/>
      <c r="MU10" s="74"/>
      <c r="MV10" s="72"/>
      <c r="NC10" s="74"/>
      <c r="ND10" s="72"/>
      <c r="NK10" s="74"/>
      <c r="NL10" s="72"/>
      <c r="NS10" s="74"/>
      <c r="NT10" s="72"/>
      <c r="OA10" s="74"/>
      <c r="OB10" s="72"/>
      <c r="OI10" s="74"/>
      <c r="OJ10" s="72"/>
      <c r="OQ10" s="74"/>
      <c r="OR10" s="72"/>
      <c r="OY10" s="74"/>
      <c r="OZ10" s="72"/>
      <c r="PG10" s="74"/>
      <c r="PH10" s="72"/>
      <c r="PO10" s="74"/>
      <c r="PP10" s="72"/>
      <c r="PW10" s="74"/>
      <c r="PX10" s="72"/>
      <c r="QE10" s="74"/>
      <c r="QF10" s="72"/>
      <c r="QM10" s="74"/>
      <c r="QN10" s="72"/>
      <c r="QU10" s="74"/>
      <c r="QV10" s="72"/>
      <c r="RC10" s="74"/>
      <c r="RD10" s="72"/>
      <c r="RK10" s="74"/>
      <c r="RL10" s="72"/>
      <c r="RS10" s="74"/>
      <c r="RT10" s="72"/>
      <c r="SA10" s="74"/>
      <c r="SB10" s="72"/>
      <c r="SI10" s="74"/>
      <c r="SJ10" s="72"/>
      <c r="SQ10" s="74"/>
      <c r="SR10" s="72"/>
      <c r="SY10" s="74"/>
      <c r="SZ10" s="72"/>
      <c r="TG10" s="74"/>
      <c r="TH10" s="72"/>
      <c r="TO10" s="74"/>
      <c r="TP10" s="72"/>
      <c r="TW10" s="74"/>
      <c r="TX10" s="72"/>
      <c r="UE10" s="74"/>
      <c r="UF10" s="72"/>
      <c r="UM10" s="74"/>
      <c r="UN10" s="72"/>
      <c r="UU10" s="74"/>
      <c r="UV10" s="72"/>
      <c r="VC10" s="74"/>
      <c r="VD10" s="72"/>
      <c r="VK10" s="74"/>
      <c r="VL10" s="72"/>
      <c r="VS10" s="74"/>
      <c r="VT10" s="72"/>
      <c r="WA10" s="74"/>
      <c r="WB10" s="72"/>
      <c r="WI10" s="74"/>
      <c r="WJ10" s="72"/>
      <c r="WQ10" s="74"/>
      <c r="WR10" s="72"/>
      <c r="WY10" s="74"/>
      <c r="WZ10" s="72"/>
      <c r="XG10" s="74"/>
      <c r="XH10" s="72"/>
      <c r="XO10" s="74"/>
      <c r="XP10" s="72"/>
      <c r="XW10" s="74"/>
      <c r="XX10" s="72"/>
      <c r="YE10" s="74"/>
      <c r="YF10" s="72"/>
      <c r="YM10" s="74"/>
      <c r="YN10" s="72"/>
      <c r="YU10" s="74"/>
      <c r="YV10" s="72"/>
      <c r="ZC10" s="74"/>
      <c r="ZD10" s="72"/>
      <c r="ZK10" s="74"/>
      <c r="ZL10" s="72"/>
      <c r="ZS10" s="74"/>
      <c r="ZT10" s="72"/>
      <c r="AAA10" s="74"/>
      <c r="AAB10" s="72"/>
      <c r="AAI10" s="74"/>
      <c r="AAJ10" s="72"/>
      <c r="AAQ10" s="74"/>
      <c r="AAR10" s="72"/>
      <c r="AAY10" s="74"/>
      <c r="AAZ10" s="72"/>
      <c r="ABG10" s="74"/>
      <c r="ABH10" s="72"/>
      <c r="ABO10" s="74"/>
      <c r="ABP10" s="72"/>
      <c r="ABW10" s="74"/>
      <c r="ABX10" s="72"/>
      <c r="ACE10" s="74"/>
      <c r="ACF10" s="72"/>
      <c r="ACM10" s="74"/>
      <c r="ACN10" s="72"/>
      <c r="ACU10" s="74"/>
      <c r="ACV10" s="72"/>
      <c r="ADC10" s="74"/>
      <c r="ADD10" s="72"/>
      <c r="ADK10" s="74"/>
      <c r="ADL10" s="72"/>
      <c r="ADS10" s="74"/>
      <c r="ADT10" s="72"/>
      <c r="AEA10" s="74"/>
      <c r="AEB10" s="72"/>
      <c r="AEI10" s="74"/>
      <c r="AEJ10" s="72"/>
      <c r="AEQ10" s="74"/>
      <c r="AER10" s="72"/>
      <c r="AEY10" s="74"/>
      <c r="AEZ10" s="72"/>
      <c r="AFG10" s="74"/>
      <c r="AFH10" s="72"/>
      <c r="AFO10" s="74"/>
      <c r="AFP10" s="72"/>
      <c r="AFW10" s="74"/>
      <c r="AFX10" s="72"/>
      <c r="AGE10" s="74"/>
      <c r="AGF10" s="72"/>
      <c r="AGM10" s="74"/>
      <c r="AGN10" s="72"/>
      <c r="AGU10" s="74"/>
      <c r="AGV10" s="72"/>
      <c r="AHC10" s="74"/>
      <c r="AHD10" s="72"/>
      <c r="AHK10" s="74"/>
      <c r="AHL10" s="72"/>
      <c r="AHS10" s="74"/>
      <c r="AHT10" s="72"/>
      <c r="AIA10" s="74"/>
      <c r="AIB10" s="72"/>
      <c r="AII10" s="74"/>
      <c r="AIJ10" s="72"/>
      <c r="AIQ10" s="74"/>
      <c r="AIR10" s="72"/>
      <c r="AIY10" s="74"/>
      <c r="AIZ10" s="72"/>
      <c r="AJG10" s="74"/>
      <c r="AJH10" s="72"/>
      <c r="AJO10" s="74"/>
      <c r="AJP10" s="72"/>
      <c r="AJW10" s="74"/>
      <c r="AJX10" s="72"/>
      <c r="AKE10" s="74"/>
      <c r="AKF10" s="72"/>
      <c r="AKM10" s="74"/>
      <c r="AKN10" s="72"/>
      <c r="AKU10" s="74"/>
      <c r="AKV10" s="72"/>
      <c r="ALC10" s="74"/>
      <c r="ALD10" s="72"/>
      <c r="ALK10" s="74"/>
      <c r="ALL10" s="72"/>
      <c r="ALS10" s="74"/>
      <c r="ALT10" s="72"/>
      <c r="AMA10" s="74"/>
      <c r="AMB10" s="72"/>
      <c r="AMI10" s="74"/>
      <c r="AMJ10" s="72"/>
      <c r="AMQ10" s="74"/>
      <c r="AMR10" s="72"/>
      <c r="AMY10" s="74"/>
      <c r="AMZ10" s="72"/>
      <c r="ANG10" s="74"/>
      <c r="ANH10" s="72"/>
      <c r="ANO10" s="74"/>
      <c r="ANP10" s="72"/>
      <c r="ANW10" s="74"/>
      <c r="ANX10" s="72"/>
      <c r="AOE10" s="74"/>
      <c r="AOF10" s="72"/>
      <c r="AOM10" s="74"/>
      <c r="AON10" s="72"/>
      <c r="AOU10" s="74"/>
      <c r="AOV10" s="72"/>
      <c r="APC10" s="74"/>
      <c r="APD10" s="72"/>
      <c r="APK10" s="74"/>
      <c r="APL10" s="72"/>
      <c r="APS10" s="74"/>
      <c r="APT10" s="72"/>
      <c r="AQA10" s="74"/>
      <c r="AQB10" s="72"/>
      <c r="AQI10" s="74"/>
      <c r="AQJ10" s="72"/>
      <c r="AQQ10" s="74"/>
      <c r="AQR10" s="72"/>
      <c r="AQY10" s="74"/>
      <c r="AQZ10" s="72"/>
      <c r="ARG10" s="74"/>
      <c r="ARH10" s="72"/>
      <c r="ARO10" s="74"/>
      <c r="ARP10" s="72"/>
      <c r="ARW10" s="74"/>
      <c r="ARX10" s="72"/>
      <c r="ASE10" s="74"/>
      <c r="ASF10" s="72"/>
      <c r="ASM10" s="74"/>
      <c r="ASN10" s="72"/>
      <c r="ASU10" s="74"/>
      <c r="ASV10" s="72"/>
      <c r="ATC10" s="74"/>
      <c r="ATD10" s="72"/>
      <c r="ATK10" s="74"/>
      <c r="ATL10" s="72"/>
      <c r="ATS10" s="74"/>
      <c r="ATT10" s="72"/>
      <c r="AUA10" s="74"/>
      <c r="AUB10" s="72"/>
      <c r="AUI10" s="74"/>
      <c r="AUJ10" s="72"/>
      <c r="AUQ10" s="74"/>
      <c r="AUR10" s="72"/>
      <c r="AUY10" s="74"/>
      <c r="AUZ10" s="72"/>
      <c r="AVG10" s="74"/>
      <c r="AVH10" s="72"/>
      <c r="AVO10" s="74"/>
      <c r="AVP10" s="72"/>
      <c r="AVW10" s="74"/>
      <c r="AVX10" s="72"/>
      <c r="AWE10" s="74"/>
      <c r="AWF10" s="72"/>
      <c r="AWM10" s="74"/>
      <c r="AWN10" s="72"/>
      <c r="AWU10" s="74"/>
      <c r="AWV10" s="72"/>
      <c r="AXC10" s="74"/>
      <c r="AXD10" s="72"/>
      <c r="AXK10" s="74"/>
      <c r="AXL10" s="72"/>
      <c r="AXS10" s="74"/>
      <c r="AXT10" s="72"/>
      <c r="AYA10" s="74"/>
      <c r="AYB10" s="72"/>
      <c r="AYI10" s="74"/>
      <c r="AYJ10" s="72"/>
      <c r="AYQ10" s="74"/>
      <c r="AYR10" s="72"/>
      <c r="AYY10" s="74"/>
      <c r="AYZ10" s="72"/>
      <c r="AZG10" s="74"/>
      <c r="AZH10" s="72"/>
      <c r="AZO10" s="74"/>
      <c r="AZP10" s="72"/>
      <c r="AZW10" s="74"/>
      <c r="AZX10" s="72"/>
      <c r="BAE10" s="74"/>
      <c r="BAF10" s="72"/>
      <c r="BAM10" s="74"/>
      <c r="BAN10" s="72"/>
      <c r="BAU10" s="74"/>
      <c r="BAV10" s="72"/>
      <c r="BBC10" s="74"/>
      <c r="BBD10" s="72"/>
      <c r="BBK10" s="74"/>
      <c r="BBL10" s="72"/>
      <c r="BBS10" s="74"/>
      <c r="BBT10" s="72"/>
      <c r="BCA10" s="74"/>
      <c r="BCB10" s="72"/>
      <c r="BCI10" s="74"/>
      <c r="BCJ10" s="72"/>
      <c r="BCQ10" s="74"/>
      <c r="BCR10" s="72"/>
      <c r="BCY10" s="74"/>
      <c r="BCZ10" s="72"/>
      <c r="BDG10" s="74"/>
      <c r="BDH10" s="72"/>
      <c r="BDO10" s="74"/>
      <c r="BDP10" s="72"/>
      <c r="BDW10" s="74"/>
      <c r="BDX10" s="72"/>
      <c r="BEE10" s="74"/>
      <c r="BEF10" s="72"/>
      <c r="BEM10" s="74"/>
      <c r="BEN10" s="72"/>
      <c r="BEU10" s="74"/>
      <c r="BEV10" s="72"/>
      <c r="BFC10" s="74"/>
      <c r="BFD10" s="72"/>
      <c r="BFK10" s="74"/>
      <c r="BFL10" s="72"/>
      <c r="BFS10" s="74"/>
      <c r="BFT10" s="72"/>
      <c r="BGA10" s="74"/>
      <c r="BGB10" s="72"/>
      <c r="BGI10" s="74"/>
      <c r="BGJ10" s="72"/>
      <c r="BGQ10" s="74"/>
      <c r="BGR10" s="72"/>
      <c r="BGY10" s="74"/>
      <c r="BGZ10" s="72"/>
      <c r="BHG10" s="74"/>
      <c r="BHH10" s="72"/>
      <c r="BHO10" s="74"/>
      <c r="BHP10" s="72"/>
      <c r="BHW10" s="74"/>
      <c r="BHX10" s="72"/>
      <c r="BIE10" s="74"/>
      <c r="BIF10" s="72"/>
      <c r="BIM10" s="74"/>
      <c r="BIN10" s="72"/>
      <c r="BIU10" s="74"/>
      <c r="BIV10" s="72"/>
      <c r="BJC10" s="74"/>
      <c r="BJD10" s="72"/>
      <c r="BJK10" s="74"/>
      <c r="BJL10" s="72"/>
      <c r="BJS10" s="74"/>
      <c r="BJT10" s="72"/>
      <c r="BKA10" s="74"/>
      <c r="BKB10" s="72"/>
      <c r="BKI10" s="74"/>
      <c r="BKJ10" s="72"/>
      <c r="BKQ10" s="74"/>
      <c r="BKR10" s="72"/>
      <c r="BKY10" s="74"/>
      <c r="BKZ10" s="72"/>
      <c r="BLG10" s="74"/>
      <c r="BLH10" s="72"/>
      <c r="BLO10" s="74"/>
      <c r="BLP10" s="72"/>
      <c r="BLW10" s="74"/>
      <c r="BLX10" s="72"/>
      <c r="BME10" s="74"/>
      <c r="BMF10" s="72"/>
      <c r="BMM10" s="74"/>
      <c r="BMN10" s="72"/>
      <c r="BMU10" s="74"/>
      <c r="BMV10" s="72"/>
      <c r="BNC10" s="74"/>
      <c r="BND10" s="72"/>
      <c r="BNK10" s="74"/>
      <c r="BNL10" s="72"/>
      <c r="BNS10" s="74"/>
      <c r="BNT10" s="72"/>
      <c r="BOA10" s="74"/>
      <c r="BOB10" s="72"/>
      <c r="BOI10" s="74"/>
      <c r="BOJ10" s="72"/>
      <c r="BOQ10" s="74"/>
      <c r="BOR10" s="72"/>
      <c r="BOY10" s="74"/>
      <c r="BOZ10" s="72"/>
      <c r="BPG10" s="74"/>
      <c r="BPH10" s="72"/>
      <c r="BPO10" s="74"/>
      <c r="BPP10" s="72"/>
      <c r="BPW10" s="74"/>
      <c r="BPX10" s="72"/>
      <c r="BQE10" s="74"/>
      <c r="BQF10" s="72"/>
      <c r="BQM10" s="74"/>
      <c r="BQN10" s="72"/>
      <c r="BQU10" s="74"/>
      <c r="BQV10" s="72"/>
      <c r="BRC10" s="74"/>
      <c r="BRD10" s="72"/>
      <c r="BRK10" s="74"/>
      <c r="BRL10" s="72"/>
      <c r="BRS10" s="74"/>
      <c r="BRT10" s="72"/>
      <c r="BSA10" s="74"/>
      <c r="BSB10" s="72"/>
      <c r="BSI10" s="74"/>
      <c r="BSJ10" s="72"/>
      <c r="BSQ10" s="74"/>
      <c r="BSR10" s="72"/>
      <c r="BSY10" s="74"/>
      <c r="BSZ10" s="72"/>
      <c r="BTG10" s="74"/>
      <c r="BTH10" s="72"/>
      <c r="BTO10" s="74"/>
      <c r="BTP10" s="72"/>
      <c r="BTW10" s="74"/>
      <c r="BTX10" s="72"/>
      <c r="BUE10" s="74"/>
      <c r="BUF10" s="72"/>
      <c r="BUM10" s="74"/>
      <c r="BUN10" s="72"/>
      <c r="BUU10" s="74"/>
      <c r="BUV10" s="72"/>
      <c r="BVC10" s="74"/>
      <c r="BVD10" s="72"/>
      <c r="BVK10" s="74"/>
      <c r="BVL10" s="72"/>
      <c r="BVS10" s="74"/>
      <c r="BVT10" s="72"/>
      <c r="BWA10" s="74"/>
      <c r="BWB10" s="72"/>
      <c r="BWI10" s="74"/>
      <c r="BWJ10" s="72"/>
      <c r="BWQ10" s="74"/>
      <c r="BWR10" s="72"/>
      <c r="BWY10" s="74"/>
      <c r="BWZ10" s="72"/>
      <c r="BXG10" s="74"/>
      <c r="BXH10" s="72"/>
      <c r="BXO10" s="74"/>
      <c r="BXP10" s="72"/>
      <c r="BXW10" s="74"/>
      <c r="BXX10" s="72"/>
      <c r="BYE10" s="74"/>
      <c r="BYF10" s="72"/>
      <c r="BYM10" s="74"/>
      <c r="BYN10" s="72"/>
      <c r="BYU10" s="74"/>
      <c r="BYV10" s="72"/>
      <c r="BZC10" s="74"/>
      <c r="BZD10" s="72"/>
      <c r="BZK10" s="74"/>
      <c r="BZL10" s="72"/>
      <c r="BZS10" s="74"/>
      <c r="BZT10" s="72"/>
      <c r="CAA10" s="74"/>
      <c r="CAB10" s="72"/>
      <c r="CAI10" s="74"/>
      <c r="CAJ10" s="72"/>
      <c r="CAQ10" s="74"/>
      <c r="CAR10" s="72"/>
      <c r="CAY10" s="74"/>
      <c r="CAZ10" s="72"/>
      <c r="CBG10" s="74"/>
      <c r="CBH10" s="72"/>
      <c r="CBO10" s="74"/>
      <c r="CBP10" s="72"/>
      <c r="CBW10" s="74"/>
      <c r="CBX10" s="72"/>
      <c r="CCE10" s="74"/>
      <c r="CCF10" s="72"/>
      <c r="CCM10" s="74"/>
      <c r="CCN10" s="72"/>
      <c r="CCU10" s="74"/>
      <c r="CCV10" s="72"/>
      <c r="CDC10" s="74"/>
      <c r="CDD10" s="72"/>
      <c r="CDK10" s="74"/>
      <c r="CDL10" s="72"/>
      <c r="CDS10" s="74"/>
      <c r="CDT10" s="72"/>
      <c r="CEA10" s="74"/>
      <c r="CEB10" s="72"/>
      <c r="CEI10" s="74"/>
      <c r="CEJ10" s="72"/>
      <c r="CEQ10" s="74"/>
      <c r="CER10" s="72"/>
      <c r="CEY10" s="74"/>
      <c r="CEZ10" s="72"/>
      <c r="CFG10" s="74"/>
      <c r="CFH10" s="72"/>
      <c r="CFO10" s="74"/>
      <c r="CFP10" s="72"/>
      <c r="CFW10" s="74"/>
      <c r="CFX10" s="72"/>
      <c r="CGE10" s="74"/>
      <c r="CGF10" s="72"/>
      <c r="CGM10" s="74"/>
      <c r="CGN10" s="72"/>
      <c r="CGU10" s="74"/>
      <c r="CGV10" s="72"/>
      <c r="CHC10" s="74"/>
      <c r="CHD10" s="72"/>
      <c r="CHK10" s="74"/>
      <c r="CHL10" s="72"/>
      <c r="CHS10" s="74"/>
      <c r="CHT10" s="72"/>
      <c r="CIA10" s="74"/>
      <c r="CIB10" s="72"/>
      <c r="CII10" s="74"/>
      <c r="CIJ10" s="72"/>
      <c r="CIQ10" s="74"/>
      <c r="CIR10" s="72"/>
      <c r="CIY10" s="74"/>
      <c r="CIZ10" s="72"/>
      <c r="CJG10" s="74"/>
      <c r="CJH10" s="72"/>
      <c r="CJO10" s="74"/>
      <c r="CJP10" s="72"/>
      <c r="CJW10" s="74"/>
      <c r="CJX10" s="72"/>
      <c r="CKE10" s="74"/>
      <c r="CKF10" s="72"/>
      <c r="CKM10" s="74"/>
      <c r="CKN10" s="72"/>
      <c r="CKU10" s="74"/>
      <c r="CKV10" s="72"/>
      <c r="CLC10" s="74"/>
      <c r="CLD10" s="72"/>
      <c r="CLK10" s="74"/>
      <c r="CLL10" s="72"/>
      <c r="CLS10" s="74"/>
      <c r="CLT10" s="72"/>
      <c r="CMA10" s="74"/>
      <c r="CMB10" s="72"/>
      <c r="CMI10" s="74"/>
      <c r="CMJ10" s="72"/>
      <c r="CMQ10" s="74"/>
      <c r="CMR10" s="72"/>
      <c r="CMY10" s="74"/>
      <c r="CMZ10" s="72"/>
      <c r="CNG10" s="74"/>
      <c r="CNH10" s="72"/>
      <c r="CNO10" s="74"/>
      <c r="CNP10" s="72"/>
      <c r="CNW10" s="74"/>
      <c r="CNX10" s="72"/>
      <c r="COE10" s="74"/>
      <c r="COF10" s="72"/>
      <c r="COM10" s="74"/>
      <c r="CON10" s="72"/>
      <c r="COU10" s="74"/>
      <c r="COV10" s="72"/>
      <c r="CPC10" s="74"/>
      <c r="CPD10" s="72"/>
      <c r="CPK10" s="74"/>
      <c r="CPL10" s="72"/>
      <c r="CPS10" s="74"/>
      <c r="CPT10" s="72"/>
      <c r="CQA10" s="74"/>
      <c r="CQB10" s="72"/>
      <c r="CQI10" s="74"/>
      <c r="CQJ10" s="72"/>
      <c r="CQQ10" s="74"/>
      <c r="CQR10" s="72"/>
      <c r="CQY10" s="74"/>
      <c r="CQZ10" s="72"/>
      <c r="CRG10" s="74"/>
      <c r="CRH10" s="72"/>
      <c r="CRO10" s="74"/>
      <c r="CRP10" s="72"/>
      <c r="CRW10" s="74"/>
      <c r="CRX10" s="72"/>
      <c r="CSE10" s="74"/>
      <c r="CSF10" s="72"/>
      <c r="CSM10" s="74"/>
      <c r="CSN10" s="72"/>
      <c r="CSU10" s="74"/>
      <c r="CSV10" s="72"/>
      <c r="CTC10" s="74"/>
      <c r="CTD10" s="72"/>
      <c r="CTK10" s="74"/>
      <c r="CTL10" s="72"/>
      <c r="CTS10" s="74"/>
      <c r="CTT10" s="72"/>
      <c r="CUA10" s="74"/>
      <c r="CUB10" s="72"/>
      <c r="CUI10" s="74"/>
      <c r="CUJ10" s="72"/>
      <c r="CUQ10" s="74"/>
      <c r="CUR10" s="72"/>
      <c r="CUY10" s="74"/>
      <c r="CUZ10" s="72"/>
      <c r="CVG10" s="74"/>
      <c r="CVH10" s="72"/>
      <c r="CVO10" s="74"/>
      <c r="CVP10" s="72"/>
      <c r="CVW10" s="74"/>
      <c r="CVX10" s="72"/>
      <c r="CWE10" s="74"/>
      <c r="CWF10" s="72"/>
      <c r="CWM10" s="74"/>
      <c r="CWN10" s="72"/>
      <c r="CWU10" s="74"/>
      <c r="CWV10" s="72"/>
      <c r="CXC10" s="74"/>
      <c r="CXD10" s="72"/>
      <c r="CXK10" s="74"/>
      <c r="CXL10" s="72"/>
      <c r="CXS10" s="74"/>
      <c r="CXT10" s="72"/>
      <c r="CYA10" s="74"/>
      <c r="CYB10" s="72"/>
      <c r="CYI10" s="74"/>
      <c r="CYJ10" s="72"/>
      <c r="CYQ10" s="74"/>
      <c r="CYR10" s="72"/>
      <c r="CYY10" s="74"/>
      <c r="CYZ10" s="72"/>
      <c r="CZG10" s="74"/>
      <c r="CZH10" s="72"/>
      <c r="CZO10" s="74"/>
      <c r="CZP10" s="72"/>
      <c r="CZW10" s="74"/>
      <c r="CZX10" s="72"/>
      <c r="DAE10" s="74"/>
      <c r="DAF10" s="72"/>
      <c r="DAM10" s="74"/>
      <c r="DAN10" s="72"/>
      <c r="DAU10" s="74"/>
      <c r="DAV10" s="72"/>
      <c r="DBC10" s="74"/>
      <c r="DBD10" s="72"/>
      <c r="DBK10" s="74"/>
      <c r="DBL10" s="72"/>
      <c r="DBS10" s="74"/>
      <c r="DBT10" s="72"/>
      <c r="DCA10" s="74"/>
      <c r="DCB10" s="72"/>
      <c r="DCI10" s="74"/>
      <c r="DCJ10" s="72"/>
      <c r="DCQ10" s="74"/>
      <c r="DCR10" s="72"/>
      <c r="DCY10" s="74"/>
      <c r="DCZ10" s="72"/>
      <c r="DDG10" s="74"/>
      <c r="DDH10" s="72"/>
      <c r="DDO10" s="74"/>
      <c r="DDP10" s="72"/>
      <c r="DDW10" s="74"/>
      <c r="DDX10" s="72"/>
      <c r="DEE10" s="74"/>
      <c r="DEF10" s="72"/>
      <c r="DEM10" s="74"/>
      <c r="DEN10" s="72"/>
      <c r="DEU10" s="74"/>
      <c r="DEV10" s="72"/>
      <c r="DFC10" s="74"/>
      <c r="DFD10" s="72"/>
      <c r="DFK10" s="74"/>
      <c r="DFL10" s="72"/>
      <c r="DFS10" s="74"/>
      <c r="DFT10" s="72"/>
      <c r="DGA10" s="74"/>
      <c r="DGB10" s="72"/>
      <c r="DGI10" s="74"/>
      <c r="DGJ10" s="72"/>
      <c r="DGQ10" s="74"/>
      <c r="DGR10" s="72"/>
      <c r="DGY10" s="74"/>
      <c r="DGZ10" s="72"/>
      <c r="DHG10" s="74"/>
      <c r="DHH10" s="72"/>
      <c r="DHO10" s="74"/>
      <c r="DHP10" s="72"/>
      <c r="DHW10" s="74"/>
      <c r="DHX10" s="72"/>
      <c r="DIE10" s="74"/>
      <c r="DIF10" s="72"/>
      <c r="DIM10" s="74"/>
      <c r="DIN10" s="72"/>
      <c r="DIU10" s="74"/>
      <c r="DIV10" s="72"/>
      <c r="DJC10" s="74"/>
      <c r="DJD10" s="72"/>
      <c r="DJK10" s="74"/>
      <c r="DJL10" s="72"/>
      <c r="DJS10" s="74"/>
      <c r="DJT10" s="72"/>
      <c r="DKA10" s="74"/>
      <c r="DKB10" s="72"/>
      <c r="DKI10" s="74"/>
      <c r="DKJ10" s="72"/>
      <c r="DKQ10" s="74"/>
      <c r="DKR10" s="72"/>
      <c r="DKY10" s="74"/>
      <c r="DKZ10" s="72"/>
      <c r="DLG10" s="74"/>
      <c r="DLH10" s="72"/>
      <c r="DLO10" s="74"/>
      <c r="DLP10" s="72"/>
      <c r="DLW10" s="74"/>
      <c r="DLX10" s="72"/>
      <c r="DME10" s="74"/>
      <c r="DMF10" s="72"/>
      <c r="DMM10" s="74"/>
      <c r="DMN10" s="72"/>
      <c r="DMU10" s="74"/>
      <c r="DMV10" s="72"/>
      <c r="DNC10" s="74"/>
      <c r="DND10" s="72"/>
      <c r="DNK10" s="74"/>
      <c r="DNL10" s="72"/>
      <c r="DNS10" s="74"/>
      <c r="DNT10" s="72"/>
      <c r="DOA10" s="74"/>
      <c r="DOB10" s="72"/>
      <c r="DOI10" s="74"/>
      <c r="DOJ10" s="72"/>
      <c r="DOQ10" s="74"/>
      <c r="DOR10" s="72"/>
      <c r="DOY10" s="74"/>
      <c r="DOZ10" s="72"/>
      <c r="DPG10" s="74"/>
      <c r="DPH10" s="72"/>
      <c r="DPO10" s="74"/>
      <c r="DPP10" s="72"/>
      <c r="DPW10" s="74"/>
      <c r="DPX10" s="72"/>
      <c r="DQE10" s="74"/>
      <c r="DQF10" s="72"/>
      <c r="DQM10" s="74"/>
      <c r="DQN10" s="72"/>
      <c r="DQU10" s="74"/>
      <c r="DQV10" s="72"/>
      <c r="DRC10" s="74"/>
      <c r="DRD10" s="72"/>
      <c r="DRK10" s="74"/>
      <c r="DRL10" s="72"/>
      <c r="DRS10" s="74"/>
      <c r="DRT10" s="72"/>
      <c r="DSA10" s="74"/>
      <c r="DSB10" s="72"/>
      <c r="DSI10" s="74"/>
      <c r="DSJ10" s="72"/>
      <c r="DSQ10" s="74"/>
      <c r="DSR10" s="72"/>
      <c r="DSY10" s="74"/>
      <c r="DSZ10" s="72"/>
      <c r="DTG10" s="74"/>
      <c r="DTH10" s="72"/>
      <c r="DTO10" s="74"/>
      <c r="DTP10" s="72"/>
      <c r="DTW10" s="74"/>
      <c r="DTX10" s="72"/>
      <c r="DUE10" s="74"/>
      <c r="DUF10" s="72"/>
      <c r="DUM10" s="74"/>
      <c r="DUN10" s="72"/>
      <c r="DUU10" s="74"/>
      <c r="DUV10" s="72"/>
      <c r="DVC10" s="74"/>
      <c r="DVD10" s="72"/>
      <c r="DVK10" s="74"/>
      <c r="DVL10" s="72"/>
      <c r="DVS10" s="74"/>
      <c r="DVT10" s="72"/>
      <c r="DWA10" s="74"/>
      <c r="DWB10" s="72"/>
      <c r="DWI10" s="74"/>
      <c r="DWJ10" s="72"/>
      <c r="DWQ10" s="74"/>
      <c r="DWR10" s="72"/>
      <c r="DWY10" s="74"/>
      <c r="DWZ10" s="72"/>
      <c r="DXG10" s="74"/>
      <c r="DXH10" s="72"/>
      <c r="DXO10" s="74"/>
      <c r="DXP10" s="72"/>
      <c r="DXW10" s="74"/>
      <c r="DXX10" s="72"/>
      <c r="DYE10" s="74"/>
      <c r="DYF10" s="72"/>
      <c r="DYM10" s="74"/>
      <c r="DYN10" s="72"/>
      <c r="DYU10" s="74"/>
      <c r="DYV10" s="72"/>
      <c r="DZC10" s="74"/>
      <c r="DZD10" s="72"/>
      <c r="DZK10" s="74"/>
      <c r="DZL10" s="72"/>
      <c r="DZS10" s="74"/>
      <c r="DZT10" s="72"/>
      <c r="EAA10" s="74"/>
      <c r="EAB10" s="72"/>
      <c r="EAI10" s="74"/>
      <c r="EAJ10" s="72"/>
      <c r="EAQ10" s="74"/>
      <c r="EAR10" s="72"/>
      <c r="EAY10" s="74"/>
      <c r="EAZ10" s="72"/>
      <c r="EBG10" s="74"/>
      <c r="EBH10" s="72"/>
      <c r="EBO10" s="74"/>
      <c r="EBP10" s="72"/>
      <c r="EBW10" s="74"/>
      <c r="EBX10" s="72"/>
      <c r="ECE10" s="74"/>
      <c r="ECF10" s="72"/>
      <c r="ECM10" s="74"/>
      <c r="ECN10" s="72"/>
      <c r="ECU10" s="74"/>
      <c r="ECV10" s="72"/>
      <c r="EDC10" s="74"/>
      <c r="EDD10" s="72"/>
      <c r="EDK10" s="74"/>
      <c r="EDL10" s="72"/>
      <c r="EDS10" s="74"/>
      <c r="EDT10" s="72"/>
      <c r="EEA10" s="74"/>
      <c r="EEB10" s="72"/>
      <c r="EEI10" s="74"/>
      <c r="EEJ10" s="72"/>
      <c r="EEQ10" s="74"/>
      <c r="EER10" s="72"/>
      <c r="EEY10" s="74"/>
      <c r="EEZ10" s="72"/>
      <c r="EFG10" s="74"/>
      <c r="EFH10" s="72"/>
      <c r="EFO10" s="74"/>
      <c r="EFP10" s="72"/>
      <c r="EFW10" s="74"/>
      <c r="EFX10" s="72"/>
      <c r="EGE10" s="74"/>
      <c r="EGF10" s="72"/>
      <c r="EGM10" s="74"/>
      <c r="EGN10" s="72"/>
      <c r="EGU10" s="74"/>
      <c r="EGV10" s="72"/>
      <c r="EHC10" s="74"/>
      <c r="EHD10" s="72"/>
      <c r="EHK10" s="74"/>
      <c r="EHL10" s="72"/>
      <c r="EHS10" s="74"/>
      <c r="EHT10" s="72"/>
      <c r="EIA10" s="74"/>
      <c r="EIB10" s="72"/>
      <c r="EII10" s="74"/>
      <c r="EIJ10" s="72"/>
      <c r="EIQ10" s="74"/>
      <c r="EIR10" s="72"/>
      <c r="EIY10" s="74"/>
      <c r="EIZ10" s="72"/>
      <c r="EJG10" s="74"/>
      <c r="EJH10" s="72"/>
      <c r="EJO10" s="74"/>
      <c r="EJP10" s="72"/>
      <c r="EJW10" s="74"/>
      <c r="EJX10" s="72"/>
      <c r="EKE10" s="74"/>
      <c r="EKF10" s="72"/>
      <c r="EKM10" s="74"/>
      <c r="EKN10" s="72"/>
      <c r="EKU10" s="74"/>
      <c r="EKV10" s="72"/>
      <c r="ELC10" s="74"/>
      <c r="ELD10" s="72"/>
      <c r="ELK10" s="74"/>
      <c r="ELL10" s="72"/>
      <c r="ELS10" s="74"/>
      <c r="ELT10" s="72"/>
      <c r="EMA10" s="74"/>
      <c r="EMB10" s="72"/>
      <c r="EMI10" s="74"/>
      <c r="EMJ10" s="72"/>
      <c r="EMQ10" s="74"/>
      <c r="EMR10" s="72"/>
      <c r="EMY10" s="74"/>
      <c r="EMZ10" s="72"/>
      <c r="ENG10" s="74"/>
      <c r="ENH10" s="72"/>
      <c r="ENO10" s="74"/>
      <c r="ENP10" s="72"/>
      <c r="ENW10" s="74"/>
      <c r="ENX10" s="72"/>
      <c r="EOE10" s="74"/>
      <c r="EOF10" s="72"/>
      <c r="EOM10" s="74"/>
      <c r="EON10" s="72"/>
      <c r="EOU10" s="74"/>
      <c r="EOV10" s="72"/>
      <c r="EPC10" s="74"/>
      <c r="EPD10" s="72"/>
      <c r="EPK10" s="74"/>
      <c r="EPL10" s="72"/>
      <c r="EPS10" s="74"/>
      <c r="EPT10" s="72"/>
      <c r="EQA10" s="74"/>
      <c r="EQB10" s="72"/>
      <c r="EQI10" s="74"/>
      <c r="EQJ10" s="72"/>
      <c r="EQQ10" s="74"/>
      <c r="EQR10" s="72"/>
      <c r="EQY10" s="74"/>
      <c r="EQZ10" s="72"/>
      <c r="ERG10" s="74"/>
      <c r="ERH10" s="72"/>
      <c r="ERO10" s="74"/>
      <c r="ERP10" s="72"/>
      <c r="ERW10" s="74"/>
      <c r="ERX10" s="72"/>
      <c r="ESE10" s="74"/>
      <c r="ESF10" s="72"/>
      <c r="ESM10" s="74"/>
      <c r="ESN10" s="72"/>
      <c r="ESU10" s="74"/>
      <c r="ESV10" s="72"/>
      <c r="ETC10" s="74"/>
      <c r="ETD10" s="72"/>
      <c r="ETK10" s="74"/>
      <c r="ETL10" s="72"/>
      <c r="ETS10" s="74"/>
      <c r="ETT10" s="72"/>
      <c r="EUA10" s="74"/>
      <c r="EUB10" s="72"/>
      <c r="EUI10" s="74"/>
      <c r="EUJ10" s="72"/>
      <c r="EUQ10" s="74"/>
      <c r="EUR10" s="72"/>
      <c r="EUY10" s="74"/>
      <c r="EUZ10" s="72"/>
      <c r="EVG10" s="74"/>
      <c r="EVH10" s="72"/>
      <c r="EVO10" s="74"/>
      <c r="EVP10" s="72"/>
      <c r="EVW10" s="74"/>
      <c r="EVX10" s="72"/>
      <c r="EWE10" s="74"/>
      <c r="EWF10" s="72"/>
      <c r="EWM10" s="74"/>
      <c r="EWN10" s="72"/>
      <c r="EWU10" s="74"/>
      <c r="EWV10" s="72"/>
      <c r="EXC10" s="74"/>
      <c r="EXD10" s="72"/>
      <c r="EXK10" s="74"/>
      <c r="EXL10" s="72"/>
      <c r="EXS10" s="74"/>
      <c r="EXT10" s="72"/>
      <c r="EYA10" s="74"/>
      <c r="EYB10" s="72"/>
      <c r="EYI10" s="74"/>
      <c r="EYJ10" s="72"/>
      <c r="EYQ10" s="74"/>
      <c r="EYR10" s="72"/>
      <c r="EYY10" s="74"/>
      <c r="EYZ10" s="72"/>
      <c r="EZG10" s="74"/>
      <c r="EZH10" s="72"/>
      <c r="EZO10" s="74"/>
      <c r="EZP10" s="72"/>
      <c r="EZW10" s="74"/>
      <c r="EZX10" s="72"/>
      <c r="FAE10" s="74"/>
      <c r="FAF10" s="72"/>
      <c r="FAM10" s="74"/>
      <c r="FAN10" s="72"/>
      <c r="FAU10" s="74"/>
      <c r="FAV10" s="72"/>
      <c r="FBC10" s="74"/>
      <c r="FBD10" s="72"/>
      <c r="FBK10" s="74"/>
      <c r="FBL10" s="72"/>
      <c r="FBS10" s="74"/>
      <c r="FBT10" s="72"/>
      <c r="FCA10" s="74"/>
      <c r="FCB10" s="72"/>
      <c r="FCI10" s="74"/>
      <c r="FCJ10" s="72"/>
      <c r="FCQ10" s="74"/>
      <c r="FCR10" s="72"/>
      <c r="FCY10" s="74"/>
      <c r="FCZ10" s="72"/>
      <c r="FDG10" s="74"/>
      <c r="FDH10" s="72"/>
      <c r="FDO10" s="74"/>
      <c r="FDP10" s="72"/>
      <c r="FDW10" s="74"/>
      <c r="FDX10" s="72"/>
      <c r="FEE10" s="74"/>
      <c r="FEF10" s="72"/>
      <c r="FEM10" s="74"/>
      <c r="FEN10" s="72"/>
      <c r="FEU10" s="74"/>
      <c r="FEV10" s="72"/>
      <c r="FFC10" s="74"/>
      <c r="FFD10" s="72"/>
      <c r="FFK10" s="74"/>
      <c r="FFL10" s="72"/>
      <c r="FFS10" s="74"/>
      <c r="FFT10" s="72"/>
      <c r="FGA10" s="74"/>
      <c r="FGB10" s="72"/>
      <c r="FGI10" s="74"/>
      <c r="FGJ10" s="72"/>
      <c r="FGQ10" s="74"/>
      <c r="FGR10" s="72"/>
      <c r="FGY10" s="74"/>
      <c r="FGZ10" s="72"/>
      <c r="FHG10" s="74"/>
      <c r="FHH10" s="72"/>
      <c r="FHO10" s="74"/>
      <c r="FHP10" s="72"/>
      <c r="FHW10" s="74"/>
      <c r="FHX10" s="72"/>
      <c r="FIE10" s="74"/>
      <c r="FIF10" s="72"/>
      <c r="FIM10" s="74"/>
      <c r="FIN10" s="72"/>
      <c r="FIU10" s="74"/>
      <c r="FIV10" s="72"/>
      <c r="FJC10" s="74"/>
      <c r="FJD10" s="72"/>
      <c r="FJK10" s="74"/>
      <c r="FJL10" s="72"/>
      <c r="FJS10" s="74"/>
      <c r="FJT10" s="72"/>
      <c r="FKA10" s="74"/>
      <c r="FKB10" s="72"/>
      <c r="FKI10" s="74"/>
      <c r="FKJ10" s="72"/>
      <c r="FKQ10" s="74"/>
      <c r="FKR10" s="72"/>
      <c r="FKY10" s="74"/>
      <c r="FKZ10" s="72"/>
      <c r="FLG10" s="74"/>
      <c r="FLH10" s="72"/>
      <c r="FLO10" s="74"/>
      <c r="FLP10" s="72"/>
      <c r="FLW10" s="74"/>
      <c r="FLX10" s="72"/>
      <c r="FME10" s="74"/>
      <c r="FMF10" s="72"/>
      <c r="FMM10" s="74"/>
      <c r="FMN10" s="72"/>
      <c r="FMU10" s="74"/>
      <c r="FMV10" s="72"/>
      <c r="FNC10" s="74"/>
      <c r="FND10" s="72"/>
      <c r="FNK10" s="74"/>
      <c r="FNL10" s="72"/>
      <c r="FNS10" s="74"/>
      <c r="FNT10" s="72"/>
      <c r="FOA10" s="74"/>
      <c r="FOB10" s="72"/>
      <c r="FOI10" s="74"/>
      <c r="FOJ10" s="72"/>
      <c r="FOQ10" s="74"/>
      <c r="FOR10" s="72"/>
      <c r="FOY10" s="74"/>
      <c r="FOZ10" s="72"/>
      <c r="FPG10" s="74"/>
      <c r="FPH10" s="72"/>
      <c r="FPO10" s="74"/>
      <c r="FPP10" s="72"/>
      <c r="FPW10" s="74"/>
      <c r="FPX10" s="72"/>
      <c r="FQE10" s="74"/>
      <c r="FQF10" s="72"/>
      <c r="FQM10" s="74"/>
      <c r="FQN10" s="72"/>
      <c r="FQU10" s="74"/>
      <c r="FQV10" s="72"/>
      <c r="FRC10" s="74"/>
      <c r="FRD10" s="72"/>
      <c r="FRK10" s="74"/>
      <c r="FRL10" s="72"/>
      <c r="FRS10" s="74"/>
      <c r="FRT10" s="72"/>
      <c r="FSA10" s="74"/>
      <c r="FSB10" s="72"/>
      <c r="FSI10" s="74"/>
      <c r="FSJ10" s="72"/>
      <c r="FSQ10" s="74"/>
      <c r="FSR10" s="72"/>
      <c r="FSY10" s="74"/>
      <c r="FSZ10" s="72"/>
      <c r="FTG10" s="74"/>
      <c r="FTH10" s="72"/>
      <c r="FTO10" s="74"/>
      <c r="FTP10" s="72"/>
      <c r="FTW10" s="74"/>
      <c r="FTX10" s="72"/>
      <c r="FUE10" s="74"/>
      <c r="FUF10" s="72"/>
      <c r="FUM10" s="74"/>
      <c r="FUN10" s="72"/>
      <c r="FUU10" s="74"/>
      <c r="FUV10" s="72"/>
      <c r="FVC10" s="74"/>
      <c r="FVD10" s="72"/>
      <c r="FVK10" s="74"/>
      <c r="FVL10" s="72"/>
      <c r="FVS10" s="74"/>
      <c r="FVT10" s="72"/>
      <c r="FWA10" s="74"/>
      <c r="FWB10" s="72"/>
      <c r="FWI10" s="74"/>
      <c r="FWJ10" s="72"/>
      <c r="FWQ10" s="74"/>
      <c r="FWR10" s="72"/>
      <c r="FWY10" s="74"/>
      <c r="FWZ10" s="72"/>
      <c r="FXG10" s="74"/>
      <c r="FXH10" s="72"/>
      <c r="FXO10" s="74"/>
      <c r="FXP10" s="72"/>
      <c r="FXW10" s="74"/>
      <c r="FXX10" s="72"/>
      <c r="FYE10" s="74"/>
      <c r="FYF10" s="72"/>
      <c r="FYM10" s="74"/>
      <c r="FYN10" s="72"/>
      <c r="FYU10" s="74"/>
      <c r="FYV10" s="72"/>
      <c r="FZC10" s="74"/>
      <c r="FZD10" s="72"/>
      <c r="FZK10" s="74"/>
      <c r="FZL10" s="72"/>
      <c r="FZS10" s="74"/>
      <c r="FZT10" s="72"/>
      <c r="GAA10" s="74"/>
      <c r="GAB10" s="72"/>
      <c r="GAI10" s="74"/>
      <c r="GAJ10" s="72"/>
      <c r="GAQ10" s="74"/>
      <c r="GAR10" s="72"/>
      <c r="GAY10" s="74"/>
      <c r="GAZ10" s="72"/>
      <c r="GBG10" s="74"/>
      <c r="GBH10" s="72"/>
      <c r="GBO10" s="74"/>
      <c r="GBP10" s="72"/>
      <c r="GBW10" s="74"/>
      <c r="GBX10" s="72"/>
      <c r="GCE10" s="74"/>
      <c r="GCF10" s="72"/>
      <c r="GCM10" s="74"/>
      <c r="GCN10" s="72"/>
      <c r="GCU10" s="74"/>
      <c r="GCV10" s="72"/>
      <c r="GDC10" s="74"/>
      <c r="GDD10" s="72"/>
      <c r="GDK10" s="74"/>
      <c r="GDL10" s="72"/>
      <c r="GDS10" s="74"/>
      <c r="GDT10" s="72"/>
      <c r="GEA10" s="74"/>
      <c r="GEB10" s="72"/>
      <c r="GEI10" s="74"/>
      <c r="GEJ10" s="72"/>
      <c r="GEQ10" s="74"/>
      <c r="GER10" s="72"/>
      <c r="GEY10" s="74"/>
      <c r="GEZ10" s="72"/>
      <c r="GFG10" s="74"/>
      <c r="GFH10" s="72"/>
      <c r="GFO10" s="74"/>
      <c r="GFP10" s="72"/>
      <c r="GFW10" s="74"/>
      <c r="GFX10" s="72"/>
      <c r="GGE10" s="74"/>
      <c r="GGF10" s="72"/>
      <c r="GGM10" s="74"/>
      <c r="GGN10" s="72"/>
      <c r="GGU10" s="74"/>
      <c r="GGV10" s="72"/>
      <c r="GHC10" s="74"/>
      <c r="GHD10" s="72"/>
      <c r="GHK10" s="74"/>
      <c r="GHL10" s="72"/>
      <c r="GHS10" s="74"/>
      <c r="GHT10" s="72"/>
      <c r="GIA10" s="74"/>
      <c r="GIB10" s="72"/>
      <c r="GII10" s="74"/>
      <c r="GIJ10" s="72"/>
      <c r="GIQ10" s="74"/>
      <c r="GIR10" s="72"/>
      <c r="GIY10" s="74"/>
      <c r="GIZ10" s="72"/>
      <c r="GJG10" s="74"/>
      <c r="GJH10" s="72"/>
      <c r="GJO10" s="74"/>
      <c r="GJP10" s="72"/>
      <c r="GJW10" s="74"/>
      <c r="GJX10" s="72"/>
      <c r="GKE10" s="74"/>
      <c r="GKF10" s="72"/>
      <c r="GKM10" s="74"/>
      <c r="GKN10" s="72"/>
      <c r="GKU10" s="74"/>
      <c r="GKV10" s="72"/>
      <c r="GLC10" s="74"/>
      <c r="GLD10" s="72"/>
      <c r="GLK10" s="74"/>
      <c r="GLL10" s="72"/>
      <c r="GLS10" s="74"/>
      <c r="GLT10" s="72"/>
      <c r="GMA10" s="74"/>
      <c r="GMB10" s="72"/>
      <c r="GMI10" s="74"/>
      <c r="GMJ10" s="72"/>
      <c r="GMQ10" s="74"/>
      <c r="GMR10" s="72"/>
      <c r="GMY10" s="74"/>
      <c r="GMZ10" s="72"/>
      <c r="GNG10" s="74"/>
      <c r="GNH10" s="72"/>
      <c r="GNO10" s="74"/>
      <c r="GNP10" s="72"/>
      <c r="GNW10" s="74"/>
      <c r="GNX10" s="72"/>
      <c r="GOE10" s="74"/>
      <c r="GOF10" s="72"/>
      <c r="GOM10" s="74"/>
      <c r="GON10" s="72"/>
      <c r="GOU10" s="74"/>
      <c r="GOV10" s="72"/>
      <c r="GPC10" s="74"/>
      <c r="GPD10" s="72"/>
      <c r="GPK10" s="74"/>
      <c r="GPL10" s="72"/>
      <c r="GPS10" s="74"/>
      <c r="GPT10" s="72"/>
      <c r="GQA10" s="74"/>
      <c r="GQB10" s="72"/>
      <c r="GQI10" s="74"/>
      <c r="GQJ10" s="72"/>
      <c r="GQQ10" s="74"/>
      <c r="GQR10" s="72"/>
      <c r="GQY10" s="74"/>
      <c r="GQZ10" s="72"/>
      <c r="GRG10" s="74"/>
      <c r="GRH10" s="72"/>
      <c r="GRO10" s="74"/>
      <c r="GRP10" s="72"/>
      <c r="GRW10" s="74"/>
      <c r="GRX10" s="72"/>
      <c r="GSE10" s="74"/>
      <c r="GSF10" s="72"/>
      <c r="GSM10" s="74"/>
      <c r="GSN10" s="72"/>
      <c r="GSU10" s="74"/>
      <c r="GSV10" s="72"/>
      <c r="GTC10" s="74"/>
      <c r="GTD10" s="72"/>
      <c r="GTK10" s="74"/>
      <c r="GTL10" s="72"/>
      <c r="GTS10" s="74"/>
      <c r="GTT10" s="72"/>
      <c r="GUA10" s="74"/>
      <c r="GUB10" s="72"/>
      <c r="GUI10" s="74"/>
      <c r="GUJ10" s="72"/>
      <c r="GUQ10" s="74"/>
      <c r="GUR10" s="72"/>
      <c r="GUY10" s="74"/>
      <c r="GUZ10" s="72"/>
      <c r="GVG10" s="74"/>
      <c r="GVH10" s="72"/>
      <c r="GVO10" s="74"/>
      <c r="GVP10" s="72"/>
      <c r="GVW10" s="74"/>
      <c r="GVX10" s="72"/>
      <c r="GWE10" s="74"/>
      <c r="GWF10" s="72"/>
      <c r="GWM10" s="74"/>
      <c r="GWN10" s="72"/>
      <c r="GWU10" s="74"/>
      <c r="GWV10" s="72"/>
      <c r="GXC10" s="74"/>
      <c r="GXD10" s="72"/>
      <c r="GXK10" s="74"/>
      <c r="GXL10" s="72"/>
      <c r="GXS10" s="74"/>
      <c r="GXT10" s="72"/>
      <c r="GYA10" s="74"/>
      <c r="GYB10" s="72"/>
      <c r="GYI10" s="74"/>
      <c r="GYJ10" s="72"/>
      <c r="GYQ10" s="74"/>
      <c r="GYR10" s="72"/>
      <c r="GYY10" s="74"/>
      <c r="GYZ10" s="72"/>
      <c r="GZG10" s="74"/>
      <c r="GZH10" s="72"/>
      <c r="GZO10" s="74"/>
      <c r="GZP10" s="72"/>
      <c r="GZW10" s="74"/>
      <c r="GZX10" s="72"/>
      <c r="HAE10" s="74"/>
      <c r="HAF10" s="72"/>
      <c r="HAM10" s="74"/>
      <c r="HAN10" s="72"/>
      <c r="HAU10" s="74"/>
      <c r="HAV10" s="72"/>
      <c r="HBC10" s="74"/>
      <c r="HBD10" s="72"/>
      <c r="HBK10" s="74"/>
      <c r="HBL10" s="72"/>
      <c r="HBS10" s="74"/>
      <c r="HBT10" s="72"/>
      <c r="HCA10" s="74"/>
      <c r="HCB10" s="72"/>
      <c r="HCI10" s="74"/>
      <c r="HCJ10" s="72"/>
      <c r="HCQ10" s="74"/>
      <c r="HCR10" s="72"/>
      <c r="HCY10" s="74"/>
      <c r="HCZ10" s="72"/>
      <c r="HDG10" s="74"/>
      <c r="HDH10" s="72"/>
      <c r="HDO10" s="74"/>
      <c r="HDP10" s="72"/>
      <c r="HDW10" s="74"/>
      <c r="HDX10" s="72"/>
      <c r="HEE10" s="74"/>
      <c r="HEF10" s="72"/>
      <c r="HEM10" s="74"/>
      <c r="HEN10" s="72"/>
      <c r="HEU10" s="74"/>
      <c r="HEV10" s="72"/>
      <c r="HFC10" s="74"/>
      <c r="HFD10" s="72"/>
      <c r="HFK10" s="74"/>
      <c r="HFL10" s="72"/>
      <c r="HFS10" s="74"/>
      <c r="HFT10" s="72"/>
      <c r="HGA10" s="74"/>
      <c r="HGB10" s="72"/>
      <c r="HGI10" s="74"/>
      <c r="HGJ10" s="72"/>
      <c r="HGQ10" s="74"/>
      <c r="HGR10" s="72"/>
      <c r="HGY10" s="74"/>
      <c r="HGZ10" s="72"/>
      <c r="HHG10" s="74"/>
      <c r="HHH10" s="72"/>
      <c r="HHO10" s="74"/>
      <c r="HHP10" s="72"/>
      <c r="HHW10" s="74"/>
      <c r="HHX10" s="72"/>
      <c r="HIE10" s="74"/>
      <c r="HIF10" s="72"/>
      <c r="HIM10" s="74"/>
      <c r="HIN10" s="72"/>
      <c r="HIU10" s="74"/>
      <c r="HIV10" s="72"/>
      <c r="HJC10" s="74"/>
      <c r="HJD10" s="72"/>
      <c r="HJK10" s="74"/>
      <c r="HJL10" s="72"/>
      <c r="HJS10" s="74"/>
      <c r="HJT10" s="72"/>
      <c r="HKA10" s="74"/>
      <c r="HKB10" s="72"/>
      <c r="HKI10" s="74"/>
      <c r="HKJ10" s="72"/>
      <c r="HKQ10" s="74"/>
      <c r="HKR10" s="72"/>
      <c r="HKY10" s="74"/>
      <c r="HKZ10" s="72"/>
      <c r="HLG10" s="74"/>
      <c r="HLH10" s="72"/>
      <c r="HLO10" s="74"/>
      <c r="HLP10" s="72"/>
      <c r="HLW10" s="74"/>
      <c r="HLX10" s="72"/>
      <c r="HME10" s="74"/>
      <c r="HMF10" s="72"/>
      <c r="HMM10" s="74"/>
      <c r="HMN10" s="72"/>
      <c r="HMU10" s="74"/>
      <c r="HMV10" s="72"/>
      <c r="HNC10" s="74"/>
      <c r="HND10" s="72"/>
      <c r="HNK10" s="74"/>
      <c r="HNL10" s="72"/>
      <c r="HNS10" s="74"/>
      <c r="HNT10" s="72"/>
      <c r="HOA10" s="74"/>
      <c r="HOB10" s="72"/>
      <c r="HOI10" s="74"/>
      <c r="HOJ10" s="72"/>
      <c r="HOQ10" s="74"/>
      <c r="HOR10" s="72"/>
      <c r="HOY10" s="74"/>
      <c r="HOZ10" s="72"/>
      <c r="HPG10" s="74"/>
      <c r="HPH10" s="72"/>
      <c r="HPO10" s="74"/>
      <c r="HPP10" s="72"/>
      <c r="HPW10" s="74"/>
      <c r="HPX10" s="72"/>
      <c r="HQE10" s="74"/>
      <c r="HQF10" s="72"/>
      <c r="HQM10" s="74"/>
      <c r="HQN10" s="72"/>
      <c r="HQU10" s="74"/>
      <c r="HQV10" s="72"/>
      <c r="HRC10" s="74"/>
      <c r="HRD10" s="72"/>
      <c r="HRK10" s="74"/>
      <c r="HRL10" s="72"/>
      <c r="HRS10" s="74"/>
      <c r="HRT10" s="72"/>
      <c r="HSA10" s="74"/>
      <c r="HSB10" s="72"/>
      <c r="HSI10" s="74"/>
      <c r="HSJ10" s="72"/>
      <c r="HSQ10" s="74"/>
      <c r="HSR10" s="72"/>
      <c r="HSY10" s="74"/>
      <c r="HSZ10" s="72"/>
      <c r="HTG10" s="74"/>
      <c r="HTH10" s="72"/>
      <c r="HTO10" s="74"/>
      <c r="HTP10" s="72"/>
      <c r="HTW10" s="74"/>
      <c r="HTX10" s="72"/>
      <c r="HUE10" s="74"/>
      <c r="HUF10" s="72"/>
      <c r="HUM10" s="74"/>
      <c r="HUN10" s="72"/>
      <c r="HUU10" s="74"/>
      <c r="HUV10" s="72"/>
      <c r="HVC10" s="74"/>
      <c r="HVD10" s="72"/>
      <c r="HVK10" s="74"/>
      <c r="HVL10" s="72"/>
      <c r="HVS10" s="74"/>
      <c r="HVT10" s="72"/>
      <c r="HWA10" s="74"/>
      <c r="HWB10" s="72"/>
      <c r="HWI10" s="74"/>
      <c r="HWJ10" s="72"/>
      <c r="HWQ10" s="74"/>
      <c r="HWR10" s="72"/>
      <c r="HWY10" s="74"/>
      <c r="HWZ10" s="72"/>
      <c r="HXG10" s="74"/>
      <c r="HXH10" s="72"/>
      <c r="HXO10" s="74"/>
      <c r="HXP10" s="72"/>
      <c r="HXW10" s="74"/>
      <c r="HXX10" s="72"/>
      <c r="HYE10" s="74"/>
      <c r="HYF10" s="72"/>
      <c r="HYM10" s="74"/>
      <c r="HYN10" s="72"/>
      <c r="HYU10" s="74"/>
      <c r="HYV10" s="72"/>
      <c r="HZC10" s="74"/>
      <c r="HZD10" s="72"/>
      <c r="HZK10" s="74"/>
      <c r="HZL10" s="72"/>
      <c r="HZS10" s="74"/>
      <c r="HZT10" s="72"/>
      <c r="IAA10" s="74"/>
      <c r="IAB10" s="72"/>
      <c r="IAI10" s="74"/>
      <c r="IAJ10" s="72"/>
      <c r="IAQ10" s="74"/>
      <c r="IAR10" s="72"/>
      <c r="IAY10" s="74"/>
      <c r="IAZ10" s="72"/>
      <c r="IBG10" s="74"/>
      <c r="IBH10" s="72"/>
      <c r="IBO10" s="74"/>
      <c r="IBP10" s="72"/>
      <c r="IBW10" s="74"/>
      <c r="IBX10" s="72"/>
      <c r="ICE10" s="74"/>
      <c r="ICF10" s="72"/>
      <c r="ICM10" s="74"/>
      <c r="ICN10" s="72"/>
      <c r="ICU10" s="74"/>
      <c r="ICV10" s="72"/>
      <c r="IDC10" s="74"/>
      <c r="IDD10" s="72"/>
      <c r="IDK10" s="74"/>
      <c r="IDL10" s="72"/>
      <c r="IDS10" s="74"/>
      <c r="IDT10" s="72"/>
      <c r="IEA10" s="74"/>
      <c r="IEB10" s="72"/>
      <c r="IEI10" s="74"/>
      <c r="IEJ10" s="72"/>
      <c r="IEQ10" s="74"/>
      <c r="IER10" s="72"/>
      <c r="IEY10" s="74"/>
      <c r="IEZ10" s="72"/>
      <c r="IFG10" s="74"/>
      <c r="IFH10" s="72"/>
      <c r="IFO10" s="74"/>
      <c r="IFP10" s="72"/>
      <c r="IFW10" s="74"/>
      <c r="IFX10" s="72"/>
      <c r="IGE10" s="74"/>
      <c r="IGF10" s="72"/>
      <c r="IGM10" s="74"/>
      <c r="IGN10" s="72"/>
      <c r="IGU10" s="74"/>
      <c r="IGV10" s="72"/>
      <c r="IHC10" s="74"/>
      <c r="IHD10" s="72"/>
      <c r="IHK10" s="74"/>
      <c r="IHL10" s="72"/>
      <c r="IHS10" s="74"/>
      <c r="IHT10" s="72"/>
      <c r="IIA10" s="74"/>
      <c r="IIB10" s="72"/>
      <c r="III10" s="74"/>
      <c r="IIJ10" s="72"/>
      <c r="IIQ10" s="74"/>
      <c r="IIR10" s="72"/>
      <c r="IIY10" s="74"/>
      <c r="IIZ10" s="72"/>
      <c r="IJG10" s="74"/>
      <c r="IJH10" s="72"/>
      <c r="IJO10" s="74"/>
      <c r="IJP10" s="72"/>
      <c r="IJW10" s="74"/>
      <c r="IJX10" s="72"/>
      <c r="IKE10" s="74"/>
      <c r="IKF10" s="72"/>
      <c r="IKM10" s="74"/>
      <c r="IKN10" s="72"/>
      <c r="IKU10" s="74"/>
      <c r="IKV10" s="72"/>
      <c r="ILC10" s="74"/>
      <c r="ILD10" s="72"/>
      <c r="ILK10" s="74"/>
      <c r="ILL10" s="72"/>
      <c r="ILS10" s="74"/>
      <c r="ILT10" s="72"/>
      <c r="IMA10" s="74"/>
      <c r="IMB10" s="72"/>
      <c r="IMI10" s="74"/>
      <c r="IMJ10" s="72"/>
      <c r="IMQ10" s="74"/>
      <c r="IMR10" s="72"/>
      <c r="IMY10" s="74"/>
      <c r="IMZ10" s="72"/>
      <c r="ING10" s="74"/>
      <c r="INH10" s="72"/>
      <c r="INO10" s="74"/>
      <c r="INP10" s="72"/>
      <c r="INW10" s="74"/>
      <c r="INX10" s="72"/>
      <c r="IOE10" s="74"/>
      <c r="IOF10" s="72"/>
      <c r="IOM10" s="74"/>
      <c r="ION10" s="72"/>
      <c r="IOU10" s="74"/>
      <c r="IOV10" s="72"/>
      <c r="IPC10" s="74"/>
      <c r="IPD10" s="72"/>
      <c r="IPK10" s="74"/>
      <c r="IPL10" s="72"/>
      <c r="IPS10" s="74"/>
      <c r="IPT10" s="72"/>
      <c r="IQA10" s="74"/>
      <c r="IQB10" s="72"/>
      <c r="IQI10" s="74"/>
      <c r="IQJ10" s="72"/>
      <c r="IQQ10" s="74"/>
      <c r="IQR10" s="72"/>
      <c r="IQY10" s="74"/>
      <c r="IQZ10" s="72"/>
      <c r="IRG10" s="74"/>
      <c r="IRH10" s="72"/>
      <c r="IRO10" s="74"/>
      <c r="IRP10" s="72"/>
      <c r="IRW10" s="74"/>
      <c r="IRX10" s="72"/>
      <c r="ISE10" s="74"/>
      <c r="ISF10" s="72"/>
      <c r="ISM10" s="74"/>
      <c r="ISN10" s="72"/>
      <c r="ISU10" s="74"/>
      <c r="ISV10" s="72"/>
      <c r="ITC10" s="74"/>
      <c r="ITD10" s="72"/>
      <c r="ITK10" s="74"/>
      <c r="ITL10" s="72"/>
      <c r="ITS10" s="74"/>
      <c r="ITT10" s="72"/>
      <c r="IUA10" s="74"/>
      <c r="IUB10" s="72"/>
      <c r="IUI10" s="74"/>
      <c r="IUJ10" s="72"/>
      <c r="IUQ10" s="74"/>
      <c r="IUR10" s="72"/>
      <c r="IUY10" s="74"/>
      <c r="IUZ10" s="72"/>
      <c r="IVG10" s="74"/>
      <c r="IVH10" s="72"/>
      <c r="IVO10" s="74"/>
      <c r="IVP10" s="72"/>
      <c r="IVW10" s="74"/>
      <c r="IVX10" s="72"/>
      <c r="IWE10" s="74"/>
      <c r="IWF10" s="72"/>
      <c r="IWM10" s="74"/>
      <c r="IWN10" s="72"/>
      <c r="IWU10" s="74"/>
      <c r="IWV10" s="72"/>
      <c r="IXC10" s="74"/>
      <c r="IXD10" s="72"/>
      <c r="IXK10" s="74"/>
      <c r="IXL10" s="72"/>
      <c r="IXS10" s="74"/>
      <c r="IXT10" s="72"/>
      <c r="IYA10" s="74"/>
      <c r="IYB10" s="72"/>
      <c r="IYI10" s="74"/>
      <c r="IYJ10" s="72"/>
      <c r="IYQ10" s="74"/>
      <c r="IYR10" s="72"/>
      <c r="IYY10" s="74"/>
      <c r="IYZ10" s="72"/>
      <c r="IZG10" s="74"/>
      <c r="IZH10" s="72"/>
      <c r="IZO10" s="74"/>
      <c r="IZP10" s="72"/>
      <c r="IZW10" s="74"/>
      <c r="IZX10" s="72"/>
      <c r="JAE10" s="74"/>
      <c r="JAF10" s="72"/>
      <c r="JAM10" s="74"/>
      <c r="JAN10" s="72"/>
      <c r="JAU10" s="74"/>
      <c r="JAV10" s="72"/>
      <c r="JBC10" s="74"/>
      <c r="JBD10" s="72"/>
      <c r="JBK10" s="74"/>
      <c r="JBL10" s="72"/>
      <c r="JBS10" s="74"/>
      <c r="JBT10" s="72"/>
      <c r="JCA10" s="74"/>
      <c r="JCB10" s="72"/>
      <c r="JCI10" s="74"/>
      <c r="JCJ10" s="72"/>
      <c r="JCQ10" s="74"/>
      <c r="JCR10" s="72"/>
      <c r="JCY10" s="74"/>
      <c r="JCZ10" s="72"/>
      <c r="JDG10" s="74"/>
      <c r="JDH10" s="72"/>
      <c r="JDO10" s="74"/>
      <c r="JDP10" s="72"/>
      <c r="JDW10" s="74"/>
      <c r="JDX10" s="72"/>
      <c r="JEE10" s="74"/>
      <c r="JEF10" s="72"/>
      <c r="JEM10" s="74"/>
      <c r="JEN10" s="72"/>
      <c r="JEU10" s="74"/>
      <c r="JEV10" s="72"/>
      <c r="JFC10" s="74"/>
      <c r="JFD10" s="72"/>
      <c r="JFK10" s="74"/>
      <c r="JFL10" s="72"/>
      <c r="JFS10" s="74"/>
      <c r="JFT10" s="72"/>
      <c r="JGA10" s="74"/>
      <c r="JGB10" s="72"/>
      <c r="JGI10" s="74"/>
      <c r="JGJ10" s="72"/>
      <c r="JGQ10" s="74"/>
      <c r="JGR10" s="72"/>
      <c r="JGY10" s="74"/>
      <c r="JGZ10" s="72"/>
      <c r="JHG10" s="74"/>
      <c r="JHH10" s="72"/>
      <c r="JHO10" s="74"/>
      <c r="JHP10" s="72"/>
      <c r="JHW10" s="74"/>
      <c r="JHX10" s="72"/>
      <c r="JIE10" s="74"/>
      <c r="JIF10" s="72"/>
      <c r="JIM10" s="74"/>
      <c r="JIN10" s="72"/>
      <c r="JIU10" s="74"/>
      <c r="JIV10" s="72"/>
      <c r="JJC10" s="74"/>
      <c r="JJD10" s="72"/>
      <c r="JJK10" s="74"/>
      <c r="JJL10" s="72"/>
      <c r="JJS10" s="74"/>
      <c r="JJT10" s="72"/>
      <c r="JKA10" s="74"/>
      <c r="JKB10" s="72"/>
      <c r="JKI10" s="74"/>
      <c r="JKJ10" s="72"/>
      <c r="JKQ10" s="74"/>
      <c r="JKR10" s="72"/>
      <c r="JKY10" s="74"/>
      <c r="JKZ10" s="72"/>
      <c r="JLG10" s="74"/>
      <c r="JLH10" s="72"/>
      <c r="JLO10" s="74"/>
      <c r="JLP10" s="72"/>
      <c r="JLW10" s="74"/>
      <c r="JLX10" s="72"/>
      <c r="JME10" s="74"/>
      <c r="JMF10" s="72"/>
      <c r="JMM10" s="74"/>
      <c r="JMN10" s="72"/>
      <c r="JMU10" s="74"/>
      <c r="JMV10" s="72"/>
      <c r="JNC10" s="74"/>
      <c r="JND10" s="72"/>
      <c r="JNK10" s="74"/>
      <c r="JNL10" s="72"/>
      <c r="JNS10" s="74"/>
      <c r="JNT10" s="72"/>
      <c r="JOA10" s="74"/>
      <c r="JOB10" s="72"/>
      <c r="JOI10" s="74"/>
      <c r="JOJ10" s="72"/>
      <c r="JOQ10" s="74"/>
      <c r="JOR10" s="72"/>
      <c r="JOY10" s="74"/>
      <c r="JOZ10" s="72"/>
      <c r="JPG10" s="74"/>
      <c r="JPH10" s="72"/>
      <c r="JPO10" s="74"/>
      <c r="JPP10" s="72"/>
      <c r="JPW10" s="74"/>
      <c r="JPX10" s="72"/>
      <c r="JQE10" s="74"/>
      <c r="JQF10" s="72"/>
      <c r="JQM10" s="74"/>
      <c r="JQN10" s="72"/>
      <c r="JQU10" s="74"/>
      <c r="JQV10" s="72"/>
      <c r="JRC10" s="74"/>
      <c r="JRD10" s="72"/>
      <c r="JRK10" s="74"/>
      <c r="JRL10" s="72"/>
      <c r="JRS10" s="74"/>
      <c r="JRT10" s="72"/>
      <c r="JSA10" s="74"/>
      <c r="JSB10" s="72"/>
      <c r="JSI10" s="74"/>
      <c r="JSJ10" s="72"/>
      <c r="JSQ10" s="74"/>
      <c r="JSR10" s="72"/>
      <c r="JSY10" s="74"/>
      <c r="JSZ10" s="72"/>
      <c r="JTG10" s="74"/>
      <c r="JTH10" s="72"/>
      <c r="JTO10" s="74"/>
      <c r="JTP10" s="72"/>
      <c r="JTW10" s="74"/>
      <c r="JTX10" s="72"/>
      <c r="JUE10" s="74"/>
      <c r="JUF10" s="72"/>
      <c r="JUM10" s="74"/>
      <c r="JUN10" s="72"/>
      <c r="JUU10" s="74"/>
      <c r="JUV10" s="72"/>
      <c r="JVC10" s="74"/>
      <c r="JVD10" s="72"/>
      <c r="JVK10" s="74"/>
      <c r="JVL10" s="72"/>
      <c r="JVS10" s="74"/>
      <c r="JVT10" s="72"/>
      <c r="JWA10" s="74"/>
      <c r="JWB10" s="72"/>
      <c r="JWI10" s="74"/>
      <c r="JWJ10" s="72"/>
      <c r="JWQ10" s="74"/>
      <c r="JWR10" s="72"/>
      <c r="JWY10" s="74"/>
      <c r="JWZ10" s="72"/>
      <c r="JXG10" s="74"/>
      <c r="JXH10" s="72"/>
      <c r="JXO10" s="74"/>
      <c r="JXP10" s="72"/>
      <c r="JXW10" s="74"/>
      <c r="JXX10" s="72"/>
      <c r="JYE10" s="74"/>
      <c r="JYF10" s="72"/>
      <c r="JYM10" s="74"/>
      <c r="JYN10" s="72"/>
      <c r="JYU10" s="74"/>
      <c r="JYV10" s="72"/>
      <c r="JZC10" s="74"/>
      <c r="JZD10" s="72"/>
      <c r="JZK10" s="74"/>
      <c r="JZL10" s="72"/>
      <c r="JZS10" s="74"/>
      <c r="JZT10" s="72"/>
      <c r="KAA10" s="74"/>
      <c r="KAB10" s="72"/>
      <c r="KAI10" s="74"/>
      <c r="KAJ10" s="72"/>
      <c r="KAQ10" s="74"/>
      <c r="KAR10" s="72"/>
      <c r="KAY10" s="74"/>
      <c r="KAZ10" s="72"/>
      <c r="KBG10" s="74"/>
      <c r="KBH10" s="72"/>
      <c r="KBO10" s="74"/>
      <c r="KBP10" s="72"/>
      <c r="KBW10" s="74"/>
      <c r="KBX10" s="72"/>
      <c r="KCE10" s="74"/>
      <c r="KCF10" s="72"/>
      <c r="KCM10" s="74"/>
      <c r="KCN10" s="72"/>
      <c r="KCU10" s="74"/>
      <c r="KCV10" s="72"/>
      <c r="KDC10" s="74"/>
      <c r="KDD10" s="72"/>
      <c r="KDK10" s="74"/>
      <c r="KDL10" s="72"/>
      <c r="KDS10" s="74"/>
      <c r="KDT10" s="72"/>
      <c r="KEA10" s="74"/>
      <c r="KEB10" s="72"/>
      <c r="KEI10" s="74"/>
      <c r="KEJ10" s="72"/>
      <c r="KEQ10" s="74"/>
      <c r="KER10" s="72"/>
      <c r="KEY10" s="74"/>
      <c r="KEZ10" s="72"/>
      <c r="KFG10" s="74"/>
      <c r="KFH10" s="72"/>
      <c r="KFO10" s="74"/>
      <c r="KFP10" s="72"/>
      <c r="KFW10" s="74"/>
      <c r="KFX10" s="72"/>
      <c r="KGE10" s="74"/>
      <c r="KGF10" s="72"/>
      <c r="KGM10" s="74"/>
      <c r="KGN10" s="72"/>
      <c r="KGU10" s="74"/>
      <c r="KGV10" s="72"/>
      <c r="KHC10" s="74"/>
      <c r="KHD10" s="72"/>
      <c r="KHK10" s="74"/>
      <c r="KHL10" s="72"/>
      <c r="KHS10" s="74"/>
      <c r="KHT10" s="72"/>
      <c r="KIA10" s="74"/>
      <c r="KIB10" s="72"/>
      <c r="KII10" s="74"/>
      <c r="KIJ10" s="72"/>
      <c r="KIQ10" s="74"/>
      <c r="KIR10" s="72"/>
      <c r="KIY10" s="74"/>
      <c r="KIZ10" s="72"/>
      <c r="KJG10" s="74"/>
      <c r="KJH10" s="72"/>
      <c r="KJO10" s="74"/>
      <c r="KJP10" s="72"/>
      <c r="KJW10" s="74"/>
      <c r="KJX10" s="72"/>
      <c r="KKE10" s="74"/>
      <c r="KKF10" s="72"/>
      <c r="KKM10" s="74"/>
      <c r="KKN10" s="72"/>
      <c r="KKU10" s="74"/>
      <c r="KKV10" s="72"/>
      <c r="KLC10" s="74"/>
      <c r="KLD10" s="72"/>
      <c r="KLK10" s="74"/>
      <c r="KLL10" s="72"/>
      <c r="KLS10" s="74"/>
      <c r="KLT10" s="72"/>
      <c r="KMA10" s="74"/>
      <c r="KMB10" s="72"/>
      <c r="KMI10" s="74"/>
      <c r="KMJ10" s="72"/>
      <c r="KMQ10" s="74"/>
      <c r="KMR10" s="72"/>
      <c r="KMY10" s="74"/>
      <c r="KMZ10" s="72"/>
      <c r="KNG10" s="74"/>
      <c r="KNH10" s="72"/>
      <c r="KNO10" s="74"/>
      <c r="KNP10" s="72"/>
      <c r="KNW10" s="74"/>
      <c r="KNX10" s="72"/>
      <c r="KOE10" s="74"/>
      <c r="KOF10" s="72"/>
      <c r="KOM10" s="74"/>
      <c r="KON10" s="72"/>
      <c r="KOU10" s="74"/>
      <c r="KOV10" s="72"/>
      <c r="KPC10" s="74"/>
      <c r="KPD10" s="72"/>
      <c r="KPK10" s="74"/>
      <c r="KPL10" s="72"/>
      <c r="KPS10" s="74"/>
      <c r="KPT10" s="72"/>
      <c r="KQA10" s="74"/>
      <c r="KQB10" s="72"/>
      <c r="KQI10" s="74"/>
      <c r="KQJ10" s="72"/>
      <c r="KQQ10" s="74"/>
      <c r="KQR10" s="72"/>
      <c r="KQY10" s="74"/>
      <c r="KQZ10" s="72"/>
      <c r="KRG10" s="74"/>
      <c r="KRH10" s="72"/>
      <c r="KRO10" s="74"/>
      <c r="KRP10" s="72"/>
      <c r="KRW10" s="74"/>
      <c r="KRX10" s="72"/>
      <c r="KSE10" s="74"/>
      <c r="KSF10" s="72"/>
      <c r="KSM10" s="74"/>
      <c r="KSN10" s="72"/>
      <c r="KSU10" s="74"/>
      <c r="KSV10" s="72"/>
      <c r="KTC10" s="74"/>
      <c r="KTD10" s="72"/>
      <c r="KTK10" s="74"/>
      <c r="KTL10" s="72"/>
      <c r="KTS10" s="74"/>
      <c r="KTT10" s="72"/>
      <c r="KUA10" s="74"/>
      <c r="KUB10" s="72"/>
      <c r="KUI10" s="74"/>
      <c r="KUJ10" s="72"/>
      <c r="KUQ10" s="74"/>
      <c r="KUR10" s="72"/>
      <c r="KUY10" s="74"/>
      <c r="KUZ10" s="72"/>
      <c r="KVG10" s="74"/>
      <c r="KVH10" s="72"/>
      <c r="KVO10" s="74"/>
      <c r="KVP10" s="72"/>
      <c r="KVW10" s="74"/>
      <c r="KVX10" s="72"/>
      <c r="KWE10" s="74"/>
      <c r="KWF10" s="72"/>
      <c r="KWM10" s="74"/>
      <c r="KWN10" s="72"/>
      <c r="KWU10" s="74"/>
      <c r="KWV10" s="72"/>
      <c r="KXC10" s="74"/>
      <c r="KXD10" s="72"/>
      <c r="KXK10" s="74"/>
      <c r="KXL10" s="72"/>
      <c r="KXS10" s="74"/>
      <c r="KXT10" s="72"/>
      <c r="KYA10" s="74"/>
      <c r="KYB10" s="72"/>
      <c r="KYI10" s="74"/>
      <c r="KYJ10" s="72"/>
      <c r="KYQ10" s="74"/>
      <c r="KYR10" s="72"/>
      <c r="KYY10" s="74"/>
      <c r="KYZ10" s="72"/>
      <c r="KZG10" s="74"/>
      <c r="KZH10" s="72"/>
      <c r="KZO10" s="74"/>
      <c r="KZP10" s="72"/>
      <c r="KZW10" s="74"/>
      <c r="KZX10" s="72"/>
      <c r="LAE10" s="74"/>
      <c r="LAF10" s="72"/>
      <c r="LAM10" s="74"/>
      <c r="LAN10" s="72"/>
      <c r="LAU10" s="74"/>
      <c r="LAV10" s="72"/>
      <c r="LBC10" s="74"/>
      <c r="LBD10" s="72"/>
      <c r="LBK10" s="74"/>
      <c r="LBL10" s="72"/>
      <c r="LBS10" s="74"/>
      <c r="LBT10" s="72"/>
      <c r="LCA10" s="74"/>
      <c r="LCB10" s="72"/>
      <c r="LCI10" s="74"/>
      <c r="LCJ10" s="72"/>
      <c r="LCQ10" s="74"/>
      <c r="LCR10" s="72"/>
      <c r="LCY10" s="74"/>
      <c r="LCZ10" s="72"/>
      <c r="LDG10" s="74"/>
      <c r="LDH10" s="72"/>
      <c r="LDO10" s="74"/>
      <c r="LDP10" s="72"/>
      <c r="LDW10" s="74"/>
      <c r="LDX10" s="72"/>
      <c r="LEE10" s="74"/>
      <c r="LEF10" s="72"/>
      <c r="LEM10" s="74"/>
      <c r="LEN10" s="72"/>
      <c r="LEU10" s="74"/>
      <c r="LEV10" s="72"/>
      <c r="LFC10" s="74"/>
      <c r="LFD10" s="72"/>
      <c r="LFK10" s="74"/>
      <c r="LFL10" s="72"/>
      <c r="LFS10" s="74"/>
      <c r="LFT10" s="72"/>
      <c r="LGA10" s="74"/>
      <c r="LGB10" s="72"/>
      <c r="LGI10" s="74"/>
      <c r="LGJ10" s="72"/>
      <c r="LGQ10" s="74"/>
      <c r="LGR10" s="72"/>
      <c r="LGY10" s="74"/>
      <c r="LGZ10" s="72"/>
      <c r="LHG10" s="74"/>
      <c r="LHH10" s="72"/>
      <c r="LHO10" s="74"/>
      <c r="LHP10" s="72"/>
      <c r="LHW10" s="74"/>
      <c r="LHX10" s="72"/>
      <c r="LIE10" s="74"/>
      <c r="LIF10" s="72"/>
      <c r="LIM10" s="74"/>
      <c r="LIN10" s="72"/>
      <c r="LIU10" s="74"/>
      <c r="LIV10" s="72"/>
      <c r="LJC10" s="74"/>
      <c r="LJD10" s="72"/>
      <c r="LJK10" s="74"/>
      <c r="LJL10" s="72"/>
      <c r="LJS10" s="74"/>
      <c r="LJT10" s="72"/>
      <c r="LKA10" s="74"/>
      <c r="LKB10" s="72"/>
      <c r="LKI10" s="74"/>
      <c r="LKJ10" s="72"/>
      <c r="LKQ10" s="74"/>
      <c r="LKR10" s="72"/>
      <c r="LKY10" s="74"/>
      <c r="LKZ10" s="72"/>
      <c r="LLG10" s="74"/>
      <c r="LLH10" s="72"/>
      <c r="LLO10" s="74"/>
      <c r="LLP10" s="72"/>
      <c r="LLW10" s="74"/>
      <c r="LLX10" s="72"/>
      <c r="LME10" s="74"/>
      <c r="LMF10" s="72"/>
      <c r="LMM10" s="74"/>
      <c r="LMN10" s="72"/>
      <c r="LMU10" s="74"/>
      <c r="LMV10" s="72"/>
      <c r="LNC10" s="74"/>
      <c r="LND10" s="72"/>
      <c r="LNK10" s="74"/>
      <c r="LNL10" s="72"/>
      <c r="LNS10" s="74"/>
      <c r="LNT10" s="72"/>
      <c r="LOA10" s="74"/>
      <c r="LOB10" s="72"/>
      <c r="LOI10" s="74"/>
      <c r="LOJ10" s="72"/>
      <c r="LOQ10" s="74"/>
      <c r="LOR10" s="72"/>
      <c r="LOY10" s="74"/>
      <c r="LOZ10" s="72"/>
      <c r="LPG10" s="74"/>
      <c r="LPH10" s="72"/>
      <c r="LPO10" s="74"/>
      <c r="LPP10" s="72"/>
      <c r="LPW10" s="74"/>
      <c r="LPX10" s="72"/>
      <c r="LQE10" s="74"/>
      <c r="LQF10" s="72"/>
      <c r="LQM10" s="74"/>
      <c r="LQN10" s="72"/>
      <c r="LQU10" s="74"/>
      <c r="LQV10" s="72"/>
      <c r="LRC10" s="74"/>
      <c r="LRD10" s="72"/>
      <c r="LRK10" s="74"/>
      <c r="LRL10" s="72"/>
      <c r="LRS10" s="74"/>
      <c r="LRT10" s="72"/>
      <c r="LSA10" s="74"/>
      <c r="LSB10" s="72"/>
      <c r="LSI10" s="74"/>
      <c r="LSJ10" s="72"/>
      <c r="LSQ10" s="74"/>
      <c r="LSR10" s="72"/>
      <c r="LSY10" s="74"/>
      <c r="LSZ10" s="72"/>
      <c r="LTG10" s="74"/>
      <c r="LTH10" s="72"/>
      <c r="LTO10" s="74"/>
      <c r="LTP10" s="72"/>
      <c r="LTW10" s="74"/>
      <c r="LTX10" s="72"/>
      <c r="LUE10" s="74"/>
      <c r="LUF10" s="72"/>
      <c r="LUM10" s="74"/>
      <c r="LUN10" s="72"/>
      <c r="LUU10" s="74"/>
      <c r="LUV10" s="72"/>
      <c r="LVC10" s="74"/>
      <c r="LVD10" s="72"/>
      <c r="LVK10" s="74"/>
      <c r="LVL10" s="72"/>
      <c r="LVS10" s="74"/>
      <c r="LVT10" s="72"/>
      <c r="LWA10" s="74"/>
      <c r="LWB10" s="72"/>
      <c r="LWI10" s="74"/>
      <c r="LWJ10" s="72"/>
      <c r="LWQ10" s="74"/>
      <c r="LWR10" s="72"/>
      <c r="LWY10" s="74"/>
      <c r="LWZ10" s="72"/>
      <c r="LXG10" s="74"/>
      <c r="LXH10" s="72"/>
      <c r="LXO10" s="74"/>
      <c r="LXP10" s="72"/>
      <c r="LXW10" s="74"/>
      <c r="LXX10" s="72"/>
      <c r="LYE10" s="74"/>
      <c r="LYF10" s="72"/>
      <c r="LYM10" s="74"/>
      <c r="LYN10" s="72"/>
      <c r="LYU10" s="74"/>
      <c r="LYV10" s="72"/>
      <c r="LZC10" s="74"/>
      <c r="LZD10" s="72"/>
      <c r="LZK10" s="74"/>
      <c r="LZL10" s="72"/>
      <c r="LZS10" s="74"/>
      <c r="LZT10" s="72"/>
      <c r="MAA10" s="74"/>
      <c r="MAB10" s="72"/>
      <c r="MAI10" s="74"/>
      <c r="MAJ10" s="72"/>
      <c r="MAQ10" s="74"/>
      <c r="MAR10" s="72"/>
      <c r="MAY10" s="74"/>
      <c r="MAZ10" s="72"/>
      <c r="MBG10" s="74"/>
      <c r="MBH10" s="72"/>
      <c r="MBO10" s="74"/>
      <c r="MBP10" s="72"/>
      <c r="MBW10" s="74"/>
      <c r="MBX10" s="72"/>
      <c r="MCE10" s="74"/>
      <c r="MCF10" s="72"/>
      <c r="MCM10" s="74"/>
      <c r="MCN10" s="72"/>
      <c r="MCU10" s="74"/>
      <c r="MCV10" s="72"/>
      <c r="MDC10" s="74"/>
      <c r="MDD10" s="72"/>
      <c r="MDK10" s="74"/>
      <c r="MDL10" s="72"/>
      <c r="MDS10" s="74"/>
      <c r="MDT10" s="72"/>
      <c r="MEA10" s="74"/>
      <c r="MEB10" s="72"/>
      <c r="MEI10" s="74"/>
      <c r="MEJ10" s="72"/>
      <c r="MEQ10" s="74"/>
      <c r="MER10" s="72"/>
      <c r="MEY10" s="74"/>
      <c r="MEZ10" s="72"/>
      <c r="MFG10" s="74"/>
      <c r="MFH10" s="72"/>
      <c r="MFO10" s="74"/>
      <c r="MFP10" s="72"/>
      <c r="MFW10" s="74"/>
      <c r="MFX10" s="72"/>
      <c r="MGE10" s="74"/>
      <c r="MGF10" s="72"/>
      <c r="MGM10" s="74"/>
      <c r="MGN10" s="72"/>
      <c r="MGU10" s="74"/>
      <c r="MGV10" s="72"/>
      <c r="MHC10" s="74"/>
      <c r="MHD10" s="72"/>
      <c r="MHK10" s="74"/>
      <c r="MHL10" s="72"/>
      <c r="MHS10" s="74"/>
      <c r="MHT10" s="72"/>
      <c r="MIA10" s="74"/>
      <c r="MIB10" s="72"/>
      <c r="MII10" s="74"/>
      <c r="MIJ10" s="72"/>
      <c r="MIQ10" s="74"/>
      <c r="MIR10" s="72"/>
      <c r="MIY10" s="74"/>
      <c r="MIZ10" s="72"/>
      <c r="MJG10" s="74"/>
      <c r="MJH10" s="72"/>
      <c r="MJO10" s="74"/>
      <c r="MJP10" s="72"/>
      <c r="MJW10" s="74"/>
      <c r="MJX10" s="72"/>
      <c r="MKE10" s="74"/>
      <c r="MKF10" s="72"/>
      <c r="MKM10" s="74"/>
      <c r="MKN10" s="72"/>
      <c r="MKU10" s="74"/>
      <c r="MKV10" s="72"/>
      <c r="MLC10" s="74"/>
      <c r="MLD10" s="72"/>
      <c r="MLK10" s="74"/>
      <c r="MLL10" s="72"/>
      <c r="MLS10" s="74"/>
      <c r="MLT10" s="72"/>
      <c r="MMA10" s="74"/>
      <c r="MMB10" s="72"/>
      <c r="MMI10" s="74"/>
      <c r="MMJ10" s="72"/>
      <c r="MMQ10" s="74"/>
      <c r="MMR10" s="72"/>
      <c r="MMY10" s="74"/>
      <c r="MMZ10" s="72"/>
      <c r="MNG10" s="74"/>
      <c r="MNH10" s="72"/>
      <c r="MNO10" s="74"/>
      <c r="MNP10" s="72"/>
      <c r="MNW10" s="74"/>
      <c r="MNX10" s="72"/>
      <c r="MOE10" s="74"/>
      <c r="MOF10" s="72"/>
      <c r="MOM10" s="74"/>
      <c r="MON10" s="72"/>
      <c r="MOU10" s="74"/>
      <c r="MOV10" s="72"/>
      <c r="MPC10" s="74"/>
      <c r="MPD10" s="72"/>
      <c r="MPK10" s="74"/>
      <c r="MPL10" s="72"/>
      <c r="MPS10" s="74"/>
      <c r="MPT10" s="72"/>
      <c r="MQA10" s="74"/>
      <c r="MQB10" s="72"/>
      <c r="MQI10" s="74"/>
      <c r="MQJ10" s="72"/>
      <c r="MQQ10" s="74"/>
      <c r="MQR10" s="72"/>
      <c r="MQY10" s="74"/>
      <c r="MQZ10" s="72"/>
      <c r="MRG10" s="74"/>
      <c r="MRH10" s="72"/>
      <c r="MRO10" s="74"/>
      <c r="MRP10" s="72"/>
      <c r="MRW10" s="74"/>
      <c r="MRX10" s="72"/>
      <c r="MSE10" s="74"/>
      <c r="MSF10" s="72"/>
      <c r="MSM10" s="74"/>
      <c r="MSN10" s="72"/>
      <c r="MSU10" s="74"/>
      <c r="MSV10" s="72"/>
      <c r="MTC10" s="74"/>
      <c r="MTD10" s="72"/>
      <c r="MTK10" s="74"/>
      <c r="MTL10" s="72"/>
      <c r="MTS10" s="74"/>
      <c r="MTT10" s="72"/>
      <c r="MUA10" s="74"/>
      <c r="MUB10" s="72"/>
      <c r="MUI10" s="74"/>
      <c r="MUJ10" s="72"/>
      <c r="MUQ10" s="74"/>
      <c r="MUR10" s="72"/>
      <c r="MUY10" s="74"/>
      <c r="MUZ10" s="72"/>
      <c r="MVG10" s="74"/>
      <c r="MVH10" s="72"/>
      <c r="MVO10" s="74"/>
      <c r="MVP10" s="72"/>
      <c r="MVW10" s="74"/>
      <c r="MVX10" s="72"/>
      <c r="MWE10" s="74"/>
      <c r="MWF10" s="72"/>
      <c r="MWM10" s="74"/>
      <c r="MWN10" s="72"/>
      <c r="MWU10" s="74"/>
      <c r="MWV10" s="72"/>
      <c r="MXC10" s="74"/>
      <c r="MXD10" s="72"/>
      <c r="MXK10" s="74"/>
      <c r="MXL10" s="72"/>
      <c r="MXS10" s="74"/>
      <c r="MXT10" s="72"/>
      <c r="MYA10" s="74"/>
      <c r="MYB10" s="72"/>
      <c r="MYI10" s="74"/>
      <c r="MYJ10" s="72"/>
      <c r="MYQ10" s="74"/>
      <c r="MYR10" s="72"/>
      <c r="MYY10" s="74"/>
      <c r="MYZ10" s="72"/>
      <c r="MZG10" s="74"/>
      <c r="MZH10" s="72"/>
      <c r="MZO10" s="74"/>
      <c r="MZP10" s="72"/>
      <c r="MZW10" s="74"/>
      <c r="MZX10" s="72"/>
      <c r="NAE10" s="74"/>
      <c r="NAF10" s="72"/>
      <c r="NAM10" s="74"/>
      <c r="NAN10" s="72"/>
      <c r="NAU10" s="74"/>
      <c r="NAV10" s="72"/>
      <c r="NBC10" s="74"/>
      <c r="NBD10" s="72"/>
      <c r="NBK10" s="74"/>
      <c r="NBL10" s="72"/>
      <c r="NBS10" s="74"/>
      <c r="NBT10" s="72"/>
      <c r="NCA10" s="74"/>
      <c r="NCB10" s="72"/>
      <c r="NCI10" s="74"/>
      <c r="NCJ10" s="72"/>
      <c r="NCQ10" s="74"/>
      <c r="NCR10" s="72"/>
      <c r="NCY10" s="74"/>
      <c r="NCZ10" s="72"/>
      <c r="NDG10" s="74"/>
      <c r="NDH10" s="72"/>
      <c r="NDO10" s="74"/>
      <c r="NDP10" s="72"/>
      <c r="NDW10" s="74"/>
      <c r="NDX10" s="72"/>
      <c r="NEE10" s="74"/>
      <c r="NEF10" s="72"/>
      <c r="NEM10" s="74"/>
      <c r="NEN10" s="72"/>
      <c r="NEU10" s="74"/>
      <c r="NEV10" s="72"/>
      <c r="NFC10" s="74"/>
      <c r="NFD10" s="72"/>
      <c r="NFK10" s="74"/>
      <c r="NFL10" s="72"/>
      <c r="NFS10" s="74"/>
      <c r="NFT10" s="72"/>
      <c r="NGA10" s="74"/>
      <c r="NGB10" s="72"/>
      <c r="NGI10" s="74"/>
      <c r="NGJ10" s="72"/>
      <c r="NGQ10" s="74"/>
      <c r="NGR10" s="72"/>
      <c r="NGY10" s="74"/>
      <c r="NGZ10" s="72"/>
      <c r="NHG10" s="74"/>
      <c r="NHH10" s="72"/>
      <c r="NHO10" s="74"/>
      <c r="NHP10" s="72"/>
      <c r="NHW10" s="74"/>
      <c r="NHX10" s="72"/>
      <c r="NIE10" s="74"/>
      <c r="NIF10" s="72"/>
      <c r="NIM10" s="74"/>
      <c r="NIN10" s="72"/>
      <c r="NIU10" s="74"/>
      <c r="NIV10" s="72"/>
      <c r="NJC10" s="74"/>
      <c r="NJD10" s="72"/>
      <c r="NJK10" s="74"/>
      <c r="NJL10" s="72"/>
      <c r="NJS10" s="74"/>
      <c r="NJT10" s="72"/>
      <c r="NKA10" s="74"/>
      <c r="NKB10" s="72"/>
      <c r="NKI10" s="74"/>
      <c r="NKJ10" s="72"/>
      <c r="NKQ10" s="74"/>
      <c r="NKR10" s="72"/>
      <c r="NKY10" s="74"/>
      <c r="NKZ10" s="72"/>
      <c r="NLG10" s="74"/>
      <c r="NLH10" s="72"/>
      <c r="NLO10" s="74"/>
      <c r="NLP10" s="72"/>
      <c r="NLW10" s="74"/>
      <c r="NLX10" s="72"/>
      <c r="NME10" s="74"/>
      <c r="NMF10" s="72"/>
      <c r="NMM10" s="74"/>
      <c r="NMN10" s="72"/>
      <c r="NMU10" s="74"/>
      <c r="NMV10" s="72"/>
      <c r="NNC10" s="74"/>
      <c r="NND10" s="72"/>
      <c r="NNK10" s="74"/>
      <c r="NNL10" s="72"/>
      <c r="NNS10" s="74"/>
      <c r="NNT10" s="72"/>
      <c r="NOA10" s="74"/>
      <c r="NOB10" s="72"/>
      <c r="NOI10" s="74"/>
      <c r="NOJ10" s="72"/>
      <c r="NOQ10" s="74"/>
      <c r="NOR10" s="72"/>
      <c r="NOY10" s="74"/>
      <c r="NOZ10" s="72"/>
      <c r="NPG10" s="74"/>
      <c r="NPH10" s="72"/>
      <c r="NPO10" s="74"/>
      <c r="NPP10" s="72"/>
      <c r="NPW10" s="74"/>
      <c r="NPX10" s="72"/>
      <c r="NQE10" s="74"/>
      <c r="NQF10" s="72"/>
      <c r="NQM10" s="74"/>
      <c r="NQN10" s="72"/>
      <c r="NQU10" s="74"/>
      <c r="NQV10" s="72"/>
      <c r="NRC10" s="74"/>
      <c r="NRD10" s="72"/>
      <c r="NRK10" s="74"/>
      <c r="NRL10" s="72"/>
      <c r="NRS10" s="74"/>
      <c r="NRT10" s="72"/>
      <c r="NSA10" s="74"/>
      <c r="NSB10" s="72"/>
      <c r="NSI10" s="74"/>
      <c r="NSJ10" s="72"/>
      <c r="NSQ10" s="74"/>
      <c r="NSR10" s="72"/>
      <c r="NSY10" s="74"/>
      <c r="NSZ10" s="72"/>
      <c r="NTG10" s="74"/>
      <c r="NTH10" s="72"/>
      <c r="NTO10" s="74"/>
      <c r="NTP10" s="72"/>
      <c r="NTW10" s="74"/>
      <c r="NTX10" s="72"/>
      <c r="NUE10" s="74"/>
      <c r="NUF10" s="72"/>
      <c r="NUM10" s="74"/>
      <c r="NUN10" s="72"/>
      <c r="NUU10" s="74"/>
      <c r="NUV10" s="72"/>
      <c r="NVC10" s="74"/>
      <c r="NVD10" s="72"/>
      <c r="NVK10" s="74"/>
      <c r="NVL10" s="72"/>
      <c r="NVS10" s="74"/>
      <c r="NVT10" s="72"/>
      <c r="NWA10" s="74"/>
      <c r="NWB10" s="72"/>
      <c r="NWI10" s="74"/>
      <c r="NWJ10" s="72"/>
      <c r="NWQ10" s="74"/>
      <c r="NWR10" s="72"/>
      <c r="NWY10" s="74"/>
      <c r="NWZ10" s="72"/>
      <c r="NXG10" s="74"/>
      <c r="NXH10" s="72"/>
      <c r="NXO10" s="74"/>
      <c r="NXP10" s="72"/>
      <c r="NXW10" s="74"/>
      <c r="NXX10" s="72"/>
      <c r="NYE10" s="74"/>
      <c r="NYF10" s="72"/>
      <c r="NYM10" s="74"/>
      <c r="NYN10" s="72"/>
      <c r="NYU10" s="74"/>
      <c r="NYV10" s="72"/>
      <c r="NZC10" s="74"/>
      <c r="NZD10" s="72"/>
      <c r="NZK10" s="74"/>
      <c r="NZL10" s="72"/>
      <c r="NZS10" s="74"/>
      <c r="NZT10" s="72"/>
      <c r="OAA10" s="74"/>
      <c r="OAB10" s="72"/>
      <c r="OAI10" s="74"/>
      <c r="OAJ10" s="72"/>
      <c r="OAQ10" s="74"/>
      <c r="OAR10" s="72"/>
      <c r="OAY10" s="74"/>
      <c r="OAZ10" s="72"/>
      <c r="OBG10" s="74"/>
      <c r="OBH10" s="72"/>
      <c r="OBO10" s="74"/>
      <c r="OBP10" s="72"/>
      <c r="OBW10" s="74"/>
      <c r="OBX10" s="72"/>
      <c r="OCE10" s="74"/>
      <c r="OCF10" s="72"/>
      <c r="OCM10" s="74"/>
      <c r="OCN10" s="72"/>
      <c r="OCU10" s="74"/>
      <c r="OCV10" s="72"/>
      <c r="ODC10" s="74"/>
      <c r="ODD10" s="72"/>
      <c r="ODK10" s="74"/>
      <c r="ODL10" s="72"/>
      <c r="ODS10" s="74"/>
      <c r="ODT10" s="72"/>
      <c r="OEA10" s="74"/>
      <c r="OEB10" s="72"/>
      <c r="OEI10" s="74"/>
      <c r="OEJ10" s="72"/>
      <c r="OEQ10" s="74"/>
      <c r="OER10" s="72"/>
      <c r="OEY10" s="74"/>
      <c r="OEZ10" s="72"/>
      <c r="OFG10" s="74"/>
      <c r="OFH10" s="72"/>
      <c r="OFO10" s="74"/>
      <c r="OFP10" s="72"/>
      <c r="OFW10" s="74"/>
      <c r="OFX10" s="72"/>
      <c r="OGE10" s="74"/>
      <c r="OGF10" s="72"/>
      <c r="OGM10" s="74"/>
      <c r="OGN10" s="72"/>
      <c r="OGU10" s="74"/>
      <c r="OGV10" s="72"/>
      <c r="OHC10" s="74"/>
      <c r="OHD10" s="72"/>
      <c r="OHK10" s="74"/>
      <c r="OHL10" s="72"/>
      <c r="OHS10" s="74"/>
      <c r="OHT10" s="72"/>
      <c r="OIA10" s="74"/>
      <c r="OIB10" s="72"/>
      <c r="OII10" s="74"/>
      <c r="OIJ10" s="72"/>
      <c r="OIQ10" s="74"/>
      <c r="OIR10" s="72"/>
      <c r="OIY10" s="74"/>
      <c r="OIZ10" s="72"/>
      <c r="OJG10" s="74"/>
      <c r="OJH10" s="72"/>
      <c r="OJO10" s="74"/>
      <c r="OJP10" s="72"/>
      <c r="OJW10" s="74"/>
      <c r="OJX10" s="72"/>
      <c r="OKE10" s="74"/>
      <c r="OKF10" s="72"/>
      <c r="OKM10" s="74"/>
      <c r="OKN10" s="72"/>
      <c r="OKU10" s="74"/>
      <c r="OKV10" s="72"/>
      <c r="OLC10" s="74"/>
      <c r="OLD10" s="72"/>
      <c r="OLK10" s="74"/>
      <c r="OLL10" s="72"/>
      <c r="OLS10" s="74"/>
      <c r="OLT10" s="72"/>
      <c r="OMA10" s="74"/>
      <c r="OMB10" s="72"/>
      <c r="OMI10" s="74"/>
      <c r="OMJ10" s="72"/>
      <c r="OMQ10" s="74"/>
      <c r="OMR10" s="72"/>
      <c r="OMY10" s="74"/>
      <c r="OMZ10" s="72"/>
      <c r="ONG10" s="74"/>
      <c r="ONH10" s="72"/>
      <c r="ONO10" s="74"/>
      <c r="ONP10" s="72"/>
      <c r="ONW10" s="74"/>
      <c r="ONX10" s="72"/>
      <c r="OOE10" s="74"/>
      <c r="OOF10" s="72"/>
      <c r="OOM10" s="74"/>
      <c r="OON10" s="72"/>
      <c r="OOU10" s="74"/>
      <c r="OOV10" s="72"/>
      <c r="OPC10" s="74"/>
      <c r="OPD10" s="72"/>
      <c r="OPK10" s="74"/>
      <c r="OPL10" s="72"/>
      <c r="OPS10" s="74"/>
      <c r="OPT10" s="72"/>
      <c r="OQA10" s="74"/>
      <c r="OQB10" s="72"/>
      <c r="OQI10" s="74"/>
      <c r="OQJ10" s="72"/>
      <c r="OQQ10" s="74"/>
      <c r="OQR10" s="72"/>
      <c r="OQY10" s="74"/>
      <c r="OQZ10" s="72"/>
      <c r="ORG10" s="74"/>
      <c r="ORH10" s="72"/>
      <c r="ORO10" s="74"/>
      <c r="ORP10" s="72"/>
      <c r="ORW10" s="74"/>
      <c r="ORX10" s="72"/>
      <c r="OSE10" s="74"/>
      <c r="OSF10" s="72"/>
      <c r="OSM10" s="74"/>
      <c r="OSN10" s="72"/>
      <c r="OSU10" s="74"/>
      <c r="OSV10" s="72"/>
      <c r="OTC10" s="74"/>
      <c r="OTD10" s="72"/>
      <c r="OTK10" s="74"/>
      <c r="OTL10" s="72"/>
      <c r="OTS10" s="74"/>
      <c r="OTT10" s="72"/>
      <c r="OUA10" s="74"/>
      <c r="OUB10" s="72"/>
      <c r="OUI10" s="74"/>
      <c r="OUJ10" s="72"/>
      <c r="OUQ10" s="74"/>
      <c r="OUR10" s="72"/>
      <c r="OUY10" s="74"/>
      <c r="OUZ10" s="72"/>
      <c r="OVG10" s="74"/>
      <c r="OVH10" s="72"/>
      <c r="OVO10" s="74"/>
      <c r="OVP10" s="72"/>
      <c r="OVW10" s="74"/>
      <c r="OVX10" s="72"/>
      <c r="OWE10" s="74"/>
      <c r="OWF10" s="72"/>
      <c r="OWM10" s="74"/>
      <c r="OWN10" s="72"/>
      <c r="OWU10" s="74"/>
      <c r="OWV10" s="72"/>
      <c r="OXC10" s="74"/>
      <c r="OXD10" s="72"/>
      <c r="OXK10" s="74"/>
      <c r="OXL10" s="72"/>
      <c r="OXS10" s="74"/>
      <c r="OXT10" s="72"/>
      <c r="OYA10" s="74"/>
      <c r="OYB10" s="72"/>
      <c r="OYI10" s="74"/>
      <c r="OYJ10" s="72"/>
      <c r="OYQ10" s="74"/>
      <c r="OYR10" s="72"/>
      <c r="OYY10" s="74"/>
      <c r="OYZ10" s="72"/>
      <c r="OZG10" s="74"/>
      <c r="OZH10" s="72"/>
      <c r="OZO10" s="74"/>
      <c r="OZP10" s="72"/>
      <c r="OZW10" s="74"/>
      <c r="OZX10" s="72"/>
      <c r="PAE10" s="74"/>
      <c r="PAF10" s="72"/>
      <c r="PAM10" s="74"/>
      <c r="PAN10" s="72"/>
      <c r="PAU10" s="74"/>
      <c r="PAV10" s="72"/>
      <c r="PBC10" s="74"/>
      <c r="PBD10" s="72"/>
      <c r="PBK10" s="74"/>
      <c r="PBL10" s="72"/>
      <c r="PBS10" s="74"/>
      <c r="PBT10" s="72"/>
      <c r="PCA10" s="74"/>
      <c r="PCB10" s="72"/>
      <c r="PCI10" s="74"/>
      <c r="PCJ10" s="72"/>
      <c r="PCQ10" s="74"/>
      <c r="PCR10" s="72"/>
      <c r="PCY10" s="74"/>
      <c r="PCZ10" s="72"/>
      <c r="PDG10" s="74"/>
      <c r="PDH10" s="72"/>
      <c r="PDO10" s="74"/>
      <c r="PDP10" s="72"/>
      <c r="PDW10" s="74"/>
      <c r="PDX10" s="72"/>
      <c r="PEE10" s="74"/>
      <c r="PEF10" s="72"/>
      <c r="PEM10" s="74"/>
      <c r="PEN10" s="72"/>
      <c r="PEU10" s="74"/>
      <c r="PEV10" s="72"/>
      <c r="PFC10" s="74"/>
      <c r="PFD10" s="72"/>
      <c r="PFK10" s="74"/>
      <c r="PFL10" s="72"/>
      <c r="PFS10" s="74"/>
      <c r="PFT10" s="72"/>
      <c r="PGA10" s="74"/>
      <c r="PGB10" s="72"/>
      <c r="PGI10" s="74"/>
      <c r="PGJ10" s="72"/>
      <c r="PGQ10" s="74"/>
      <c r="PGR10" s="72"/>
      <c r="PGY10" s="74"/>
      <c r="PGZ10" s="72"/>
      <c r="PHG10" s="74"/>
      <c r="PHH10" s="72"/>
      <c r="PHO10" s="74"/>
      <c r="PHP10" s="72"/>
      <c r="PHW10" s="74"/>
      <c r="PHX10" s="72"/>
      <c r="PIE10" s="74"/>
      <c r="PIF10" s="72"/>
      <c r="PIM10" s="74"/>
      <c r="PIN10" s="72"/>
      <c r="PIU10" s="74"/>
      <c r="PIV10" s="72"/>
      <c r="PJC10" s="74"/>
      <c r="PJD10" s="72"/>
      <c r="PJK10" s="74"/>
      <c r="PJL10" s="72"/>
      <c r="PJS10" s="74"/>
      <c r="PJT10" s="72"/>
      <c r="PKA10" s="74"/>
      <c r="PKB10" s="72"/>
      <c r="PKI10" s="74"/>
      <c r="PKJ10" s="72"/>
      <c r="PKQ10" s="74"/>
      <c r="PKR10" s="72"/>
      <c r="PKY10" s="74"/>
      <c r="PKZ10" s="72"/>
      <c r="PLG10" s="74"/>
      <c r="PLH10" s="72"/>
      <c r="PLO10" s="74"/>
      <c r="PLP10" s="72"/>
      <c r="PLW10" s="74"/>
      <c r="PLX10" s="72"/>
      <c r="PME10" s="74"/>
      <c r="PMF10" s="72"/>
      <c r="PMM10" s="74"/>
      <c r="PMN10" s="72"/>
      <c r="PMU10" s="74"/>
      <c r="PMV10" s="72"/>
      <c r="PNC10" s="74"/>
      <c r="PND10" s="72"/>
      <c r="PNK10" s="74"/>
      <c r="PNL10" s="72"/>
      <c r="PNS10" s="74"/>
      <c r="PNT10" s="72"/>
      <c r="POA10" s="74"/>
      <c r="POB10" s="72"/>
      <c r="POI10" s="74"/>
      <c r="POJ10" s="72"/>
      <c r="POQ10" s="74"/>
      <c r="POR10" s="72"/>
      <c r="POY10" s="74"/>
      <c r="POZ10" s="72"/>
      <c r="PPG10" s="74"/>
      <c r="PPH10" s="72"/>
      <c r="PPO10" s="74"/>
      <c r="PPP10" s="72"/>
      <c r="PPW10" s="74"/>
      <c r="PPX10" s="72"/>
      <c r="PQE10" s="74"/>
      <c r="PQF10" s="72"/>
      <c r="PQM10" s="74"/>
      <c r="PQN10" s="72"/>
      <c r="PQU10" s="74"/>
      <c r="PQV10" s="72"/>
      <c r="PRC10" s="74"/>
      <c r="PRD10" s="72"/>
      <c r="PRK10" s="74"/>
      <c r="PRL10" s="72"/>
      <c r="PRS10" s="74"/>
      <c r="PRT10" s="72"/>
      <c r="PSA10" s="74"/>
      <c r="PSB10" s="72"/>
      <c r="PSI10" s="74"/>
      <c r="PSJ10" s="72"/>
      <c r="PSQ10" s="74"/>
      <c r="PSR10" s="72"/>
      <c r="PSY10" s="74"/>
      <c r="PSZ10" s="72"/>
      <c r="PTG10" s="74"/>
      <c r="PTH10" s="72"/>
      <c r="PTO10" s="74"/>
      <c r="PTP10" s="72"/>
      <c r="PTW10" s="74"/>
      <c r="PTX10" s="72"/>
      <c r="PUE10" s="74"/>
      <c r="PUF10" s="72"/>
      <c r="PUM10" s="74"/>
      <c r="PUN10" s="72"/>
      <c r="PUU10" s="74"/>
      <c r="PUV10" s="72"/>
      <c r="PVC10" s="74"/>
      <c r="PVD10" s="72"/>
      <c r="PVK10" s="74"/>
      <c r="PVL10" s="72"/>
      <c r="PVS10" s="74"/>
      <c r="PVT10" s="72"/>
      <c r="PWA10" s="74"/>
      <c r="PWB10" s="72"/>
      <c r="PWI10" s="74"/>
      <c r="PWJ10" s="72"/>
      <c r="PWQ10" s="74"/>
      <c r="PWR10" s="72"/>
      <c r="PWY10" s="74"/>
      <c r="PWZ10" s="72"/>
      <c r="PXG10" s="74"/>
      <c r="PXH10" s="72"/>
      <c r="PXO10" s="74"/>
      <c r="PXP10" s="72"/>
      <c r="PXW10" s="74"/>
      <c r="PXX10" s="72"/>
      <c r="PYE10" s="74"/>
      <c r="PYF10" s="72"/>
      <c r="PYM10" s="74"/>
      <c r="PYN10" s="72"/>
      <c r="PYU10" s="74"/>
      <c r="PYV10" s="72"/>
      <c r="PZC10" s="74"/>
      <c r="PZD10" s="72"/>
      <c r="PZK10" s="74"/>
      <c r="PZL10" s="72"/>
      <c r="PZS10" s="74"/>
      <c r="PZT10" s="72"/>
      <c r="QAA10" s="74"/>
      <c r="QAB10" s="72"/>
      <c r="QAI10" s="74"/>
      <c r="QAJ10" s="72"/>
      <c r="QAQ10" s="74"/>
      <c r="QAR10" s="72"/>
      <c r="QAY10" s="74"/>
      <c r="QAZ10" s="72"/>
      <c r="QBG10" s="74"/>
      <c r="QBH10" s="72"/>
      <c r="QBO10" s="74"/>
      <c r="QBP10" s="72"/>
      <c r="QBW10" s="74"/>
      <c r="QBX10" s="72"/>
      <c r="QCE10" s="74"/>
      <c r="QCF10" s="72"/>
      <c r="QCM10" s="74"/>
      <c r="QCN10" s="72"/>
      <c r="QCU10" s="74"/>
      <c r="QCV10" s="72"/>
      <c r="QDC10" s="74"/>
      <c r="QDD10" s="72"/>
      <c r="QDK10" s="74"/>
      <c r="QDL10" s="72"/>
      <c r="QDS10" s="74"/>
      <c r="QDT10" s="72"/>
      <c r="QEA10" s="74"/>
      <c r="QEB10" s="72"/>
      <c r="QEI10" s="74"/>
      <c r="QEJ10" s="72"/>
      <c r="QEQ10" s="74"/>
      <c r="QER10" s="72"/>
      <c r="QEY10" s="74"/>
      <c r="QEZ10" s="72"/>
      <c r="QFG10" s="74"/>
      <c r="QFH10" s="72"/>
      <c r="QFO10" s="74"/>
      <c r="QFP10" s="72"/>
      <c r="QFW10" s="74"/>
      <c r="QFX10" s="72"/>
      <c r="QGE10" s="74"/>
      <c r="QGF10" s="72"/>
      <c r="QGM10" s="74"/>
      <c r="QGN10" s="72"/>
      <c r="QGU10" s="74"/>
      <c r="QGV10" s="72"/>
      <c r="QHC10" s="74"/>
      <c r="QHD10" s="72"/>
      <c r="QHK10" s="74"/>
      <c r="QHL10" s="72"/>
      <c r="QHS10" s="74"/>
      <c r="QHT10" s="72"/>
      <c r="QIA10" s="74"/>
      <c r="QIB10" s="72"/>
      <c r="QII10" s="74"/>
      <c r="QIJ10" s="72"/>
      <c r="QIQ10" s="74"/>
      <c r="QIR10" s="72"/>
      <c r="QIY10" s="74"/>
      <c r="QIZ10" s="72"/>
      <c r="QJG10" s="74"/>
      <c r="QJH10" s="72"/>
      <c r="QJO10" s="74"/>
      <c r="QJP10" s="72"/>
      <c r="QJW10" s="74"/>
      <c r="QJX10" s="72"/>
      <c r="QKE10" s="74"/>
      <c r="QKF10" s="72"/>
      <c r="QKM10" s="74"/>
      <c r="QKN10" s="72"/>
      <c r="QKU10" s="74"/>
      <c r="QKV10" s="72"/>
      <c r="QLC10" s="74"/>
      <c r="QLD10" s="72"/>
      <c r="QLK10" s="74"/>
      <c r="QLL10" s="72"/>
      <c r="QLS10" s="74"/>
      <c r="QLT10" s="72"/>
      <c r="QMA10" s="74"/>
      <c r="QMB10" s="72"/>
      <c r="QMI10" s="74"/>
      <c r="QMJ10" s="72"/>
      <c r="QMQ10" s="74"/>
      <c r="QMR10" s="72"/>
      <c r="QMY10" s="74"/>
      <c r="QMZ10" s="72"/>
      <c r="QNG10" s="74"/>
      <c r="QNH10" s="72"/>
      <c r="QNO10" s="74"/>
      <c r="QNP10" s="72"/>
      <c r="QNW10" s="74"/>
      <c r="QNX10" s="72"/>
      <c r="QOE10" s="74"/>
      <c r="QOF10" s="72"/>
      <c r="QOM10" s="74"/>
      <c r="QON10" s="72"/>
      <c r="QOU10" s="74"/>
      <c r="QOV10" s="72"/>
      <c r="QPC10" s="74"/>
      <c r="QPD10" s="72"/>
      <c r="QPK10" s="74"/>
      <c r="QPL10" s="72"/>
      <c r="QPS10" s="74"/>
      <c r="QPT10" s="72"/>
      <c r="QQA10" s="74"/>
      <c r="QQB10" s="72"/>
      <c r="QQI10" s="74"/>
      <c r="QQJ10" s="72"/>
      <c r="QQQ10" s="74"/>
      <c r="QQR10" s="72"/>
      <c r="QQY10" s="74"/>
      <c r="QQZ10" s="72"/>
      <c r="QRG10" s="74"/>
      <c r="QRH10" s="72"/>
      <c r="QRO10" s="74"/>
      <c r="QRP10" s="72"/>
      <c r="QRW10" s="74"/>
      <c r="QRX10" s="72"/>
      <c r="QSE10" s="74"/>
      <c r="QSF10" s="72"/>
      <c r="QSM10" s="74"/>
      <c r="QSN10" s="72"/>
      <c r="QSU10" s="74"/>
      <c r="QSV10" s="72"/>
      <c r="QTC10" s="74"/>
      <c r="QTD10" s="72"/>
      <c r="QTK10" s="74"/>
      <c r="QTL10" s="72"/>
      <c r="QTS10" s="74"/>
      <c r="QTT10" s="72"/>
      <c r="QUA10" s="74"/>
      <c r="QUB10" s="72"/>
      <c r="QUI10" s="74"/>
      <c r="QUJ10" s="72"/>
      <c r="QUQ10" s="74"/>
      <c r="QUR10" s="72"/>
      <c r="QUY10" s="74"/>
      <c r="QUZ10" s="72"/>
      <c r="QVG10" s="74"/>
      <c r="QVH10" s="72"/>
      <c r="QVO10" s="74"/>
      <c r="QVP10" s="72"/>
      <c r="QVW10" s="74"/>
      <c r="QVX10" s="72"/>
      <c r="QWE10" s="74"/>
      <c r="QWF10" s="72"/>
      <c r="QWM10" s="74"/>
      <c r="QWN10" s="72"/>
      <c r="QWU10" s="74"/>
      <c r="QWV10" s="72"/>
      <c r="QXC10" s="74"/>
      <c r="QXD10" s="72"/>
      <c r="QXK10" s="74"/>
      <c r="QXL10" s="72"/>
      <c r="QXS10" s="74"/>
      <c r="QXT10" s="72"/>
      <c r="QYA10" s="74"/>
      <c r="QYB10" s="72"/>
      <c r="QYI10" s="74"/>
      <c r="QYJ10" s="72"/>
      <c r="QYQ10" s="74"/>
      <c r="QYR10" s="72"/>
      <c r="QYY10" s="74"/>
      <c r="QYZ10" s="72"/>
      <c r="QZG10" s="74"/>
      <c r="QZH10" s="72"/>
      <c r="QZO10" s="74"/>
      <c r="QZP10" s="72"/>
      <c r="QZW10" s="74"/>
      <c r="QZX10" s="72"/>
      <c r="RAE10" s="74"/>
      <c r="RAF10" s="72"/>
      <c r="RAM10" s="74"/>
      <c r="RAN10" s="72"/>
      <c r="RAU10" s="74"/>
      <c r="RAV10" s="72"/>
      <c r="RBC10" s="74"/>
      <c r="RBD10" s="72"/>
      <c r="RBK10" s="74"/>
      <c r="RBL10" s="72"/>
      <c r="RBS10" s="74"/>
      <c r="RBT10" s="72"/>
      <c r="RCA10" s="74"/>
      <c r="RCB10" s="72"/>
      <c r="RCI10" s="74"/>
      <c r="RCJ10" s="72"/>
      <c r="RCQ10" s="74"/>
      <c r="RCR10" s="72"/>
      <c r="RCY10" s="74"/>
      <c r="RCZ10" s="72"/>
      <c r="RDG10" s="74"/>
      <c r="RDH10" s="72"/>
      <c r="RDO10" s="74"/>
      <c r="RDP10" s="72"/>
      <c r="RDW10" s="74"/>
      <c r="RDX10" s="72"/>
      <c r="REE10" s="74"/>
      <c r="REF10" s="72"/>
      <c r="REM10" s="74"/>
      <c r="REN10" s="72"/>
      <c r="REU10" s="74"/>
      <c r="REV10" s="72"/>
      <c r="RFC10" s="74"/>
      <c r="RFD10" s="72"/>
      <c r="RFK10" s="74"/>
      <c r="RFL10" s="72"/>
      <c r="RFS10" s="74"/>
      <c r="RFT10" s="72"/>
      <c r="RGA10" s="74"/>
      <c r="RGB10" s="72"/>
      <c r="RGI10" s="74"/>
      <c r="RGJ10" s="72"/>
      <c r="RGQ10" s="74"/>
      <c r="RGR10" s="72"/>
      <c r="RGY10" s="74"/>
      <c r="RGZ10" s="72"/>
      <c r="RHG10" s="74"/>
      <c r="RHH10" s="72"/>
      <c r="RHO10" s="74"/>
      <c r="RHP10" s="72"/>
      <c r="RHW10" s="74"/>
      <c r="RHX10" s="72"/>
      <c r="RIE10" s="74"/>
      <c r="RIF10" s="72"/>
      <c r="RIM10" s="74"/>
      <c r="RIN10" s="72"/>
      <c r="RIU10" s="74"/>
      <c r="RIV10" s="72"/>
      <c r="RJC10" s="74"/>
      <c r="RJD10" s="72"/>
      <c r="RJK10" s="74"/>
      <c r="RJL10" s="72"/>
      <c r="RJS10" s="74"/>
      <c r="RJT10" s="72"/>
      <c r="RKA10" s="74"/>
      <c r="RKB10" s="72"/>
      <c r="RKI10" s="74"/>
      <c r="RKJ10" s="72"/>
      <c r="RKQ10" s="74"/>
      <c r="RKR10" s="72"/>
      <c r="RKY10" s="74"/>
      <c r="RKZ10" s="72"/>
      <c r="RLG10" s="74"/>
      <c r="RLH10" s="72"/>
      <c r="RLO10" s="74"/>
      <c r="RLP10" s="72"/>
      <c r="RLW10" s="74"/>
      <c r="RLX10" s="72"/>
      <c r="RME10" s="74"/>
      <c r="RMF10" s="72"/>
      <c r="RMM10" s="74"/>
      <c r="RMN10" s="72"/>
      <c r="RMU10" s="74"/>
      <c r="RMV10" s="72"/>
      <c r="RNC10" s="74"/>
      <c r="RND10" s="72"/>
      <c r="RNK10" s="74"/>
      <c r="RNL10" s="72"/>
      <c r="RNS10" s="74"/>
      <c r="RNT10" s="72"/>
      <c r="ROA10" s="74"/>
      <c r="ROB10" s="72"/>
      <c r="ROI10" s="74"/>
      <c r="ROJ10" s="72"/>
      <c r="ROQ10" s="74"/>
      <c r="ROR10" s="72"/>
      <c r="ROY10" s="74"/>
      <c r="ROZ10" s="72"/>
      <c r="RPG10" s="74"/>
      <c r="RPH10" s="72"/>
      <c r="RPO10" s="74"/>
      <c r="RPP10" s="72"/>
      <c r="RPW10" s="74"/>
      <c r="RPX10" s="72"/>
      <c r="RQE10" s="74"/>
      <c r="RQF10" s="72"/>
      <c r="RQM10" s="74"/>
      <c r="RQN10" s="72"/>
      <c r="RQU10" s="74"/>
      <c r="RQV10" s="72"/>
      <c r="RRC10" s="74"/>
      <c r="RRD10" s="72"/>
      <c r="RRK10" s="74"/>
      <c r="RRL10" s="72"/>
      <c r="RRS10" s="74"/>
      <c r="RRT10" s="72"/>
      <c r="RSA10" s="74"/>
      <c r="RSB10" s="72"/>
      <c r="RSI10" s="74"/>
      <c r="RSJ10" s="72"/>
      <c r="RSQ10" s="74"/>
      <c r="RSR10" s="72"/>
      <c r="RSY10" s="74"/>
      <c r="RSZ10" s="72"/>
      <c r="RTG10" s="74"/>
      <c r="RTH10" s="72"/>
      <c r="RTO10" s="74"/>
      <c r="RTP10" s="72"/>
      <c r="RTW10" s="74"/>
      <c r="RTX10" s="72"/>
      <c r="RUE10" s="74"/>
      <c r="RUF10" s="72"/>
      <c r="RUM10" s="74"/>
      <c r="RUN10" s="72"/>
      <c r="RUU10" s="74"/>
      <c r="RUV10" s="72"/>
      <c r="RVC10" s="74"/>
      <c r="RVD10" s="72"/>
      <c r="RVK10" s="74"/>
      <c r="RVL10" s="72"/>
      <c r="RVS10" s="74"/>
      <c r="RVT10" s="72"/>
      <c r="RWA10" s="74"/>
      <c r="RWB10" s="72"/>
      <c r="RWI10" s="74"/>
      <c r="RWJ10" s="72"/>
      <c r="RWQ10" s="74"/>
      <c r="RWR10" s="72"/>
      <c r="RWY10" s="74"/>
      <c r="RWZ10" s="72"/>
      <c r="RXG10" s="74"/>
      <c r="RXH10" s="72"/>
      <c r="RXO10" s="74"/>
      <c r="RXP10" s="72"/>
      <c r="RXW10" s="74"/>
      <c r="RXX10" s="72"/>
      <c r="RYE10" s="74"/>
      <c r="RYF10" s="72"/>
      <c r="RYM10" s="74"/>
      <c r="RYN10" s="72"/>
      <c r="RYU10" s="74"/>
      <c r="RYV10" s="72"/>
      <c r="RZC10" s="74"/>
      <c r="RZD10" s="72"/>
      <c r="RZK10" s="74"/>
      <c r="RZL10" s="72"/>
      <c r="RZS10" s="74"/>
      <c r="RZT10" s="72"/>
      <c r="SAA10" s="74"/>
      <c r="SAB10" s="72"/>
      <c r="SAI10" s="74"/>
      <c r="SAJ10" s="72"/>
      <c r="SAQ10" s="74"/>
      <c r="SAR10" s="72"/>
      <c r="SAY10" s="74"/>
      <c r="SAZ10" s="72"/>
      <c r="SBG10" s="74"/>
      <c r="SBH10" s="72"/>
      <c r="SBO10" s="74"/>
      <c r="SBP10" s="72"/>
      <c r="SBW10" s="74"/>
      <c r="SBX10" s="72"/>
      <c r="SCE10" s="74"/>
      <c r="SCF10" s="72"/>
      <c r="SCM10" s="74"/>
      <c r="SCN10" s="72"/>
      <c r="SCU10" s="74"/>
      <c r="SCV10" s="72"/>
      <c r="SDC10" s="74"/>
      <c r="SDD10" s="72"/>
      <c r="SDK10" s="74"/>
      <c r="SDL10" s="72"/>
      <c r="SDS10" s="74"/>
      <c r="SDT10" s="72"/>
      <c r="SEA10" s="74"/>
      <c r="SEB10" s="72"/>
      <c r="SEI10" s="74"/>
      <c r="SEJ10" s="72"/>
      <c r="SEQ10" s="74"/>
      <c r="SER10" s="72"/>
      <c r="SEY10" s="74"/>
      <c r="SEZ10" s="72"/>
      <c r="SFG10" s="74"/>
      <c r="SFH10" s="72"/>
      <c r="SFO10" s="74"/>
      <c r="SFP10" s="72"/>
      <c r="SFW10" s="74"/>
      <c r="SFX10" s="72"/>
      <c r="SGE10" s="74"/>
      <c r="SGF10" s="72"/>
      <c r="SGM10" s="74"/>
      <c r="SGN10" s="72"/>
      <c r="SGU10" s="74"/>
      <c r="SGV10" s="72"/>
      <c r="SHC10" s="74"/>
      <c r="SHD10" s="72"/>
      <c r="SHK10" s="74"/>
      <c r="SHL10" s="72"/>
      <c r="SHS10" s="74"/>
      <c r="SHT10" s="72"/>
      <c r="SIA10" s="74"/>
      <c r="SIB10" s="72"/>
      <c r="SII10" s="74"/>
      <c r="SIJ10" s="72"/>
      <c r="SIQ10" s="74"/>
      <c r="SIR10" s="72"/>
      <c r="SIY10" s="74"/>
      <c r="SIZ10" s="72"/>
      <c r="SJG10" s="74"/>
      <c r="SJH10" s="72"/>
      <c r="SJO10" s="74"/>
      <c r="SJP10" s="72"/>
      <c r="SJW10" s="74"/>
      <c r="SJX10" s="72"/>
      <c r="SKE10" s="74"/>
      <c r="SKF10" s="72"/>
      <c r="SKM10" s="74"/>
      <c r="SKN10" s="72"/>
      <c r="SKU10" s="74"/>
      <c r="SKV10" s="72"/>
      <c r="SLC10" s="74"/>
      <c r="SLD10" s="72"/>
      <c r="SLK10" s="74"/>
      <c r="SLL10" s="72"/>
      <c r="SLS10" s="74"/>
      <c r="SLT10" s="72"/>
      <c r="SMA10" s="74"/>
      <c r="SMB10" s="72"/>
      <c r="SMI10" s="74"/>
      <c r="SMJ10" s="72"/>
      <c r="SMQ10" s="74"/>
      <c r="SMR10" s="72"/>
      <c r="SMY10" s="74"/>
      <c r="SMZ10" s="72"/>
      <c r="SNG10" s="74"/>
      <c r="SNH10" s="72"/>
      <c r="SNO10" s="74"/>
      <c r="SNP10" s="72"/>
      <c r="SNW10" s="74"/>
      <c r="SNX10" s="72"/>
      <c r="SOE10" s="74"/>
      <c r="SOF10" s="72"/>
      <c r="SOM10" s="74"/>
      <c r="SON10" s="72"/>
      <c r="SOU10" s="74"/>
      <c r="SOV10" s="72"/>
      <c r="SPC10" s="74"/>
      <c r="SPD10" s="72"/>
      <c r="SPK10" s="74"/>
      <c r="SPL10" s="72"/>
      <c r="SPS10" s="74"/>
      <c r="SPT10" s="72"/>
      <c r="SQA10" s="74"/>
      <c r="SQB10" s="72"/>
      <c r="SQI10" s="74"/>
      <c r="SQJ10" s="72"/>
      <c r="SQQ10" s="74"/>
      <c r="SQR10" s="72"/>
      <c r="SQY10" s="74"/>
      <c r="SQZ10" s="72"/>
      <c r="SRG10" s="74"/>
      <c r="SRH10" s="72"/>
      <c r="SRO10" s="74"/>
      <c r="SRP10" s="72"/>
      <c r="SRW10" s="74"/>
      <c r="SRX10" s="72"/>
      <c r="SSE10" s="74"/>
      <c r="SSF10" s="72"/>
      <c r="SSM10" s="74"/>
      <c r="SSN10" s="72"/>
      <c r="SSU10" s="74"/>
      <c r="SSV10" s="72"/>
      <c r="STC10" s="74"/>
      <c r="STD10" s="72"/>
      <c r="STK10" s="74"/>
      <c r="STL10" s="72"/>
      <c r="STS10" s="74"/>
      <c r="STT10" s="72"/>
      <c r="SUA10" s="74"/>
      <c r="SUB10" s="72"/>
      <c r="SUI10" s="74"/>
      <c r="SUJ10" s="72"/>
      <c r="SUQ10" s="74"/>
      <c r="SUR10" s="72"/>
      <c r="SUY10" s="74"/>
      <c r="SUZ10" s="72"/>
      <c r="SVG10" s="74"/>
      <c r="SVH10" s="72"/>
      <c r="SVO10" s="74"/>
      <c r="SVP10" s="72"/>
      <c r="SVW10" s="74"/>
      <c r="SVX10" s="72"/>
      <c r="SWE10" s="74"/>
      <c r="SWF10" s="72"/>
      <c r="SWM10" s="74"/>
      <c r="SWN10" s="72"/>
      <c r="SWU10" s="74"/>
      <c r="SWV10" s="72"/>
      <c r="SXC10" s="74"/>
      <c r="SXD10" s="72"/>
      <c r="SXK10" s="74"/>
      <c r="SXL10" s="72"/>
      <c r="SXS10" s="74"/>
      <c r="SXT10" s="72"/>
      <c r="SYA10" s="74"/>
      <c r="SYB10" s="72"/>
      <c r="SYI10" s="74"/>
      <c r="SYJ10" s="72"/>
      <c r="SYQ10" s="74"/>
      <c r="SYR10" s="72"/>
      <c r="SYY10" s="74"/>
      <c r="SYZ10" s="72"/>
      <c r="SZG10" s="74"/>
      <c r="SZH10" s="72"/>
      <c r="SZO10" s="74"/>
      <c r="SZP10" s="72"/>
      <c r="SZW10" s="74"/>
      <c r="SZX10" s="72"/>
      <c r="TAE10" s="74"/>
      <c r="TAF10" s="72"/>
      <c r="TAM10" s="74"/>
      <c r="TAN10" s="72"/>
      <c r="TAU10" s="74"/>
      <c r="TAV10" s="72"/>
      <c r="TBC10" s="74"/>
      <c r="TBD10" s="72"/>
      <c r="TBK10" s="74"/>
      <c r="TBL10" s="72"/>
      <c r="TBS10" s="74"/>
      <c r="TBT10" s="72"/>
      <c r="TCA10" s="74"/>
      <c r="TCB10" s="72"/>
      <c r="TCI10" s="74"/>
      <c r="TCJ10" s="72"/>
      <c r="TCQ10" s="74"/>
      <c r="TCR10" s="72"/>
      <c r="TCY10" s="74"/>
      <c r="TCZ10" s="72"/>
      <c r="TDG10" s="74"/>
      <c r="TDH10" s="72"/>
      <c r="TDO10" s="74"/>
      <c r="TDP10" s="72"/>
      <c r="TDW10" s="74"/>
      <c r="TDX10" s="72"/>
      <c r="TEE10" s="74"/>
      <c r="TEF10" s="72"/>
      <c r="TEM10" s="74"/>
      <c r="TEN10" s="72"/>
      <c r="TEU10" s="74"/>
      <c r="TEV10" s="72"/>
      <c r="TFC10" s="74"/>
      <c r="TFD10" s="72"/>
      <c r="TFK10" s="74"/>
      <c r="TFL10" s="72"/>
      <c r="TFS10" s="74"/>
      <c r="TFT10" s="72"/>
      <c r="TGA10" s="74"/>
      <c r="TGB10" s="72"/>
      <c r="TGI10" s="74"/>
      <c r="TGJ10" s="72"/>
      <c r="TGQ10" s="74"/>
      <c r="TGR10" s="72"/>
      <c r="TGY10" s="74"/>
      <c r="TGZ10" s="72"/>
      <c r="THG10" s="74"/>
      <c r="THH10" s="72"/>
      <c r="THO10" s="74"/>
      <c r="THP10" s="72"/>
      <c r="THW10" s="74"/>
      <c r="THX10" s="72"/>
      <c r="TIE10" s="74"/>
      <c r="TIF10" s="72"/>
      <c r="TIM10" s="74"/>
      <c r="TIN10" s="72"/>
      <c r="TIU10" s="74"/>
      <c r="TIV10" s="72"/>
      <c r="TJC10" s="74"/>
      <c r="TJD10" s="72"/>
      <c r="TJK10" s="74"/>
      <c r="TJL10" s="72"/>
      <c r="TJS10" s="74"/>
      <c r="TJT10" s="72"/>
      <c r="TKA10" s="74"/>
      <c r="TKB10" s="72"/>
      <c r="TKI10" s="74"/>
      <c r="TKJ10" s="72"/>
      <c r="TKQ10" s="74"/>
      <c r="TKR10" s="72"/>
      <c r="TKY10" s="74"/>
      <c r="TKZ10" s="72"/>
      <c r="TLG10" s="74"/>
      <c r="TLH10" s="72"/>
      <c r="TLO10" s="74"/>
      <c r="TLP10" s="72"/>
      <c r="TLW10" s="74"/>
      <c r="TLX10" s="72"/>
      <c r="TME10" s="74"/>
      <c r="TMF10" s="72"/>
      <c r="TMM10" s="74"/>
      <c r="TMN10" s="72"/>
      <c r="TMU10" s="74"/>
      <c r="TMV10" s="72"/>
      <c r="TNC10" s="74"/>
      <c r="TND10" s="72"/>
      <c r="TNK10" s="74"/>
      <c r="TNL10" s="72"/>
      <c r="TNS10" s="74"/>
      <c r="TNT10" s="72"/>
      <c r="TOA10" s="74"/>
      <c r="TOB10" s="72"/>
      <c r="TOI10" s="74"/>
      <c r="TOJ10" s="72"/>
      <c r="TOQ10" s="74"/>
      <c r="TOR10" s="72"/>
      <c r="TOY10" s="74"/>
      <c r="TOZ10" s="72"/>
      <c r="TPG10" s="74"/>
      <c r="TPH10" s="72"/>
      <c r="TPO10" s="74"/>
      <c r="TPP10" s="72"/>
      <c r="TPW10" s="74"/>
      <c r="TPX10" s="72"/>
      <c r="TQE10" s="74"/>
      <c r="TQF10" s="72"/>
      <c r="TQM10" s="74"/>
      <c r="TQN10" s="72"/>
      <c r="TQU10" s="74"/>
      <c r="TQV10" s="72"/>
      <c r="TRC10" s="74"/>
      <c r="TRD10" s="72"/>
      <c r="TRK10" s="74"/>
      <c r="TRL10" s="72"/>
      <c r="TRS10" s="74"/>
      <c r="TRT10" s="72"/>
      <c r="TSA10" s="74"/>
      <c r="TSB10" s="72"/>
      <c r="TSI10" s="74"/>
      <c r="TSJ10" s="72"/>
      <c r="TSQ10" s="74"/>
      <c r="TSR10" s="72"/>
      <c r="TSY10" s="74"/>
      <c r="TSZ10" s="72"/>
      <c r="TTG10" s="74"/>
      <c r="TTH10" s="72"/>
      <c r="TTO10" s="74"/>
      <c r="TTP10" s="72"/>
      <c r="TTW10" s="74"/>
      <c r="TTX10" s="72"/>
      <c r="TUE10" s="74"/>
      <c r="TUF10" s="72"/>
      <c r="TUM10" s="74"/>
      <c r="TUN10" s="72"/>
      <c r="TUU10" s="74"/>
      <c r="TUV10" s="72"/>
      <c r="TVC10" s="74"/>
      <c r="TVD10" s="72"/>
      <c r="TVK10" s="74"/>
      <c r="TVL10" s="72"/>
      <c r="TVS10" s="74"/>
      <c r="TVT10" s="72"/>
      <c r="TWA10" s="74"/>
      <c r="TWB10" s="72"/>
      <c r="TWI10" s="74"/>
      <c r="TWJ10" s="72"/>
      <c r="TWQ10" s="74"/>
      <c r="TWR10" s="72"/>
      <c r="TWY10" s="74"/>
      <c r="TWZ10" s="72"/>
      <c r="TXG10" s="74"/>
      <c r="TXH10" s="72"/>
      <c r="TXO10" s="74"/>
      <c r="TXP10" s="72"/>
      <c r="TXW10" s="74"/>
      <c r="TXX10" s="72"/>
      <c r="TYE10" s="74"/>
      <c r="TYF10" s="72"/>
      <c r="TYM10" s="74"/>
      <c r="TYN10" s="72"/>
      <c r="TYU10" s="74"/>
      <c r="TYV10" s="72"/>
      <c r="TZC10" s="74"/>
      <c r="TZD10" s="72"/>
      <c r="TZK10" s="74"/>
      <c r="TZL10" s="72"/>
      <c r="TZS10" s="74"/>
      <c r="TZT10" s="72"/>
      <c r="UAA10" s="74"/>
      <c r="UAB10" s="72"/>
      <c r="UAI10" s="74"/>
      <c r="UAJ10" s="72"/>
      <c r="UAQ10" s="74"/>
      <c r="UAR10" s="72"/>
      <c r="UAY10" s="74"/>
      <c r="UAZ10" s="72"/>
      <c r="UBG10" s="74"/>
      <c r="UBH10" s="72"/>
      <c r="UBO10" s="74"/>
      <c r="UBP10" s="72"/>
      <c r="UBW10" s="74"/>
      <c r="UBX10" s="72"/>
      <c r="UCE10" s="74"/>
      <c r="UCF10" s="72"/>
      <c r="UCM10" s="74"/>
      <c r="UCN10" s="72"/>
      <c r="UCU10" s="74"/>
      <c r="UCV10" s="72"/>
      <c r="UDC10" s="74"/>
      <c r="UDD10" s="72"/>
      <c r="UDK10" s="74"/>
      <c r="UDL10" s="72"/>
      <c r="UDS10" s="74"/>
      <c r="UDT10" s="72"/>
      <c r="UEA10" s="74"/>
      <c r="UEB10" s="72"/>
      <c r="UEI10" s="74"/>
      <c r="UEJ10" s="72"/>
      <c r="UEQ10" s="74"/>
      <c r="UER10" s="72"/>
      <c r="UEY10" s="74"/>
      <c r="UEZ10" s="72"/>
      <c r="UFG10" s="74"/>
      <c r="UFH10" s="72"/>
      <c r="UFO10" s="74"/>
      <c r="UFP10" s="72"/>
      <c r="UFW10" s="74"/>
      <c r="UFX10" s="72"/>
      <c r="UGE10" s="74"/>
      <c r="UGF10" s="72"/>
      <c r="UGM10" s="74"/>
      <c r="UGN10" s="72"/>
      <c r="UGU10" s="74"/>
      <c r="UGV10" s="72"/>
      <c r="UHC10" s="74"/>
      <c r="UHD10" s="72"/>
      <c r="UHK10" s="74"/>
      <c r="UHL10" s="72"/>
      <c r="UHS10" s="74"/>
      <c r="UHT10" s="72"/>
      <c r="UIA10" s="74"/>
      <c r="UIB10" s="72"/>
      <c r="UII10" s="74"/>
      <c r="UIJ10" s="72"/>
      <c r="UIQ10" s="74"/>
      <c r="UIR10" s="72"/>
      <c r="UIY10" s="74"/>
      <c r="UIZ10" s="72"/>
      <c r="UJG10" s="74"/>
      <c r="UJH10" s="72"/>
      <c r="UJO10" s="74"/>
      <c r="UJP10" s="72"/>
      <c r="UJW10" s="74"/>
      <c r="UJX10" s="72"/>
      <c r="UKE10" s="74"/>
      <c r="UKF10" s="72"/>
      <c r="UKM10" s="74"/>
      <c r="UKN10" s="72"/>
      <c r="UKU10" s="74"/>
      <c r="UKV10" s="72"/>
      <c r="ULC10" s="74"/>
      <c r="ULD10" s="72"/>
      <c r="ULK10" s="74"/>
      <c r="ULL10" s="72"/>
      <c r="ULS10" s="74"/>
      <c r="ULT10" s="72"/>
      <c r="UMA10" s="74"/>
      <c r="UMB10" s="72"/>
      <c r="UMI10" s="74"/>
      <c r="UMJ10" s="72"/>
      <c r="UMQ10" s="74"/>
      <c r="UMR10" s="72"/>
      <c r="UMY10" s="74"/>
      <c r="UMZ10" s="72"/>
      <c r="UNG10" s="74"/>
      <c r="UNH10" s="72"/>
      <c r="UNO10" s="74"/>
      <c r="UNP10" s="72"/>
      <c r="UNW10" s="74"/>
      <c r="UNX10" s="72"/>
      <c r="UOE10" s="74"/>
      <c r="UOF10" s="72"/>
      <c r="UOM10" s="74"/>
      <c r="UON10" s="72"/>
      <c r="UOU10" s="74"/>
      <c r="UOV10" s="72"/>
      <c r="UPC10" s="74"/>
      <c r="UPD10" s="72"/>
      <c r="UPK10" s="74"/>
      <c r="UPL10" s="72"/>
      <c r="UPS10" s="74"/>
      <c r="UPT10" s="72"/>
      <c r="UQA10" s="74"/>
      <c r="UQB10" s="72"/>
      <c r="UQI10" s="74"/>
      <c r="UQJ10" s="72"/>
      <c r="UQQ10" s="74"/>
      <c r="UQR10" s="72"/>
      <c r="UQY10" s="74"/>
      <c r="UQZ10" s="72"/>
      <c r="URG10" s="74"/>
      <c r="URH10" s="72"/>
      <c r="URO10" s="74"/>
      <c r="URP10" s="72"/>
      <c r="URW10" s="74"/>
      <c r="URX10" s="72"/>
      <c r="USE10" s="74"/>
      <c r="USF10" s="72"/>
      <c r="USM10" s="74"/>
      <c r="USN10" s="72"/>
      <c r="USU10" s="74"/>
      <c r="USV10" s="72"/>
      <c r="UTC10" s="74"/>
      <c r="UTD10" s="72"/>
      <c r="UTK10" s="74"/>
      <c r="UTL10" s="72"/>
      <c r="UTS10" s="74"/>
      <c r="UTT10" s="72"/>
      <c r="UUA10" s="74"/>
      <c r="UUB10" s="72"/>
      <c r="UUI10" s="74"/>
      <c r="UUJ10" s="72"/>
      <c r="UUQ10" s="74"/>
      <c r="UUR10" s="72"/>
      <c r="UUY10" s="74"/>
      <c r="UUZ10" s="72"/>
      <c r="UVG10" s="74"/>
      <c r="UVH10" s="72"/>
      <c r="UVO10" s="74"/>
      <c r="UVP10" s="72"/>
      <c r="UVW10" s="74"/>
      <c r="UVX10" s="72"/>
      <c r="UWE10" s="74"/>
      <c r="UWF10" s="72"/>
      <c r="UWM10" s="74"/>
      <c r="UWN10" s="72"/>
      <c r="UWU10" s="74"/>
      <c r="UWV10" s="72"/>
      <c r="UXC10" s="74"/>
      <c r="UXD10" s="72"/>
      <c r="UXK10" s="74"/>
      <c r="UXL10" s="72"/>
      <c r="UXS10" s="74"/>
      <c r="UXT10" s="72"/>
      <c r="UYA10" s="74"/>
      <c r="UYB10" s="72"/>
      <c r="UYI10" s="74"/>
      <c r="UYJ10" s="72"/>
      <c r="UYQ10" s="74"/>
      <c r="UYR10" s="72"/>
      <c r="UYY10" s="74"/>
      <c r="UYZ10" s="72"/>
      <c r="UZG10" s="74"/>
      <c r="UZH10" s="72"/>
      <c r="UZO10" s="74"/>
      <c r="UZP10" s="72"/>
      <c r="UZW10" s="74"/>
      <c r="UZX10" s="72"/>
      <c r="VAE10" s="74"/>
      <c r="VAF10" s="72"/>
      <c r="VAM10" s="74"/>
      <c r="VAN10" s="72"/>
      <c r="VAU10" s="74"/>
      <c r="VAV10" s="72"/>
      <c r="VBC10" s="74"/>
      <c r="VBD10" s="72"/>
      <c r="VBK10" s="74"/>
      <c r="VBL10" s="72"/>
      <c r="VBS10" s="74"/>
      <c r="VBT10" s="72"/>
      <c r="VCA10" s="74"/>
      <c r="VCB10" s="72"/>
      <c r="VCI10" s="74"/>
      <c r="VCJ10" s="72"/>
      <c r="VCQ10" s="74"/>
      <c r="VCR10" s="72"/>
      <c r="VCY10" s="74"/>
      <c r="VCZ10" s="72"/>
      <c r="VDG10" s="74"/>
      <c r="VDH10" s="72"/>
      <c r="VDO10" s="74"/>
      <c r="VDP10" s="72"/>
      <c r="VDW10" s="74"/>
      <c r="VDX10" s="72"/>
      <c r="VEE10" s="74"/>
      <c r="VEF10" s="72"/>
      <c r="VEM10" s="74"/>
      <c r="VEN10" s="72"/>
      <c r="VEU10" s="74"/>
      <c r="VEV10" s="72"/>
      <c r="VFC10" s="74"/>
      <c r="VFD10" s="72"/>
      <c r="VFK10" s="74"/>
      <c r="VFL10" s="72"/>
      <c r="VFS10" s="74"/>
      <c r="VFT10" s="72"/>
      <c r="VGA10" s="74"/>
      <c r="VGB10" s="72"/>
      <c r="VGI10" s="74"/>
      <c r="VGJ10" s="72"/>
      <c r="VGQ10" s="74"/>
      <c r="VGR10" s="72"/>
      <c r="VGY10" s="74"/>
      <c r="VGZ10" s="72"/>
      <c r="VHG10" s="74"/>
      <c r="VHH10" s="72"/>
      <c r="VHO10" s="74"/>
      <c r="VHP10" s="72"/>
      <c r="VHW10" s="74"/>
      <c r="VHX10" s="72"/>
      <c r="VIE10" s="74"/>
      <c r="VIF10" s="72"/>
      <c r="VIM10" s="74"/>
      <c r="VIN10" s="72"/>
      <c r="VIU10" s="74"/>
      <c r="VIV10" s="72"/>
      <c r="VJC10" s="74"/>
      <c r="VJD10" s="72"/>
      <c r="VJK10" s="74"/>
      <c r="VJL10" s="72"/>
      <c r="VJS10" s="74"/>
      <c r="VJT10" s="72"/>
      <c r="VKA10" s="74"/>
      <c r="VKB10" s="72"/>
      <c r="VKI10" s="74"/>
      <c r="VKJ10" s="72"/>
      <c r="VKQ10" s="74"/>
      <c r="VKR10" s="72"/>
      <c r="VKY10" s="74"/>
      <c r="VKZ10" s="72"/>
      <c r="VLG10" s="74"/>
      <c r="VLH10" s="72"/>
      <c r="VLO10" s="74"/>
      <c r="VLP10" s="72"/>
      <c r="VLW10" s="74"/>
      <c r="VLX10" s="72"/>
      <c r="VME10" s="74"/>
      <c r="VMF10" s="72"/>
      <c r="VMM10" s="74"/>
      <c r="VMN10" s="72"/>
      <c r="VMU10" s="74"/>
      <c r="VMV10" s="72"/>
      <c r="VNC10" s="74"/>
      <c r="VND10" s="72"/>
      <c r="VNK10" s="74"/>
      <c r="VNL10" s="72"/>
      <c r="VNS10" s="74"/>
      <c r="VNT10" s="72"/>
      <c r="VOA10" s="74"/>
      <c r="VOB10" s="72"/>
      <c r="VOI10" s="74"/>
      <c r="VOJ10" s="72"/>
      <c r="VOQ10" s="74"/>
      <c r="VOR10" s="72"/>
      <c r="VOY10" s="74"/>
      <c r="VOZ10" s="72"/>
      <c r="VPG10" s="74"/>
      <c r="VPH10" s="72"/>
      <c r="VPO10" s="74"/>
      <c r="VPP10" s="72"/>
      <c r="VPW10" s="74"/>
      <c r="VPX10" s="72"/>
      <c r="VQE10" s="74"/>
      <c r="VQF10" s="72"/>
      <c r="VQM10" s="74"/>
      <c r="VQN10" s="72"/>
      <c r="VQU10" s="74"/>
      <c r="VQV10" s="72"/>
      <c r="VRC10" s="74"/>
      <c r="VRD10" s="72"/>
      <c r="VRK10" s="74"/>
      <c r="VRL10" s="72"/>
      <c r="VRS10" s="74"/>
      <c r="VRT10" s="72"/>
      <c r="VSA10" s="74"/>
      <c r="VSB10" s="72"/>
      <c r="VSI10" s="74"/>
      <c r="VSJ10" s="72"/>
      <c r="VSQ10" s="74"/>
      <c r="VSR10" s="72"/>
      <c r="VSY10" s="74"/>
      <c r="VSZ10" s="72"/>
      <c r="VTG10" s="74"/>
      <c r="VTH10" s="72"/>
      <c r="VTO10" s="74"/>
      <c r="VTP10" s="72"/>
      <c r="VTW10" s="74"/>
      <c r="VTX10" s="72"/>
      <c r="VUE10" s="74"/>
      <c r="VUF10" s="72"/>
      <c r="VUM10" s="74"/>
      <c r="VUN10" s="72"/>
      <c r="VUU10" s="74"/>
      <c r="VUV10" s="72"/>
      <c r="VVC10" s="74"/>
      <c r="VVD10" s="72"/>
      <c r="VVK10" s="74"/>
      <c r="VVL10" s="72"/>
      <c r="VVS10" s="74"/>
      <c r="VVT10" s="72"/>
      <c r="VWA10" s="74"/>
      <c r="VWB10" s="72"/>
      <c r="VWI10" s="74"/>
      <c r="VWJ10" s="72"/>
      <c r="VWQ10" s="74"/>
      <c r="VWR10" s="72"/>
      <c r="VWY10" s="74"/>
      <c r="VWZ10" s="72"/>
      <c r="VXG10" s="74"/>
      <c r="VXH10" s="72"/>
      <c r="VXO10" s="74"/>
      <c r="VXP10" s="72"/>
      <c r="VXW10" s="74"/>
      <c r="VXX10" s="72"/>
      <c r="VYE10" s="74"/>
      <c r="VYF10" s="72"/>
      <c r="VYM10" s="74"/>
      <c r="VYN10" s="72"/>
      <c r="VYU10" s="74"/>
      <c r="VYV10" s="72"/>
      <c r="VZC10" s="74"/>
      <c r="VZD10" s="72"/>
      <c r="VZK10" s="74"/>
      <c r="VZL10" s="72"/>
      <c r="VZS10" s="74"/>
      <c r="VZT10" s="72"/>
      <c r="WAA10" s="74"/>
      <c r="WAB10" s="72"/>
      <c r="WAI10" s="74"/>
      <c r="WAJ10" s="72"/>
      <c r="WAQ10" s="74"/>
      <c r="WAR10" s="72"/>
      <c r="WAY10" s="74"/>
      <c r="WAZ10" s="72"/>
      <c r="WBG10" s="74"/>
      <c r="WBH10" s="72"/>
      <c r="WBO10" s="74"/>
      <c r="WBP10" s="72"/>
      <c r="WBW10" s="74"/>
      <c r="WBX10" s="72"/>
      <c r="WCE10" s="74"/>
      <c r="WCF10" s="72"/>
      <c r="WCM10" s="74"/>
      <c r="WCN10" s="72"/>
      <c r="WCU10" s="74"/>
      <c r="WCV10" s="72"/>
      <c r="WDC10" s="74"/>
      <c r="WDD10" s="72"/>
      <c r="WDK10" s="74"/>
      <c r="WDL10" s="72"/>
      <c r="WDS10" s="74"/>
      <c r="WDT10" s="72"/>
      <c r="WEA10" s="74"/>
      <c r="WEB10" s="72"/>
      <c r="WEI10" s="74"/>
      <c r="WEJ10" s="72"/>
      <c r="WEQ10" s="74"/>
      <c r="WER10" s="72"/>
      <c r="WEY10" s="74"/>
      <c r="WEZ10" s="72"/>
      <c r="WFG10" s="74"/>
      <c r="WFH10" s="72"/>
      <c r="WFO10" s="74"/>
      <c r="WFP10" s="72"/>
      <c r="WFW10" s="74"/>
      <c r="WFX10" s="72"/>
      <c r="WGE10" s="74"/>
      <c r="WGF10" s="72"/>
      <c r="WGM10" s="74"/>
      <c r="WGN10" s="72"/>
      <c r="WGU10" s="74"/>
      <c r="WGV10" s="72"/>
      <c r="WHC10" s="74"/>
      <c r="WHD10" s="72"/>
      <c r="WHK10" s="74"/>
      <c r="WHL10" s="72"/>
      <c r="WHS10" s="74"/>
      <c r="WHT10" s="72"/>
      <c r="WIA10" s="74"/>
      <c r="WIB10" s="72"/>
      <c r="WII10" s="74"/>
      <c r="WIJ10" s="72"/>
      <c r="WIQ10" s="74"/>
      <c r="WIR10" s="72"/>
      <c r="WIY10" s="74"/>
      <c r="WIZ10" s="72"/>
      <c r="WJG10" s="74"/>
      <c r="WJH10" s="72"/>
      <c r="WJO10" s="74"/>
      <c r="WJP10" s="72"/>
      <c r="WJW10" s="74"/>
      <c r="WJX10" s="72"/>
      <c r="WKE10" s="74"/>
      <c r="WKF10" s="72"/>
      <c r="WKM10" s="74"/>
      <c r="WKN10" s="72"/>
      <c r="WKU10" s="74"/>
      <c r="WKV10" s="72"/>
      <c r="WLC10" s="74"/>
      <c r="WLD10" s="72"/>
      <c r="WLK10" s="74"/>
      <c r="WLL10" s="72"/>
      <c r="WLS10" s="74"/>
      <c r="WLT10" s="72"/>
      <c r="WMA10" s="74"/>
      <c r="WMB10" s="72"/>
      <c r="WMI10" s="74"/>
      <c r="WMJ10" s="72"/>
      <c r="WMQ10" s="74"/>
      <c r="WMR10" s="72"/>
      <c r="WMY10" s="74"/>
      <c r="WMZ10" s="72"/>
      <c r="WNG10" s="74"/>
      <c r="WNH10" s="72"/>
      <c r="WNO10" s="74"/>
      <c r="WNP10" s="72"/>
      <c r="WNW10" s="74"/>
      <c r="WNX10" s="72"/>
      <c r="WOE10" s="74"/>
      <c r="WOF10" s="72"/>
      <c r="WOM10" s="74"/>
      <c r="WON10" s="72"/>
      <c r="WOU10" s="74"/>
      <c r="WOV10" s="72"/>
      <c r="WPC10" s="74"/>
      <c r="WPD10" s="72"/>
      <c r="WPK10" s="74"/>
      <c r="WPL10" s="72"/>
      <c r="WPS10" s="74"/>
      <c r="WPT10" s="72"/>
      <c r="WQA10" s="74"/>
      <c r="WQB10" s="72"/>
      <c r="WQI10" s="74"/>
      <c r="WQJ10" s="72"/>
      <c r="WQQ10" s="74"/>
      <c r="WQR10" s="72"/>
      <c r="WQY10" s="74"/>
      <c r="WQZ10" s="72"/>
      <c r="WRG10" s="74"/>
      <c r="WRH10" s="72"/>
      <c r="WRO10" s="74"/>
      <c r="WRP10" s="72"/>
      <c r="WRW10" s="74"/>
      <c r="WRX10" s="72"/>
      <c r="WSE10" s="74"/>
      <c r="WSF10" s="72"/>
      <c r="WSM10" s="74"/>
      <c r="WSN10" s="72"/>
      <c r="WSU10" s="74"/>
      <c r="WSV10" s="72"/>
      <c r="WTC10" s="74"/>
      <c r="WTD10" s="72"/>
      <c r="WTK10" s="74"/>
      <c r="WTL10" s="72"/>
      <c r="WTS10" s="74"/>
      <c r="WTT10" s="72"/>
      <c r="WUA10" s="74"/>
      <c r="WUB10" s="72"/>
      <c r="WUI10" s="74"/>
      <c r="WUJ10" s="72"/>
      <c r="WUQ10" s="74"/>
      <c r="WUR10" s="72"/>
      <c r="WUY10" s="74"/>
      <c r="WUZ10" s="72"/>
      <c r="WVG10" s="74"/>
      <c r="WVH10" s="72"/>
      <c r="WVO10" s="74"/>
      <c r="WVP10" s="72"/>
      <c r="WVW10" s="74"/>
      <c r="WVX10" s="72"/>
      <c r="WWE10" s="74"/>
      <c r="WWF10" s="72"/>
      <c r="WWM10" s="74"/>
      <c r="WWN10" s="72"/>
      <c r="WWU10" s="74"/>
      <c r="WWV10" s="72"/>
      <c r="WXC10" s="74"/>
      <c r="WXD10" s="72"/>
      <c r="WXK10" s="74"/>
      <c r="WXL10" s="72"/>
      <c r="WXS10" s="74"/>
      <c r="WXT10" s="72"/>
      <c r="WYA10" s="74"/>
      <c r="WYB10" s="72"/>
      <c r="WYI10" s="74"/>
      <c r="WYJ10" s="72"/>
      <c r="WYQ10" s="74"/>
      <c r="WYR10" s="72"/>
      <c r="WYY10" s="74"/>
      <c r="WYZ10" s="72"/>
      <c r="WZG10" s="74"/>
      <c r="WZH10" s="72"/>
      <c r="WZO10" s="74"/>
      <c r="WZP10" s="72"/>
      <c r="WZW10" s="74"/>
      <c r="WZX10" s="72"/>
      <c r="XAE10" s="74"/>
      <c r="XAF10" s="72"/>
      <c r="XAM10" s="74"/>
      <c r="XAN10" s="72"/>
      <c r="XAU10" s="74"/>
      <c r="XAV10" s="72"/>
      <c r="XBC10" s="74"/>
      <c r="XBD10" s="72"/>
      <c r="XBK10" s="74"/>
      <c r="XBL10" s="72"/>
      <c r="XBS10" s="74"/>
      <c r="XBT10" s="72"/>
      <c r="XCA10" s="74"/>
      <c r="XCB10" s="72"/>
      <c r="XCI10" s="74"/>
      <c r="XCJ10" s="72"/>
      <c r="XCQ10" s="74"/>
      <c r="XCR10" s="72"/>
      <c r="XCY10" s="74"/>
      <c r="XCZ10" s="72"/>
      <c r="XDG10" s="74"/>
      <c r="XDH10" s="72"/>
      <c r="XDO10" s="74"/>
      <c r="XDP10" s="72"/>
      <c r="XDW10" s="74"/>
      <c r="XDX10" s="72"/>
      <c r="XEE10" s="74"/>
      <c r="XEF10" s="72"/>
      <c r="XEM10" s="74"/>
      <c r="XEN10" s="72"/>
      <c r="XEU10" s="74"/>
      <c r="XEV10" s="72"/>
      <c r="XFC10" s="74"/>
      <c r="XFD10" s="72"/>
    </row>
    <row r="11" spans="1:1024 1031:2048 2055:3072 3079:4096 4103:5120 5127:6144 6151:7168 7175:8192 8199:9216 9223:10240 10247:11264 11271:12288 12295:13312 13319:14336 14343:15360 15367:16384" ht="15" customHeight="1" thickBot="1">
      <c r="B11" s="59" t="s">
        <v>19</v>
      </c>
      <c r="C11" s="155">
        <v>165995</v>
      </c>
      <c r="D11" s="155">
        <f t="shared" ref="D11:D23" si="3">SUM(E11:H11)</f>
        <v>660761</v>
      </c>
      <c r="E11" s="155">
        <v>157450</v>
      </c>
      <c r="F11" s="155">
        <v>166576</v>
      </c>
      <c r="G11" s="155">
        <v>182557</v>
      </c>
      <c r="H11" s="155">
        <v>154178</v>
      </c>
      <c r="I11" s="155">
        <f>SUM(J11:M11)</f>
        <v>651919</v>
      </c>
      <c r="J11" s="155">
        <f>180957-J22-2</f>
        <v>153150</v>
      </c>
      <c r="K11" s="176">
        <f>212670-K22+8337</f>
        <v>211552</v>
      </c>
      <c r="L11" s="176">
        <f>227553-L22+9158</f>
        <v>206727</v>
      </c>
      <c r="M11" s="176">
        <f>91231-M22</f>
        <v>80490</v>
      </c>
      <c r="N11" s="176">
        <f>SUM(O11:R11)</f>
        <v>566402</v>
      </c>
      <c r="O11" s="176">
        <v>121820</v>
      </c>
      <c r="P11" s="155">
        <v>150797</v>
      </c>
      <c r="Q11" s="155">
        <v>186400</v>
      </c>
      <c r="R11" s="155">
        <v>107385</v>
      </c>
      <c r="S11" s="155">
        <v>379294.06160000002</v>
      </c>
      <c r="T11" s="155">
        <v>92765.600180000009</v>
      </c>
      <c r="U11" s="155">
        <v>93371.686820000003</v>
      </c>
      <c r="V11" s="155">
        <v>114156.58726999999</v>
      </c>
      <c r="W11" s="155">
        <v>79000.187330000001</v>
      </c>
      <c r="X11" s="155">
        <v>303113</v>
      </c>
      <c r="Y11" s="155">
        <v>143401</v>
      </c>
      <c r="Z11" s="155">
        <v>159712</v>
      </c>
      <c r="AA11" s="155">
        <v>233452</v>
      </c>
      <c r="AC11" s="179">
        <f t="shared" ref="AC11:AC33" si="4">X11-Y11-Z11</f>
        <v>0</v>
      </c>
      <c r="AD11" s="179">
        <f t="shared" si="2"/>
        <v>0</v>
      </c>
      <c r="AF11" s="156"/>
      <c r="AG11" s="156"/>
    </row>
    <row r="12" spans="1:1024 1031:2048 2055:3072 3079:4096 4103:5120 5127:6144 6151:7168 7175:8192 8199:9216 9223:10240 10247:11264 11271:12288 12295:13312 13319:14336 14343:15360 15367:16384" ht="15" customHeight="1" thickBot="1">
      <c r="B12" s="59" t="s">
        <v>57</v>
      </c>
      <c r="C12" s="155">
        <f t="shared" ref="C12:M12" si="5">SUM(C13:C14)</f>
        <v>137734</v>
      </c>
      <c r="D12" s="155">
        <f t="shared" si="3"/>
        <v>619180</v>
      </c>
      <c r="E12" s="155">
        <f t="shared" si="5"/>
        <v>148916</v>
      </c>
      <c r="F12" s="155">
        <f t="shared" si="5"/>
        <v>156196</v>
      </c>
      <c r="G12" s="155">
        <f t="shared" si="5"/>
        <v>140476</v>
      </c>
      <c r="H12" s="155">
        <f t="shared" si="5"/>
        <v>173592</v>
      </c>
      <c r="I12" s="155">
        <f t="shared" si="5"/>
        <v>700515</v>
      </c>
      <c r="J12" s="155">
        <f t="shared" si="5"/>
        <v>195493</v>
      </c>
      <c r="K12" s="176">
        <f t="shared" si="5"/>
        <v>184858</v>
      </c>
      <c r="L12" s="176">
        <f t="shared" si="5"/>
        <v>172288</v>
      </c>
      <c r="M12" s="176">
        <f t="shared" si="5"/>
        <v>147876</v>
      </c>
      <c r="N12" s="176">
        <f t="shared" ref="N12:AA12" si="6">SUM(N13:N14)</f>
        <v>783227</v>
      </c>
      <c r="O12" s="176">
        <f t="shared" si="6"/>
        <v>220889</v>
      </c>
      <c r="P12" s="155">
        <f t="shared" si="6"/>
        <v>197250</v>
      </c>
      <c r="Q12" s="155">
        <f t="shared" si="6"/>
        <v>173910</v>
      </c>
      <c r="R12" s="155">
        <f t="shared" si="6"/>
        <v>191178</v>
      </c>
      <c r="S12" s="155">
        <f t="shared" si="6"/>
        <v>453317.21072999993</v>
      </c>
      <c r="T12" s="155">
        <f>SUM(T13:T14)</f>
        <v>152941.35908999998</v>
      </c>
      <c r="U12" s="155">
        <f t="shared" si="6"/>
        <v>112006.18193000001</v>
      </c>
      <c r="V12" s="155">
        <f t="shared" si="6"/>
        <v>107036.45291000001</v>
      </c>
      <c r="W12" s="155">
        <f t="shared" si="6"/>
        <v>81333.216799999995</v>
      </c>
      <c r="X12" s="155">
        <f t="shared" si="6"/>
        <v>517308</v>
      </c>
      <c r="Y12" s="155">
        <f t="shared" si="6"/>
        <v>242328</v>
      </c>
      <c r="Z12" s="155">
        <f t="shared" si="6"/>
        <v>274980</v>
      </c>
      <c r="AA12" s="155">
        <f t="shared" si="6"/>
        <v>460610</v>
      </c>
      <c r="AC12" s="179">
        <f t="shared" si="4"/>
        <v>0</v>
      </c>
      <c r="AD12" s="179">
        <f t="shared" si="2"/>
        <v>0</v>
      </c>
      <c r="AF12" s="156"/>
      <c r="AG12" s="156"/>
    </row>
    <row r="13" spans="1:1024 1031:2048 2055:3072 3079:4096 4103:5120 5127:6144 6151:7168 7175:8192 8199:9216 9223:10240 10247:11264 11271:12288 12295:13312 13319:14336 14343:15360 15367:16384" ht="15" customHeight="1" thickBot="1">
      <c r="B13" s="200" t="s">
        <v>129</v>
      </c>
      <c r="C13" s="176">
        <v>72520</v>
      </c>
      <c r="D13" s="155">
        <f t="shared" si="3"/>
        <v>241727.5</v>
      </c>
      <c r="E13" s="176">
        <v>53707.5</v>
      </c>
      <c r="F13" s="176">
        <v>52105</v>
      </c>
      <c r="G13" s="176">
        <v>63041</v>
      </c>
      <c r="H13" s="176">
        <v>72874</v>
      </c>
      <c r="I13" s="155">
        <f t="shared" ref="I13:I20" si="7">SUM(J13:M13)</f>
        <v>290465</v>
      </c>
      <c r="J13" s="155">
        <v>69956</v>
      </c>
      <c r="K13" s="176">
        <f>68367</f>
        <v>68367</v>
      </c>
      <c r="L13" s="176">
        <v>80831</v>
      </c>
      <c r="M13" s="176">
        <v>71311</v>
      </c>
      <c r="N13" s="176">
        <f t="shared" ref="N13:N20" si="8">SUM(O13:R13)</f>
        <v>341670</v>
      </c>
      <c r="O13" s="176">
        <v>91143</v>
      </c>
      <c r="P13" s="155">
        <v>91387</v>
      </c>
      <c r="Q13" s="155">
        <v>70706</v>
      </c>
      <c r="R13" s="155">
        <v>88434</v>
      </c>
      <c r="S13" s="155">
        <v>194136.16722999999</v>
      </c>
      <c r="T13" s="155">
        <v>60877.990489999996</v>
      </c>
      <c r="U13" s="155">
        <v>44983.404399999999</v>
      </c>
      <c r="V13" s="155">
        <v>55545.705410000002</v>
      </c>
      <c r="W13" s="155">
        <v>32729.066930000001</v>
      </c>
      <c r="X13" s="155">
        <v>227785</v>
      </c>
      <c r="Y13" s="155">
        <v>112986</v>
      </c>
      <c r="Z13" s="155">
        <v>114799</v>
      </c>
      <c r="AA13" s="155">
        <v>192787</v>
      </c>
      <c r="AC13" s="179">
        <f t="shared" si="4"/>
        <v>0</v>
      </c>
      <c r="AD13" s="179">
        <f t="shared" si="2"/>
        <v>0</v>
      </c>
      <c r="AF13" s="156"/>
      <c r="AG13" s="156"/>
    </row>
    <row r="14" spans="1:1024 1031:2048 2055:3072 3079:4096 4103:5120 5127:6144 6151:7168 7175:8192 8199:9216 9223:10240 10247:11264 11271:12288 12295:13312 13319:14336 14343:15360 15367:16384" ht="15" customHeight="1" thickBot="1">
      <c r="B14" s="201" t="s">
        <v>130</v>
      </c>
      <c r="C14" s="176">
        <v>65214</v>
      </c>
      <c r="D14" s="155">
        <f t="shared" si="3"/>
        <v>377452.5</v>
      </c>
      <c r="E14" s="176">
        <v>95208.5</v>
      </c>
      <c r="F14" s="176">
        <v>104091</v>
      </c>
      <c r="G14" s="176">
        <v>77435</v>
      </c>
      <c r="H14" s="176">
        <v>100718</v>
      </c>
      <c r="I14" s="155">
        <f t="shared" si="7"/>
        <v>410050</v>
      </c>
      <c r="J14" s="155">
        <v>125537</v>
      </c>
      <c r="K14" s="176">
        <f>284513-L14-M14</f>
        <v>116491</v>
      </c>
      <c r="L14" s="176">
        <v>91457</v>
      </c>
      <c r="M14" s="176">
        <v>76565</v>
      </c>
      <c r="N14" s="176">
        <f t="shared" si="8"/>
        <v>441557</v>
      </c>
      <c r="O14" s="176">
        <f>441557-P14-Q14-R14</f>
        <v>129746</v>
      </c>
      <c r="P14" s="155">
        <f>105863</f>
        <v>105863</v>
      </c>
      <c r="Q14" s="155">
        <f>103204</f>
        <v>103204</v>
      </c>
      <c r="R14" s="155">
        <v>102744</v>
      </c>
      <c r="S14" s="155">
        <v>259181.04349999997</v>
      </c>
      <c r="T14" s="155">
        <v>92063.368600000002</v>
      </c>
      <c r="U14" s="155">
        <v>67022.777530000007</v>
      </c>
      <c r="V14" s="155">
        <v>51490.747500000005</v>
      </c>
      <c r="W14" s="155">
        <v>48604.149869999994</v>
      </c>
      <c r="X14" s="155">
        <v>289523</v>
      </c>
      <c r="Y14" s="155">
        <v>129342</v>
      </c>
      <c r="Z14" s="155">
        <v>160181</v>
      </c>
      <c r="AA14" s="155">
        <v>267823</v>
      </c>
      <c r="AC14" s="179">
        <f t="shared" si="4"/>
        <v>0</v>
      </c>
      <c r="AD14" s="179">
        <f t="shared" si="2"/>
        <v>0</v>
      </c>
      <c r="AF14" s="156"/>
      <c r="AG14" s="156"/>
    </row>
    <row r="15" spans="1:1024 1031:2048 2055:3072 3079:4096 4103:5120 5127:6144 6151:7168 7175:8192 8199:9216 9223:10240 10247:11264 11271:12288 12295:13312 13319:14336 14343:15360 15367:16384" ht="15" customHeight="1" thickBot="1">
      <c r="B15" s="59" t="s">
        <v>131</v>
      </c>
      <c r="C15" s="176">
        <v>1812</v>
      </c>
      <c r="D15" s="155">
        <f t="shared" si="3"/>
        <v>11261</v>
      </c>
      <c r="E15" s="176">
        <v>77</v>
      </c>
      <c r="F15" s="176">
        <v>3745</v>
      </c>
      <c r="G15" s="176">
        <v>4714</v>
      </c>
      <c r="H15" s="176">
        <v>2725</v>
      </c>
      <c r="I15" s="155">
        <f t="shared" si="7"/>
        <v>6098</v>
      </c>
      <c r="J15" s="155">
        <v>0</v>
      </c>
      <c r="K15" s="176">
        <f>2412</f>
        <v>2412</v>
      </c>
      <c r="L15" s="176">
        <v>2765</v>
      </c>
      <c r="M15" s="176">
        <v>921</v>
      </c>
      <c r="N15" s="176">
        <f t="shared" si="8"/>
        <v>12738</v>
      </c>
      <c r="O15" s="176">
        <v>210</v>
      </c>
      <c r="P15" s="155">
        <v>7129</v>
      </c>
      <c r="Q15" s="155">
        <v>3092</v>
      </c>
      <c r="R15" s="155">
        <v>2307</v>
      </c>
      <c r="S15" s="155">
        <v>11789</v>
      </c>
      <c r="T15" s="155">
        <v>0</v>
      </c>
      <c r="U15" s="155">
        <f>5287.4545</f>
        <v>5287.4544999999998</v>
      </c>
      <c r="V15" s="155">
        <v>4840.5929199999991</v>
      </c>
      <c r="W15" s="155">
        <v>1660.13455</v>
      </c>
      <c r="X15" s="155">
        <v>15112</v>
      </c>
      <c r="Y15" s="155">
        <v>7334</v>
      </c>
      <c r="Z15" s="155">
        <v>7778</v>
      </c>
      <c r="AA15" s="155">
        <v>17588</v>
      </c>
      <c r="AC15" s="179">
        <f t="shared" si="4"/>
        <v>0</v>
      </c>
      <c r="AD15" s="179">
        <f t="shared" si="2"/>
        <v>-0.81803000000218162</v>
      </c>
      <c r="AF15" s="156"/>
      <c r="AG15" s="156"/>
    </row>
    <row r="16" spans="1:1024 1031:2048 2055:3072 3079:4096 4103:5120 5127:6144 6151:7168 7175:8192 8199:9216 9223:10240 10247:11264 11271:12288 12295:13312 13319:14336 14343:15360 15367:16384" ht="15" customHeight="1" thickBot="1">
      <c r="B16" s="59" t="s">
        <v>21</v>
      </c>
      <c r="C16" s="176">
        <v>2222</v>
      </c>
      <c r="D16" s="155">
        <f t="shared" si="3"/>
        <v>17123.8</v>
      </c>
      <c r="E16" s="176">
        <v>2484</v>
      </c>
      <c r="F16" s="176">
        <v>4946.3999999999996</v>
      </c>
      <c r="G16" s="176">
        <v>6129.4</v>
      </c>
      <c r="H16" s="176">
        <v>3564</v>
      </c>
      <c r="I16" s="155">
        <f t="shared" si="7"/>
        <v>12829</v>
      </c>
      <c r="J16" s="155">
        <v>3021</v>
      </c>
      <c r="K16" s="176">
        <f>4823.5</f>
        <v>4823.5</v>
      </c>
      <c r="L16" s="176">
        <v>3311.5</v>
      </c>
      <c r="M16" s="176">
        <v>1673</v>
      </c>
      <c r="N16" s="176">
        <f t="shared" si="8"/>
        <v>7640</v>
      </c>
      <c r="O16" s="176">
        <v>952</v>
      </c>
      <c r="P16" s="155">
        <v>2148</v>
      </c>
      <c r="Q16" s="155">
        <v>2714</v>
      </c>
      <c r="R16" s="155">
        <v>1826</v>
      </c>
      <c r="S16" s="155">
        <v>2731.8218499999998</v>
      </c>
      <c r="T16" s="155">
        <v>1363.9467</v>
      </c>
      <c r="U16" s="155">
        <v>1035.41355</v>
      </c>
      <c r="V16" s="155">
        <v>332.46159999999998</v>
      </c>
      <c r="W16" s="155">
        <v>0</v>
      </c>
      <c r="X16" s="155">
        <v>0</v>
      </c>
      <c r="Y16" s="155">
        <v>0</v>
      </c>
      <c r="Z16" s="155">
        <v>0</v>
      </c>
      <c r="AA16" s="155">
        <v>0</v>
      </c>
      <c r="AC16" s="179">
        <f t="shared" si="4"/>
        <v>0</v>
      </c>
      <c r="AD16" s="179">
        <f t="shared" si="2"/>
        <v>0</v>
      </c>
      <c r="AF16" s="156"/>
      <c r="AG16" s="156"/>
    </row>
    <row r="17" spans="1:1024 1031:2048 2055:3072 3079:4096 4103:5120 5127:6144 6151:7168 7175:8192 8199:9216 9223:10240 10247:11264 11271:12288 12295:13312 13319:14336 14343:15360 15367:16384" ht="15" customHeight="1" thickBot="1">
      <c r="B17" s="59" t="s">
        <v>306</v>
      </c>
      <c r="C17" s="176">
        <v>1335</v>
      </c>
      <c r="D17" s="155">
        <f t="shared" si="3"/>
        <v>30949.4</v>
      </c>
      <c r="E17" s="176">
        <v>9583</v>
      </c>
      <c r="F17" s="176">
        <v>2393.6</v>
      </c>
      <c r="G17" s="176">
        <v>6805.8</v>
      </c>
      <c r="H17" s="176">
        <v>12167</v>
      </c>
      <c r="I17" s="155">
        <f t="shared" si="7"/>
        <v>21761</v>
      </c>
      <c r="J17" s="155">
        <v>4774</v>
      </c>
      <c r="K17" s="176">
        <f>5021</f>
        <v>5021</v>
      </c>
      <c r="L17" s="176">
        <v>158</v>
      </c>
      <c r="M17" s="176">
        <v>11808</v>
      </c>
      <c r="N17" s="176">
        <f t="shared" si="8"/>
        <v>9692</v>
      </c>
      <c r="O17" s="176">
        <v>5771</v>
      </c>
      <c r="P17" s="155">
        <v>970</v>
      </c>
      <c r="Q17" s="155">
        <v>2860</v>
      </c>
      <c r="R17" s="155">
        <v>91</v>
      </c>
      <c r="S17" s="155">
        <f>1124.7</f>
        <v>1124.7</v>
      </c>
      <c r="T17" s="155">
        <v>0</v>
      </c>
      <c r="U17" s="155">
        <f>1057-67</f>
        <v>990</v>
      </c>
      <c r="V17" s="155">
        <v>134.44999999999999</v>
      </c>
      <c r="W17" s="155">
        <v>0</v>
      </c>
      <c r="X17" s="155">
        <v>0</v>
      </c>
      <c r="Y17" s="155">
        <v>0</v>
      </c>
      <c r="Z17" s="155">
        <v>0</v>
      </c>
      <c r="AA17" s="155">
        <v>0</v>
      </c>
      <c r="AC17" s="179">
        <f t="shared" si="4"/>
        <v>0</v>
      </c>
      <c r="AD17" s="179">
        <f t="shared" si="2"/>
        <v>-0.25</v>
      </c>
      <c r="AF17" s="156"/>
      <c r="AG17" s="156"/>
    </row>
    <row r="18" spans="1:1024 1031:2048 2055:3072 3079:4096 4103:5120 5127:6144 6151:7168 7175:8192 8199:9216 9223:10240 10247:11264 11271:12288 12295:13312 13319:14336 14343:15360 15367:16384" ht="15" customHeight="1" thickBot="1">
      <c r="B18" s="59" t="s">
        <v>351</v>
      </c>
      <c r="C18" s="176">
        <v>351</v>
      </c>
      <c r="D18" s="155">
        <f t="shared" si="3"/>
        <v>1313</v>
      </c>
      <c r="E18" s="176">
        <v>414</v>
      </c>
      <c r="F18" s="176">
        <v>397</v>
      </c>
      <c r="G18" s="176">
        <v>365</v>
      </c>
      <c r="H18" s="176">
        <v>137</v>
      </c>
      <c r="I18" s="155">
        <f t="shared" si="7"/>
        <v>2447</v>
      </c>
      <c r="J18" s="155">
        <v>30</v>
      </c>
      <c r="K18" s="176">
        <f>491</f>
        <v>491</v>
      </c>
      <c r="L18" s="176">
        <v>581</v>
      </c>
      <c r="M18" s="176">
        <v>1345</v>
      </c>
      <c r="N18" s="176">
        <f t="shared" si="8"/>
        <v>5516.3</v>
      </c>
      <c r="O18" s="176">
        <v>2152.3000000000002</v>
      </c>
      <c r="P18" s="155">
        <v>1384</v>
      </c>
      <c r="Q18" s="155">
        <v>1764</v>
      </c>
      <c r="R18" s="155">
        <v>216</v>
      </c>
      <c r="S18" s="155">
        <v>0</v>
      </c>
      <c r="T18" s="155">
        <v>0</v>
      </c>
      <c r="U18" s="155">
        <v>0</v>
      </c>
      <c r="V18" s="155">
        <v>0</v>
      </c>
      <c r="W18" s="155">
        <v>0</v>
      </c>
      <c r="X18" s="155">
        <v>0</v>
      </c>
      <c r="Y18" s="155">
        <v>0</v>
      </c>
      <c r="Z18" s="155">
        <v>0</v>
      </c>
      <c r="AA18" s="155">
        <v>0</v>
      </c>
      <c r="AC18" s="179">
        <f t="shared" si="4"/>
        <v>0</v>
      </c>
      <c r="AD18" s="179">
        <f t="shared" si="2"/>
        <v>0</v>
      </c>
      <c r="AF18" s="156"/>
      <c r="AG18" s="156"/>
    </row>
    <row r="19" spans="1:1024 1031:2048 2055:3072 3079:4096 4103:5120 5127:6144 6151:7168 7175:8192 8199:9216 9223:10240 10247:11264 11271:12288 12295:13312 13319:14336 14343:15360 15367:16384" ht="15" customHeight="1" thickBot="1">
      <c r="B19" s="59" t="s">
        <v>318</v>
      </c>
      <c r="C19" s="176">
        <v>9335</v>
      </c>
      <c r="D19" s="155">
        <f t="shared" si="3"/>
        <v>11276</v>
      </c>
      <c r="E19" s="176">
        <v>2978</v>
      </c>
      <c r="F19" s="176">
        <v>399</v>
      </c>
      <c r="G19" s="176">
        <v>167</v>
      </c>
      <c r="H19" s="176">
        <v>7732</v>
      </c>
      <c r="I19" s="155">
        <f t="shared" si="7"/>
        <v>20153</v>
      </c>
      <c r="J19" s="155">
        <v>7111</v>
      </c>
      <c r="K19" s="176">
        <v>0</v>
      </c>
      <c r="L19" s="176">
        <v>28</v>
      </c>
      <c r="M19" s="176">
        <v>13014</v>
      </c>
      <c r="N19" s="176">
        <f t="shared" si="8"/>
        <v>0</v>
      </c>
      <c r="O19" s="176">
        <v>0</v>
      </c>
      <c r="P19" s="155">
        <v>0</v>
      </c>
      <c r="Q19" s="155">
        <v>0</v>
      </c>
      <c r="R19" s="155">
        <v>0</v>
      </c>
      <c r="S19" s="155">
        <v>0</v>
      </c>
      <c r="T19" s="155">
        <v>0</v>
      </c>
      <c r="U19" s="155">
        <v>0</v>
      </c>
      <c r="V19" s="155">
        <v>0</v>
      </c>
      <c r="W19" s="155">
        <v>0</v>
      </c>
      <c r="X19" s="155">
        <v>0</v>
      </c>
      <c r="Y19" s="155">
        <v>0</v>
      </c>
      <c r="Z19" s="155">
        <v>0</v>
      </c>
      <c r="AA19" s="155">
        <v>0</v>
      </c>
      <c r="AC19" s="179">
        <f>X19-Y19-Z19</f>
        <v>0</v>
      </c>
      <c r="AD19" s="179"/>
      <c r="AF19" s="156"/>
      <c r="AG19" s="156"/>
    </row>
    <row r="20" spans="1:1024 1031:2048 2055:3072 3079:4096 4103:5120 5127:6144 6151:7168 7175:8192 8199:9216 9223:10240 10247:11264 11271:12288 12295:13312 13319:14336 14343:15360 15367:16384" ht="15" customHeight="1" thickBot="1">
      <c r="B20" s="59" t="s">
        <v>102</v>
      </c>
      <c r="C20" s="155">
        <v>1603</v>
      </c>
      <c r="D20" s="155">
        <f t="shared" si="3"/>
        <v>4840</v>
      </c>
      <c r="E20" s="155">
        <v>1979</v>
      </c>
      <c r="F20" s="155">
        <v>1831</v>
      </c>
      <c r="G20" s="155">
        <v>598</v>
      </c>
      <c r="H20" s="155">
        <v>432</v>
      </c>
      <c r="I20" s="155">
        <f t="shared" si="7"/>
        <v>1079.9000000000001</v>
      </c>
      <c r="J20" s="155">
        <v>195</v>
      </c>
      <c r="K20" s="176">
        <f>523.45</f>
        <v>523.45000000000005</v>
      </c>
      <c r="L20" s="176">
        <v>230.45</v>
      </c>
      <c r="M20" s="176">
        <v>131</v>
      </c>
      <c r="N20" s="176">
        <f t="shared" si="8"/>
        <v>6545</v>
      </c>
      <c r="O20" s="176">
        <f>6545-P20-Q20-R20</f>
        <v>-475</v>
      </c>
      <c r="P20" s="155">
        <f>3622+1</f>
        <v>3623</v>
      </c>
      <c r="Q20" s="155">
        <v>320</v>
      </c>
      <c r="R20" s="155">
        <v>3077</v>
      </c>
      <c r="S20" s="155">
        <v>4084.2897300000013</v>
      </c>
      <c r="T20" s="155">
        <f>2696.18243</f>
        <v>2696.1824299999998</v>
      </c>
      <c r="U20" s="155">
        <v>946</v>
      </c>
      <c r="V20" s="155">
        <v>444.17774000000003</v>
      </c>
      <c r="W20" s="155">
        <v>0</v>
      </c>
      <c r="X20" s="155">
        <v>311</v>
      </c>
      <c r="Y20" s="155">
        <f>181+2</f>
        <v>183</v>
      </c>
      <c r="Z20" s="155">
        <v>128</v>
      </c>
      <c r="AA20" s="155">
        <v>257</v>
      </c>
      <c r="AC20" s="179">
        <f t="shared" si="4"/>
        <v>0</v>
      </c>
      <c r="AD20" s="179">
        <f t="shared" si="2"/>
        <v>2.0704399999985981</v>
      </c>
      <c r="AF20" s="156"/>
      <c r="AG20" s="156"/>
    </row>
    <row r="21" spans="1:1024 1031:2048 2055:3072 3079:4096 4103:5120 5127:6144 6151:7168 7175:8192 8199:9216 9223:10240 10247:11264 11271:12288 12295:13312 13319:14336 14343:15360 15367:16384" s="73" customFormat="1" ht="15" customHeight="1" thickBot="1">
      <c r="A21" s="4"/>
      <c r="B21" s="145" t="s">
        <v>128</v>
      </c>
      <c r="C21" s="146">
        <f t="shared" ref="C21:M21" si="9">SUM(C22:C23)</f>
        <v>52886</v>
      </c>
      <c r="D21" s="146">
        <f t="shared" si="3"/>
        <v>220617</v>
      </c>
      <c r="E21" s="146">
        <f t="shared" si="9"/>
        <v>101584</v>
      </c>
      <c r="F21" s="146">
        <f t="shared" si="9"/>
        <v>65560</v>
      </c>
      <c r="G21" s="146">
        <f t="shared" si="9"/>
        <v>38382</v>
      </c>
      <c r="H21" s="146">
        <f t="shared" si="9"/>
        <v>15091</v>
      </c>
      <c r="I21" s="146">
        <f t="shared" si="9"/>
        <v>77985</v>
      </c>
      <c r="J21" s="146">
        <f t="shared" si="9"/>
        <v>27805</v>
      </c>
      <c r="K21" s="146">
        <f t="shared" si="9"/>
        <v>9455</v>
      </c>
      <c r="L21" s="146">
        <f t="shared" si="9"/>
        <v>29984</v>
      </c>
      <c r="M21" s="146">
        <f t="shared" si="9"/>
        <v>10741</v>
      </c>
      <c r="N21" s="147">
        <f t="shared" ref="N21:AA21" si="10">SUM(N22:N23)</f>
        <v>72453.899999999994</v>
      </c>
      <c r="O21" s="146">
        <f t="shared" si="10"/>
        <v>13554.45</v>
      </c>
      <c r="P21" s="146">
        <f t="shared" si="10"/>
        <v>29102.45</v>
      </c>
      <c r="Q21" s="146">
        <f t="shared" si="10"/>
        <v>16128</v>
      </c>
      <c r="R21" s="146">
        <f t="shared" si="10"/>
        <v>13669</v>
      </c>
      <c r="S21" s="146">
        <f t="shared" si="10"/>
        <v>55710.617329999994</v>
      </c>
      <c r="T21" s="146">
        <f>SUM(T22:T23)</f>
        <v>16450.854879999999</v>
      </c>
      <c r="U21" s="146">
        <f t="shared" si="10"/>
        <v>8097.5328400000008</v>
      </c>
      <c r="V21" s="146">
        <f t="shared" si="10"/>
        <v>19238.476760000001</v>
      </c>
      <c r="W21" s="146">
        <f t="shared" si="10"/>
        <v>11923.752850000001</v>
      </c>
      <c r="X21" s="146">
        <f t="shared" si="10"/>
        <v>13476</v>
      </c>
      <c r="Y21" s="146">
        <f t="shared" si="10"/>
        <v>5635</v>
      </c>
      <c r="Z21" s="146">
        <f t="shared" si="10"/>
        <v>7841</v>
      </c>
      <c r="AA21" s="146">
        <f t="shared" si="10"/>
        <v>21841</v>
      </c>
      <c r="AC21" s="178">
        <f t="shared" si="4"/>
        <v>0</v>
      </c>
      <c r="AD21" s="178">
        <f t="shared" si="2"/>
        <v>0</v>
      </c>
      <c r="AE21" s="74"/>
      <c r="AF21" s="72"/>
      <c r="AM21" s="74"/>
      <c r="AN21" s="72"/>
      <c r="AU21" s="74"/>
      <c r="AV21" s="72"/>
      <c r="BC21" s="74"/>
      <c r="BD21" s="72"/>
      <c r="BK21" s="74"/>
      <c r="BL21" s="72"/>
      <c r="BS21" s="74"/>
      <c r="BT21" s="72"/>
      <c r="CA21" s="74"/>
      <c r="CB21" s="72"/>
      <c r="CI21" s="74"/>
      <c r="CJ21" s="72"/>
      <c r="CQ21" s="74"/>
      <c r="CR21" s="72"/>
      <c r="CY21" s="74"/>
      <c r="CZ21" s="72"/>
      <c r="DG21" s="74"/>
      <c r="DH21" s="72"/>
      <c r="DO21" s="74"/>
      <c r="DP21" s="72"/>
      <c r="DW21" s="74"/>
      <c r="DX21" s="72"/>
      <c r="EE21" s="74"/>
      <c r="EF21" s="72"/>
      <c r="EM21" s="74"/>
      <c r="EN21" s="72"/>
      <c r="EU21" s="74"/>
      <c r="EV21" s="72"/>
      <c r="FC21" s="74"/>
      <c r="FD21" s="72"/>
      <c r="FK21" s="74"/>
      <c r="FL21" s="72"/>
      <c r="FS21" s="74"/>
      <c r="FT21" s="72"/>
      <c r="GA21" s="74"/>
      <c r="GB21" s="72"/>
      <c r="GI21" s="74"/>
      <c r="GJ21" s="72"/>
      <c r="GQ21" s="74"/>
      <c r="GR21" s="72"/>
      <c r="GY21" s="74"/>
      <c r="GZ21" s="72"/>
      <c r="HG21" s="74"/>
      <c r="HH21" s="72"/>
      <c r="HO21" s="74"/>
      <c r="HP21" s="72"/>
      <c r="HW21" s="74"/>
      <c r="HX21" s="72"/>
      <c r="IE21" s="74"/>
      <c r="IF21" s="72"/>
      <c r="IM21" s="74"/>
      <c r="IN21" s="72"/>
      <c r="IU21" s="74"/>
      <c r="IV21" s="72"/>
      <c r="JC21" s="74"/>
      <c r="JD21" s="72"/>
      <c r="JK21" s="74"/>
      <c r="JL21" s="72"/>
      <c r="JS21" s="74"/>
      <c r="JT21" s="72"/>
      <c r="KA21" s="74"/>
      <c r="KB21" s="72"/>
      <c r="KI21" s="74"/>
      <c r="KJ21" s="72"/>
      <c r="KQ21" s="74"/>
      <c r="KR21" s="72"/>
      <c r="KY21" s="74"/>
      <c r="KZ21" s="72"/>
      <c r="LG21" s="74"/>
      <c r="LH21" s="72"/>
      <c r="LO21" s="74"/>
      <c r="LP21" s="72"/>
      <c r="LW21" s="74"/>
      <c r="LX21" s="72"/>
      <c r="ME21" s="74"/>
      <c r="MF21" s="72"/>
      <c r="MM21" s="74"/>
      <c r="MN21" s="72"/>
      <c r="MU21" s="74"/>
      <c r="MV21" s="72"/>
      <c r="NC21" s="74"/>
      <c r="ND21" s="72"/>
      <c r="NK21" s="74"/>
      <c r="NL21" s="72"/>
      <c r="NS21" s="74"/>
      <c r="NT21" s="72"/>
      <c r="OA21" s="74"/>
      <c r="OB21" s="72"/>
      <c r="OI21" s="74"/>
      <c r="OJ21" s="72"/>
      <c r="OQ21" s="74"/>
      <c r="OR21" s="72"/>
      <c r="OY21" s="74"/>
      <c r="OZ21" s="72"/>
      <c r="PG21" s="74"/>
      <c r="PH21" s="72"/>
      <c r="PO21" s="74"/>
      <c r="PP21" s="72"/>
      <c r="PW21" s="74"/>
      <c r="PX21" s="72"/>
      <c r="QE21" s="74"/>
      <c r="QF21" s="72"/>
      <c r="QM21" s="74"/>
      <c r="QN21" s="72"/>
      <c r="QU21" s="74"/>
      <c r="QV21" s="72"/>
      <c r="RC21" s="74"/>
      <c r="RD21" s="72"/>
      <c r="RK21" s="74"/>
      <c r="RL21" s="72"/>
      <c r="RS21" s="74"/>
      <c r="RT21" s="72"/>
      <c r="SA21" s="74"/>
      <c r="SB21" s="72"/>
      <c r="SI21" s="74"/>
      <c r="SJ21" s="72"/>
      <c r="SQ21" s="74"/>
      <c r="SR21" s="72"/>
      <c r="SY21" s="74"/>
      <c r="SZ21" s="72"/>
      <c r="TG21" s="74"/>
      <c r="TH21" s="72"/>
      <c r="TO21" s="74"/>
      <c r="TP21" s="72"/>
      <c r="TW21" s="74"/>
      <c r="TX21" s="72"/>
      <c r="UE21" s="74"/>
      <c r="UF21" s="72"/>
      <c r="UM21" s="74"/>
      <c r="UN21" s="72"/>
      <c r="UU21" s="74"/>
      <c r="UV21" s="72"/>
      <c r="VC21" s="74"/>
      <c r="VD21" s="72"/>
      <c r="VK21" s="74"/>
      <c r="VL21" s="72"/>
      <c r="VS21" s="74"/>
      <c r="VT21" s="72"/>
      <c r="WA21" s="74"/>
      <c r="WB21" s="72"/>
      <c r="WI21" s="74"/>
      <c r="WJ21" s="72"/>
      <c r="WQ21" s="74"/>
      <c r="WR21" s="72"/>
      <c r="WY21" s="74"/>
      <c r="WZ21" s="72"/>
      <c r="XG21" s="74"/>
      <c r="XH21" s="72"/>
      <c r="XO21" s="74"/>
      <c r="XP21" s="72"/>
      <c r="XW21" s="74"/>
      <c r="XX21" s="72"/>
      <c r="YE21" s="74"/>
      <c r="YF21" s="72"/>
      <c r="YM21" s="74"/>
      <c r="YN21" s="72"/>
      <c r="YU21" s="74"/>
      <c r="YV21" s="72"/>
      <c r="ZC21" s="74"/>
      <c r="ZD21" s="72"/>
      <c r="ZK21" s="74"/>
      <c r="ZL21" s="72"/>
      <c r="ZS21" s="74"/>
      <c r="ZT21" s="72"/>
      <c r="AAA21" s="74"/>
      <c r="AAB21" s="72"/>
      <c r="AAI21" s="74"/>
      <c r="AAJ21" s="72"/>
      <c r="AAQ21" s="74"/>
      <c r="AAR21" s="72"/>
      <c r="AAY21" s="74"/>
      <c r="AAZ21" s="72"/>
      <c r="ABG21" s="74"/>
      <c r="ABH21" s="72"/>
      <c r="ABO21" s="74"/>
      <c r="ABP21" s="72"/>
      <c r="ABW21" s="74"/>
      <c r="ABX21" s="72"/>
      <c r="ACE21" s="74"/>
      <c r="ACF21" s="72"/>
      <c r="ACM21" s="74"/>
      <c r="ACN21" s="72"/>
      <c r="ACU21" s="74"/>
      <c r="ACV21" s="72"/>
      <c r="ADC21" s="74"/>
      <c r="ADD21" s="72"/>
      <c r="ADK21" s="74"/>
      <c r="ADL21" s="72"/>
      <c r="ADS21" s="74"/>
      <c r="ADT21" s="72"/>
      <c r="AEA21" s="74"/>
      <c r="AEB21" s="72"/>
      <c r="AEI21" s="74"/>
      <c r="AEJ21" s="72"/>
      <c r="AEQ21" s="74"/>
      <c r="AER21" s="72"/>
      <c r="AEY21" s="74"/>
      <c r="AEZ21" s="72"/>
      <c r="AFG21" s="74"/>
      <c r="AFH21" s="72"/>
      <c r="AFO21" s="74"/>
      <c r="AFP21" s="72"/>
      <c r="AFW21" s="74"/>
      <c r="AFX21" s="72"/>
      <c r="AGE21" s="74"/>
      <c r="AGF21" s="72"/>
      <c r="AGM21" s="74"/>
      <c r="AGN21" s="72"/>
      <c r="AGU21" s="74"/>
      <c r="AGV21" s="72"/>
      <c r="AHC21" s="74"/>
      <c r="AHD21" s="72"/>
      <c r="AHK21" s="74"/>
      <c r="AHL21" s="72"/>
      <c r="AHS21" s="74"/>
      <c r="AHT21" s="72"/>
      <c r="AIA21" s="74"/>
      <c r="AIB21" s="72"/>
      <c r="AII21" s="74"/>
      <c r="AIJ21" s="72"/>
      <c r="AIQ21" s="74"/>
      <c r="AIR21" s="72"/>
      <c r="AIY21" s="74"/>
      <c r="AIZ21" s="72"/>
      <c r="AJG21" s="74"/>
      <c r="AJH21" s="72"/>
      <c r="AJO21" s="74"/>
      <c r="AJP21" s="72"/>
      <c r="AJW21" s="74"/>
      <c r="AJX21" s="72"/>
      <c r="AKE21" s="74"/>
      <c r="AKF21" s="72"/>
      <c r="AKM21" s="74"/>
      <c r="AKN21" s="72"/>
      <c r="AKU21" s="74"/>
      <c r="AKV21" s="72"/>
      <c r="ALC21" s="74"/>
      <c r="ALD21" s="72"/>
      <c r="ALK21" s="74"/>
      <c r="ALL21" s="72"/>
      <c r="ALS21" s="74"/>
      <c r="ALT21" s="72"/>
      <c r="AMA21" s="74"/>
      <c r="AMB21" s="72"/>
      <c r="AMI21" s="74"/>
      <c r="AMJ21" s="72"/>
      <c r="AMQ21" s="74"/>
      <c r="AMR21" s="72"/>
      <c r="AMY21" s="74"/>
      <c r="AMZ21" s="72"/>
      <c r="ANG21" s="74"/>
      <c r="ANH21" s="72"/>
      <c r="ANO21" s="74"/>
      <c r="ANP21" s="72"/>
      <c r="ANW21" s="74"/>
      <c r="ANX21" s="72"/>
      <c r="AOE21" s="74"/>
      <c r="AOF21" s="72"/>
      <c r="AOM21" s="74"/>
      <c r="AON21" s="72"/>
      <c r="AOU21" s="74"/>
      <c r="AOV21" s="72"/>
      <c r="APC21" s="74"/>
      <c r="APD21" s="72"/>
      <c r="APK21" s="74"/>
      <c r="APL21" s="72"/>
      <c r="APS21" s="74"/>
      <c r="APT21" s="72"/>
      <c r="AQA21" s="74"/>
      <c r="AQB21" s="72"/>
      <c r="AQI21" s="74"/>
      <c r="AQJ21" s="72"/>
      <c r="AQQ21" s="74"/>
      <c r="AQR21" s="72"/>
      <c r="AQY21" s="74"/>
      <c r="AQZ21" s="72"/>
      <c r="ARG21" s="74"/>
      <c r="ARH21" s="72"/>
      <c r="ARO21" s="74"/>
      <c r="ARP21" s="72"/>
      <c r="ARW21" s="74"/>
      <c r="ARX21" s="72"/>
      <c r="ASE21" s="74"/>
      <c r="ASF21" s="72"/>
      <c r="ASM21" s="74"/>
      <c r="ASN21" s="72"/>
      <c r="ASU21" s="74"/>
      <c r="ASV21" s="72"/>
      <c r="ATC21" s="74"/>
      <c r="ATD21" s="72"/>
      <c r="ATK21" s="74"/>
      <c r="ATL21" s="72"/>
      <c r="ATS21" s="74"/>
      <c r="ATT21" s="72"/>
      <c r="AUA21" s="74"/>
      <c r="AUB21" s="72"/>
      <c r="AUI21" s="74"/>
      <c r="AUJ21" s="72"/>
      <c r="AUQ21" s="74"/>
      <c r="AUR21" s="72"/>
      <c r="AUY21" s="74"/>
      <c r="AUZ21" s="72"/>
      <c r="AVG21" s="74"/>
      <c r="AVH21" s="72"/>
      <c r="AVO21" s="74"/>
      <c r="AVP21" s="72"/>
      <c r="AVW21" s="74"/>
      <c r="AVX21" s="72"/>
      <c r="AWE21" s="74"/>
      <c r="AWF21" s="72"/>
      <c r="AWM21" s="74"/>
      <c r="AWN21" s="72"/>
      <c r="AWU21" s="74"/>
      <c r="AWV21" s="72"/>
      <c r="AXC21" s="74"/>
      <c r="AXD21" s="72"/>
      <c r="AXK21" s="74"/>
      <c r="AXL21" s="72"/>
      <c r="AXS21" s="74"/>
      <c r="AXT21" s="72"/>
      <c r="AYA21" s="74"/>
      <c r="AYB21" s="72"/>
      <c r="AYI21" s="74"/>
      <c r="AYJ21" s="72"/>
      <c r="AYQ21" s="74"/>
      <c r="AYR21" s="72"/>
      <c r="AYY21" s="74"/>
      <c r="AYZ21" s="72"/>
      <c r="AZG21" s="74"/>
      <c r="AZH21" s="72"/>
      <c r="AZO21" s="74"/>
      <c r="AZP21" s="72"/>
      <c r="AZW21" s="74"/>
      <c r="AZX21" s="72"/>
      <c r="BAE21" s="74"/>
      <c r="BAF21" s="72"/>
      <c r="BAM21" s="74"/>
      <c r="BAN21" s="72"/>
      <c r="BAU21" s="74"/>
      <c r="BAV21" s="72"/>
      <c r="BBC21" s="74"/>
      <c r="BBD21" s="72"/>
      <c r="BBK21" s="74"/>
      <c r="BBL21" s="72"/>
      <c r="BBS21" s="74"/>
      <c r="BBT21" s="72"/>
      <c r="BCA21" s="74"/>
      <c r="BCB21" s="72"/>
      <c r="BCI21" s="74"/>
      <c r="BCJ21" s="72"/>
      <c r="BCQ21" s="74"/>
      <c r="BCR21" s="72"/>
      <c r="BCY21" s="74"/>
      <c r="BCZ21" s="72"/>
      <c r="BDG21" s="74"/>
      <c r="BDH21" s="72"/>
      <c r="BDO21" s="74"/>
      <c r="BDP21" s="72"/>
      <c r="BDW21" s="74"/>
      <c r="BDX21" s="72"/>
      <c r="BEE21" s="74"/>
      <c r="BEF21" s="72"/>
      <c r="BEM21" s="74"/>
      <c r="BEN21" s="72"/>
      <c r="BEU21" s="74"/>
      <c r="BEV21" s="72"/>
      <c r="BFC21" s="74"/>
      <c r="BFD21" s="72"/>
      <c r="BFK21" s="74"/>
      <c r="BFL21" s="72"/>
      <c r="BFS21" s="74"/>
      <c r="BFT21" s="72"/>
      <c r="BGA21" s="74"/>
      <c r="BGB21" s="72"/>
      <c r="BGI21" s="74"/>
      <c r="BGJ21" s="72"/>
      <c r="BGQ21" s="74"/>
      <c r="BGR21" s="72"/>
      <c r="BGY21" s="74"/>
      <c r="BGZ21" s="72"/>
      <c r="BHG21" s="74"/>
      <c r="BHH21" s="72"/>
      <c r="BHO21" s="74"/>
      <c r="BHP21" s="72"/>
      <c r="BHW21" s="74"/>
      <c r="BHX21" s="72"/>
      <c r="BIE21" s="74"/>
      <c r="BIF21" s="72"/>
      <c r="BIM21" s="74"/>
      <c r="BIN21" s="72"/>
      <c r="BIU21" s="74"/>
      <c r="BIV21" s="72"/>
      <c r="BJC21" s="74"/>
      <c r="BJD21" s="72"/>
      <c r="BJK21" s="74"/>
      <c r="BJL21" s="72"/>
      <c r="BJS21" s="74"/>
      <c r="BJT21" s="72"/>
      <c r="BKA21" s="74"/>
      <c r="BKB21" s="72"/>
      <c r="BKI21" s="74"/>
      <c r="BKJ21" s="72"/>
      <c r="BKQ21" s="74"/>
      <c r="BKR21" s="72"/>
      <c r="BKY21" s="74"/>
      <c r="BKZ21" s="72"/>
      <c r="BLG21" s="74"/>
      <c r="BLH21" s="72"/>
      <c r="BLO21" s="74"/>
      <c r="BLP21" s="72"/>
      <c r="BLW21" s="74"/>
      <c r="BLX21" s="72"/>
      <c r="BME21" s="74"/>
      <c r="BMF21" s="72"/>
      <c r="BMM21" s="74"/>
      <c r="BMN21" s="72"/>
      <c r="BMU21" s="74"/>
      <c r="BMV21" s="72"/>
      <c r="BNC21" s="74"/>
      <c r="BND21" s="72"/>
      <c r="BNK21" s="74"/>
      <c r="BNL21" s="72"/>
      <c r="BNS21" s="74"/>
      <c r="BNT21" s="72"/>
      <c r="BOA21" s="74"/>
      <c r="BOB21" s="72"/>
      <c r="BOI21" s="74"/>
      <c r="BOJ21" s="72"/>
      <c r="BOQ21" s="74"/>
      <c r="BOR21" s="72"/>
      <c r="BOY21" s="74"/>
      <c r="BOZ21" s="72"/>
      <c r="BPG21" s="74"/>
      <c r="BPH21" s="72"/>
      <c r="BPO21" s="74"/>
      <c r="BPP21" s="72"/>
      <c r="BPW21" s="74"/>
      <c r="BPX21" s="72"/>
      <c r="BQE21" s="74"/>
      <c r="BQF21" s="72"/>
      <c r="BQM21" s="74"/>
      <c r="BQN21" s="72"/>
      <c r="BQU21" s="74"/>
      <c r="BQV21" s="72"/>
      <c r="BRC21" s="74"/>
      <c r="BRD21" s="72"/>
      <c r="BRK21" s="74"/>
      <c r="BRL21" s="72"/>
      <c r="BRS21" s="74"/>
      <c r="BRT21" s="72"/>
      <c r="BSA21" s="74"/>
      <c r="BSB21" s="72"/>
      <c r="BSI21" s="74"/>
      <c r="BSJ21" s="72"/>
      <c r="BSQ21" s="74"/>
      <c r="BSR21" s="72"/>
      <c r="BSY21" s="74"/>
      <c r="BSZ21" s="72"/>
      <c r="BTG21" s="74"/>
      <c r="BTH21" s="72"/>
      <c r="BTO21" s="74"/>
      <c r="BTP21" s="72"/>
      <c r="BTW21" s="74"/>
      <c r="BTX21" s="72"/>
      <c r="BUE21" s="74"/>
      <c r="BUF21" s="72"/>
      <c r="BUM21" s="74"/>
      <c r="BUN21" s="72"/>
      <c r="BUU21" s="74"/>
      <c r="BUV21" s="72"/>
      <c r="BVC21" s="74"/>
      <c r="BVD21" s="72"/>
      <c r="BVK21" s="74"/>
      <c r="BVL21" s="72"/>
      <c r="BVS21" s="74"/>
      <c r="BVT21" s="72"/>
      <c r="BWA21" s="74"/>
      <c r="BWB21" s="72"/>
      <c r="BWI21" s="74"/>
      <c r="BWJ21" s="72"/>
      <c r="BWQ21" s="74"/>
      <c r="BWR21" s="72"/>
      <c r="BWY21" s="74"/>
      <c r="BWZ21" s="72"/>
      <c r="BXG21" s="74"/>
      <c r="BXH21" s="72"/>
      <c r="BXO21" s="74"/>
      <c r="BXP21" s="72"/>
      <c r="BXW21" s="74"/>
      <c r="BXX21" s="72"/>
      <c r="BYE21" s="74"/>
      <c r="BYF21" s="72"/>
      <c r="BYM21" s="74"/>
      <c r="BYN21" s="72"/>
      <c r="BYU21" s="74"/>
      <c r="BYV21" s="72"/>
      <c r="BZC21" s="74"/>
      <c r="BZD21" s="72"/>
      <c r="BZK21" s="74"/>
      <c r="BZL21" s="72"/>
      <c r="BZS21" s="74"/>
      <c r="BZT21" s="72"/>
      <c r="CAA21" s="74"/>
      <c r="CAB21" s="72"/>
      <c r="CAI21" s="74"/>
      <c r="CAJ21" s="72"/>
      <c r="CAQ21" s="74"/>
      <c r="CAR21" s="72"/>
      <c r="CAY21" s="74"/>
      <c r="CAZ21" s="72"/>
      <c r="CBG21" s="74"/>
      <c r="CBH21" s="72"/>
      <c r="CBO21" s="74"/>
      <c r="CBP21" s="72"/>
      <c r="CBW21" s="74"/>
      <c r="CBX21" s="72"/>
      <c r="CCE21" s="74"/>
      <c r="CCF21" s="72"/>
      <c r="CCM21" s="74"/>
      <c r="CCN21" s="72"/>
      <c r="CCU21" s="74"/>
      <c r="CCV21" s="72"/>
      <c r="CDC21" s="74"/>
      <c r="CDD21" s="72"/>
      <c r="CDK21" s="74"/>
      <c r="CDL21" s="72"/>
      <c r="CDS21" s="74"/>
      <c r="CDT21" s="72"/>
      <c r="CEA21" s="74"/>
      <c r="CEB21" s="72"/>
      <c r="CEI21" s="74"/>
      <c r="CEJ21" s="72"/>
      <c r="CEQ21" s="74"/>
      <c r="CER21" s="72"/>
      <c r="CEY21" s="74"/>
      <c r="CEZ21" s="72"/>
      <c r="CFG21" s="74"/>
      <c r="CFH21" s="72"/>
      <c r="CFO21" s="74"/>
      <c r="CFP21" s="72"/>
      <c r="CFW21" s="74"/>
      <c r="CFX21" s="72"/>
      <c r="CGE21" s="74"/>
      <c r="CGF21" s="72"/>
      <c r="CGM21" s="74"/>
      <c r="CGN21" s="72"/>
      <c r="CGU21" s="74"/>
      <c r="CGV21" s="72"/>
      <c r="CHC21" s="74"/>
      <c r="CHD21" s="72"/>
      <c r="CHK21" s="74"/>
      <c r="CHL21" s="72"/>
      <c r="CHS21" s="74"/>
      <c r="CHT21" s="72"/>
      <c r="CIA21" s="74"/>
      <c r="CIB21" s="72"/>
      <c r="CII21" s="74"/>
      <c r="CIJ21" s="72"/>
      <c r="CIQ21" s="74"/>
      <c r="CIR21" s="72"/>
      <c r="CIY21" s="74"/>
      <c r="CIZ21" s="72"/>
      <c r="CJG21" s="74"/>
      <c r="CJH21" s="72"/>
      <c r="CJO21" s="74"/>
      <c r="CJP21" s="72"/>
      <c r="CJW21" s="74"/>
      <c r="CJX21" s="72"/>
      <c r="CKE21" s="74"/>
      <c r="CKF21" s="72"/>
      <c r="CKM21" s="74"/>
      <c r="CKN21" s="72"/>
      <c r="CKU21" s="74"/>
      <c r="CKV21" s="72"/>
      <c r="CLC21" s="74"/>
      <c r="CLD21" s="72"/>
      <c r="CLK21" s="74"/>
      <c r="CLL21" s="72"/>
      <c r="CLS21" s="74"/>
      <c r="CLT21" s="72"/>
      <c r="CMA21" s="74"/>
      <c r="CMB21" s="72"/>
      <c r="CMI21" s="74"/>
      <c r="CMJ21" s="72"/>
      <c r="CMQ21" s="74"/>
      <c r="CMR21" s="72"/>
      <c r="CMY21" s="74"/>
      <c r="CMZ21" s="72"/>
      <c r="CNG21" s="74"/>
      <c r="CNH21" s="72"/>
      <c r="CNO21" s="74"/>
      <c r="CNP21" s="72"/>
      <c r="CNW21" s="74"/>
      <c r="CNX21" s="72"/>
      <c r="COE21" s="74"/>
      <c r="COF21" s="72"/>
      <c r="COM21" s="74"/>
      <c r="CON21" s="72"/>
      <c r="COU21" s="74"/>
      <c r="COV21" s="72"/>
      <c r="CPC21" s="74"/>
      <c r="CPD21" s="72"/>
      <c r="CPK21" s="74"/>
      <c r="CPL21" s="72"/>
      <c r="CPS21" s="74"/>
      <c r="CPT21" s="72"/>
      <c r="CQA21" s="74"/>
      <c r="CQB21" s="72"/>
      <c r="CQI21" s="74"/>
      <c r="CQJ21" s="72"/>
      <c r="CQQ21" s="74"/>
      <c r="CQR21" s="72"/>
      <c r="CQY21" s="74"/>
      <c r="CQZ21" s="72"/>
      <c r="CRG21" s="74"/>
      <c r="CRH21" s="72"/>
      <c r="CRO21" s="74"/>
      <c r="CRP21" s="72"/>
      <c r="CRW21" s="74"/>
      <c r="CRX21" s="72"/>
      <c r="CSE21" s="74"/>
      <c r="CSF21" s="72"/>
      <c r="CSM21" s="74"/>
      <c r="CSN21" s="72"/>
      <c r="CSU21" s="74"/>
      <c r="CSV21" s="72"/>
      <c r="CTC21" s="74"/>
      <c r="CTD21" s="72"/>
      <c r="CTK21" s="74"/>
      <c r="CTL21" s="72"/>
      <c r="CTS21" s="74"/>
      <c r="CTT21" s="72"/>
      <c r="CUA21" s="74"/>
      <c r="CUB21" s="72"/>
      <c r="CUI21" s="74"/>
      <c r="CUJ21" s="72"/>
      <c r="CUQ21" s="74"/>
      <c r="CUR21" s="72"/>
      <c r="CUY21" s="74"/>
      <c r="CUZ21" s="72"/>
      <c r="CVG21" s="74"/>
      <c r="CVH21" s="72"/>
      <c r="CVO21" s="74"/>
      <c r="CVP21" s="72"/>
      <c r="CVW21" s="74"/>
      <c r="CVX21" s="72"/>
      <c r="CWE21" s="74"/>
      <c r="CWF21" s="72"/>
      <c r="CWM21" s="74"/>
      <c r="CWN21" s="72"/>
      <c r="CWU21" s="74"/>
      <c r="CWV21" s="72"/>
      <c r="CXC21" s="74"/>
      <c r="CXD21" s="72"/>
      <c r="CXK21" s="74"/>
      <c r="CXL21" s="72"/>
      <c r="CXS21" s="74"/>
      <c r="CXT21" s="72"/>
      <c r="CYA21" s="74"/>
      <c r="CYB21" s="72"/>
      <c r="CYI21" s="74"/>
      <c r="CYJ21" s="72"/>
      <c r="CYQ21" s="74"/>
      <c r="CYR21" s="72"/>
      <c r="CYY21" s="74"/>
      <c r="CYZ21" s="72"/>
      <c r="CZG21" s="74"/>
      <c r="CZH21" s="72"/>
      <c r="CZO21" s="74"/>
      <c r="CZP21" s="72"/>
      <c r="CZW21" s="74"/>
      <c r="CZX21" s="72"/>
      <c r="DAE21" s="74"/>
      <c r="DAF21" s="72"/>
      <c r="DAM21" s="74"/>
      <c r="DAN21" s="72"/>
      <c r="DAU21" s="74"/>
      <c r="DAV21" s="72"/>
      <c r="DBC21" s="74"/>
      <c r="DBD21" s="72"/>
      <c r="DBK21" s="74"/>
      <c r="DBL21" s="72"/>
      <c r="DBS21" s="74"/>
      <c r="DBT21" s="72"/>
      <c r="DCA21" s="74"/>
      <c r="DCB21" s="72"/>
      <c r="DCI21" s="74"/>
      <c r="DCJ21" s="72"/>
      <c r="DCQ21" s="74"/>
      <c r="DCR21" s="72"/>
      <c r="DCY21" s="74"/>
      <c r="DCZ21" s="72"/>
      <c r="DDG21" s="74"/>
      <c r="DDH21" s="72"/>
      <c r="DDO21" s="74"/>
      <c r="DDP21" s="72"/>
      <c r="DDW21" s="74"/>
      <c r="DDX21" s="72"/>
      <c r="DEE21" s="74"/>
      <c r="DEF21" s="72"/>
      <c r="DEM21" s="74"/>
      <c r="DEN21" s="72"/>
      <c r="DEU21" s="74"/>
      <c r="DEV21" s="72"/>
      <c r="DFC21" s="74"/>
      <c r="DFD21" s="72"/>
      <c r="DFK21" s="74"/>
      <c r="DFL21" s="72"/>
      <c r="DFS21" s="74"/>
      <c r="DFT21" s="72"/>
      <c r="DGA21" s="74"/>
      <c r="DGB21" s="72"/>
      <c r="DGI21" s="74"/>
      <c r="DGJ21" s="72"/>
      <c r="DGQ21" s="74"/>
      <c r="DGR21" s="72"/>
      <c r="DGY21" s="74"/>
      <c r="DGZ21" s="72"/>
      <c r="DHG21" s="74"/>
      <c r="DHH21" s="72"/>
      <c r="DHO21" s="74"/>
      <c r="DHP21" s="72"/>
      <c r="DHW21" s="74"/>
      <c r="DHX21" s="72"/>
      <c r="DIE21" s="74"/>
      <c r="DIF21" s="72"/>
      <c r="DIM21" s="74"/>
      <c r="DIN21" s="72"/>
      <c r="DIU21" s="74"/>
      <c r="DIV21" s="72"/>
      <c r="DJC21" s="74"/>
      <c r="DJD21" s="72"/>
      <c r="DJK21" s="74"/>
      <c r="DJL21" s="72"/>
      <c r="DJS21" s="74"/>
      <c r="DJT21" s="72"/>
      <c r="DKA21" s="74"/>
      <c r="DKB21" s="72"/>
      <c r="DKI21" s="74"/>
      <c r="DKJ21" s="72"/>
      <c r="DKQ21" s="74"/>
      <c r="DKR21" s="72"/>
      <c r="DKY21" s="74"/>
      <c r="DKZ21" s="72"/>
      <c r="DLG21" s="74"/>
      <c r="DLH21" s="72"/>
      <c r="DLO21" s="74"/>
      <c r="DLP21" s="72"/>
      <c r="DLW21" s="74"/>
      <c r="DLX21" s="72"/>
      <c r="DME21" s="74"/>
      <c r="DMF21" s="72"/>
      <c r="DMM21" s="74"/>
      <c r="DMN21" s="72"/>
      <c r="DMU21" s="74"/>
      <c r="DMV21" s="72"/>
      <c r="DNC21" s="74"/>
      <c r="DND21" s="72"/>
      <c r="DNK21" s="74"/>
      <c r="DNL21" s="72"/>
      <c r="DNS21" s="74"/>
      <c r="DNT21" s="72"/>
      <c r="DOA21" s="74"/>
      <c r="DOB21" s="72"/>
      <c r="DOI21" s="74"/>
      <c r="DOJ21" s="72"/>
      <c r="DOQ21" s="74"/>
      <c r="DOR21" s="72"/>
      <c r="DOY21" s="74"/>
      <c r="DOZ21" s="72"/>
      <c r="DPG21" s="74"/>
      <c r="DPH21" s="72"/>
      <c r="DPO21" s="74"/>
      <c r="DPP21" s="72"/>
      <c r="DPW21" s="74"/>
      <c r="DPX21" s="72"/>
      <c r="DQE21" s="74"/>
      <c r="DQF21" s="72"/>
      <c r="DQM21" s="74"/>
      <c r="DQN21" s="72"/>
      <c r="DQU21" s="74"/>
      <c r="DQV21" s="72"/>
      <c r="DRC21" s="74"/>
      <c r="DRD21" s="72"/>
      <c r="DRK21" s="74"/>
      <c r="DRL21" s="72"/>
      <c r="DRS21" s="74"/>
      <c r="DRT21" s="72"/>
      <c r="DSA21" s="74"/>
      <c r="DSB21" s="72"/>
      <c r="DSI21" s="74"/>
      <c r="DSJ21" s="72"/>
      <c r="DSQ21" s="74"/>
      <c r="DSR21" s="72"/>
      <c r="DSY21" s="74"/>
      <c r="DSZ21" s="72"/>
      <c r="DTG21" s="74"/>
      <c r="DTH21" s="72"/>
      <c r="DTO21" s="74"/>
      <c r="DTP21" s="72"/>
      <c r="DTW21" s="74"/>
      <c r="DTX21" s="72"/>
      <c r="DUE21" s="74"/>
      <c r="DUF21" s="72"/>
      <c r="DUM21" s="74"/>
      <c r="DUN21" s="72"/>
      <c r="DUU21" s="74"/>
      <c r="DUV21" s="72"/>
      <c r="DVC21" s="74"/>
      <c r="DVD21" s="72"/>
      <c r="DVK21" s="74"/>
      <c r="DVL21" s="72"/>
      <c r="DVS21" s="74"/>
      <c r="DVT21" s="72"/>
      <c r="DWA21" s="74"/>
      <c r="DWB21" s="72"/>
      <c r="DWI21" s="74"/>
      <c r="DWJ21" s="72"/>
      <c r="DWQ21" s="74"/>
      <c r="DWR21" s="72"/>
      <c r="DWY21" s="74"/>
      <c r="DWZ21" s="72"/>
      <c r="DXG21" s="74"/>
      <c r="DXH21" s="72"/>
      <c r="DXO21" s="74"/>
      <c r="DXP21" s="72"/>
      <c r="DXW21" s="74"/>
      <c r="DXX21" s="72"/>
      <c r="DYE21" s="74"/>
      <c r="DYF21" s="72"/>
      <c r="DYM21" s="74"/>
      <c r="DYN21" s="72"/>
      <c r="DYU21" s="74"/>
      <c r="DYV21" s="72"/>
      <c r="DZC21" s="74"/>
      <c r="DZD21" s="72"/>
      <c r="DZK21" s="74"/>
      <c r="DZL21" s="72"/>
      <c r="DZS21" s="74"/>
      <c r="DZT21" s="72"/>
      <c r="EAA21" s="74"/>
      <c r="EAB21" s="72"/>
      <c r="EAI21" s="74"/>
      <c r="EAJ21" s="72"/>
      <c r="EAQ21" s="74"/>
      <c r="EAR21" s="72"/>
      <c r="EAY21" s="74"/>
      <c r="EAZ21" s="72"/>
      <c r="EBG21" s="74"/>
      <c r="EBH21" s="72"/>
      <c r="EBO21" s="74"/>
      <c r="EBP21" s="72"/>
      <c r="EBW21" s="74"/>
      <c r="EBX21" s="72"/>
      <c r="ECE21" s="74"/>
      <c r="ECF21" s="72"/>
      <c r="ECM21" s="74"/>
      <c r="ECN21" s="72"/>
      <c r="ECU21" s="74"/>
      <c r="ECV21" s="72"/>
      <c r="EDC21" s="74"/>
      <c r="EDD21" s="72"/>
      <c r="EDK21" s="74"/>
      <c r="EDL21" s="72"/>
      <c r="EDS21" s="74"/>
      <c r="EDT21" s="72"/>
      <c r="EEA21" s="74"/>
      <c r="EEB21" s="72"/>
      <c r="EEI21" s="74"/>
      <c r="EEJ21" s="72"/>
      <c r="EEQ21" s="74"/>
      <c r="EER21" s="72"/>
      <c r="EEY21" s="74"/>
      <c r="EEZ21" s="72"/>
      <c r="EFG21" s="74"/>
      <c r="EFH21" s="72"/>
      <c r="EFO21" s="74"/>
      <c r="EFP21" s="72"/>
      <c r="EFW21" s="74"/>
      <c r="EFX21" s="72"/>
      <c r="EGE21" s="74"/>
      <c r="EGF21" s="72"/>
      <c r="EGM21" s="74"/>
      <c r="EGN21" s="72"/>
      <c r="EGU21" s="74"/>
      <c r="EGV21" s="72"/>
      <c r="EHC21" s="74"/>
      <c r="EHD21" s="72"/>
      <c r="EHK21" s="74"/>
      <c r="EHL21" s="72"/>
      <c r="EHS21" s="74"/>
      <c r="EHT21" s="72"/>
      <c r="EIA21" s="74"/>
      <c r="EIB21" s="72"/>
      <c r="EII21" s="74"/>
      <c r="EIJ21" s="72"/>
      <c r="EIQ21" s="74"/>
      <c r="EIR21" s="72"/>
      <c r="EIY21" s="74"/>
      <c r="EIZ21" s="72"/>
      <c r="EJG21" s="74"/>
      <c r="EJH21" s="72"/>
      <c r="EJO21" s="74"/>
      <c r="EJP21" s="72"/>
      <c r="EJW21" s="74"/>
      <c r="EJX21" s="72"/>
      <c r="EKE21" s="74"/>
      <c r="EKF21" s="72"/>
      <c r="EKM21" s="74"/>
      <c r="EKN21" s="72"/>
      <c r="EKU21" s="74"/>
      <c r="EKV21" s="72"/>
      <c r="ELC21" s="74"/>
      <c r="ELD21" s="72"/>
      <c r="ELK21" s="74"/>
      <c r="ELL21" s="72"/>
      <c r="ELS21" s="74"/>
      <c r="ELT21" s="72"/>
      <c r="EMA21" s="74"/>
      <c r="EMB21" s="72"/>
      <c r="EMI21" s="74"/>
      <c r="EMJ21" s="72"/>
      <c r="EMQ21" s="74"/>
      <c r="EMR21" s="72"/>
      <c r="EMY21" s="74"/>
      <c r="EMZ21" s="72"/>
      <c r="ENG21" s="74"/>
      <c r="ENH21" s="72"/>
      <c r="ENO21" s="74"/>
      <c r="ENP21" s="72"/>
      <c r="ENW21" s="74"/>
      <c r="ENX21" s="72"/>
      <c r="EOE21" s="74"/>
      <c r="EOF21" s="72"/>
      <c r="EOM21" s="74"/>
      <c r="EON21" s="72"/>
      <c r="EOU21" s="74"/>
      <c r="EOV21" s="72"/>
      <c r="EPC21" s="74"/>
      <c r="EPD21" s="72"/>
      <c r="EPK21" s="74"/>
      <c r="EPL21" s="72"/>
      <c r="EPS21" s="74"/>
      <c r="EPT21" s="72"/>
      <c r="EQA21" s="74"/>
      <c r="EQB21" s="72"/>
      <c r="EQI21" s="74"/>
      <c r="EQJ21" s="72"/>
      <c r="EQQ21" s="74"/>
      <c r="EQR21" s="72"/>
      <c r="EQY21" s="74"/>
      <c r="EQZ21" s="72"/>
      <c r="ERG21" s="74"/>
      <c r="ERH21" s="72"/>
      <c r="ERO21" s="74"/>
      <c r="ERP21" s="72"/>
      <c r="ERW21" s="74"/>
      <c r="ERX21" s="72"/>
      <c r="ESE21" s="74"/>
      <c r="ESF21" s="72"/>
      <c r="ESM21" s="74"/>
      <c r="ESN21" s="72"/>
      <c r="ESU21" s="74"/>
      <c r="ESV21" s="72"/>
      <c r="ETC21" s="74"/>
      <c r="ETD21" s="72"/>
      <c r="ETK21" s="74"/>
      <c r="ETL21" s="72"/>
      <c r="ETS21" s="74"/>
      <c r="ETT21" s="72"/>
      <c r="EUA21" s="74"/>
      <c r="EUB21" s="72"/>
      <c r="EUI21" s="74"/>
      <c r="EUJ21" s="72"/>
      <c r="EUQ21" s="74"/>
      <c r="EUR21" s="72"/>
      <c r="EUY21" s="74"/>
      <c r="EUZ21" s="72"/>
      <c r="EVG21" s="74"/>
      <c r="EVH21" s="72"/>
      <c r="EVO21" s="74"/>
      <c r="EVP21" s="72"/>
      <c r="EVW21" s="74"/>
      <c r="EVX21" s="72"/>
      <c r="EWE21" s="74"/>
      <c r="EWF21" s="72"/>
      <c r="EWM21" s="74"/>
      <c r="EWN21" s="72"/>
      <c r="EWU21" s="74"/>
      <c r="EWV21" s="72"/>
      <c r="EXC21" s="74"/>
      <c r="EXD21" s="72"/>
      <c r="EXK21" s="74"/>
      <c r="EXL21" s="72"/>
      <c r="EXS21" s="74"/>
      <c r="EXT21" s="72"/>
      <c r="EYA21" s="74"/>
      <c r="EYB21" s="72"/>
      <c r="EYI21" s="74"/>
      <c r="EYJ21" s="72"/>
      <c r="EYQ21" s="74"/>
      <c r="EYR21" s="72"/>
      <c r="EYY21" s="74"/>
      <c r="EYZ21" s="72"/>
      <c r="EZG21" s="74"/>
      <c r="EZH21" s="72"/>
      <c r="EZO21" s="74"/>
      <c r="EZP21" s="72"/>
      <c r="EZW21" s="74"/>
      <c r="EZX21" s="72"/>
      <c r="FAE21" s="74"/>
      <c r="FAF21" s="72"/>
      <c r="FAM21" s="74"/>
      <c r="FAN21" s="72"/>
      <c r="FAU21" s="74"/>
      <c r="FAV21" s="72"/>
      <c r="FBC21" s="74"/>
      <c r="FBD21" s="72"/>
      <c r="FBK21" s="74"/>
      <c r="FBL21" s="72"/>
      <c r="FBS21" s="74"/>
      <c r="FBT21" s="72"/>
      <c r="FCA21" s="74"/>
      <c r="FCB21" s="72"/>
      <c r="FCI21" s="74"/>
      <c r="FCJ21" s="72"/>
      <c r="FCQ21" s="74"/>
      <c r="FCR21" s="72"/>
      <c r="FCY21" s="74"/>
      <c r="FCZ21" s="72"/>
      <c r="FDG21" s="74"/>
      <c r="FDH21" s="72"/>
      <c r="FDO21" s="74"/>
      <c r="FDP21" s="72"/>
      <c r="FDW21" s="74"/>
      <c r="FDX21" s="72"/>
      <c r="FEE21" s="74"/>
      <c r="FEF21" s="72"/>
      <c r="FEM21" s="74"/>
      <c r="FEN21" s="72"/>
      <c r="FEU21" s="74"/>
      <c r="FEV21" s="72"/>
      <c r="FFC21" s="74"/>
      <c r="FFD21" s="72"/>
      <c r="FFK21" s="74"/>
      <c r="FFL21" s="72"/>
      <c r="FFS21" s="74"/>
      <c r="FFT21" s="72"/>
      <c r="FGA21" s="74"/>
      <c r="FGB21" s="72"/>
      <c r="FGI21" s="74"/>
      <c r="FGJ21" s="72"/>
      <c r="FGQ21" s="74"/>
      <c r="FGR21" s="72"/>
      <c r="FGY21" s="74"/>
      <c r="FGZ21" s="72"/>
      <c r="FHG21" s="74"/>
      <c r="FHH21" s="72"/>
      <c r="FHO21" s="74"/>
      <c r="FHP21" s="72"/>
      <c r="FHW21" s="74"/>
      <c r="FHX21" s="72"/>
      <c r="FIE21" s="74"/>
      <c r="FIF21" s="72"/>
      <c r="FIM21" s="74"/>
      <c r="FIN21" s="72"/>
      <c r="FIU21" s="74"/>
      <c r="FIV21" s="72"/>
      <c r="FJC21" s="74"/>
      <c r="FJD21" s="72"/>
      <c r="FJK21" s="74"/>
      <c r="FJL21" s="72"/>
      <c r="FJS21" s="74"/>
      <c r="FJT21" s="72"/>
      <c r="FKA21" s="74"/>
      <c r="FKB21" s="72"/>
      <c r="FKI21" s="74"/>
      <c r="FKJ21" s="72"/>
      <c r="FKQ21" s="74"/>
      <c r="FKR21" s="72"/>
      <c r="FKY21" s="74"/>
      <c r="FKZ21" s="72"/>
      <c r="FLG21" s="74"/>
      <c r="FLH21" s="72"/>
      <c r="FLO21" s="74"/>
      <c r="FLP21" s="72"/>
      <c r="FLW21" s="74"/>
      <c r="FLX21" s="72"/>
      <c r="FME21" s="74"/>
      <c r="FMF21" s="72"/>
      <c r="FMM21" s="74"/>
      <c r="FMN21" s="72"/>
      <c r="FMU21" s="74"/>
      <c r="FMV21" s="72"/>
      <c r="FNC21" s="74"/>
      <c r="FND21" s="72"/>
      <c r="FNK21" s="74"/>
      <c r="FNL21" s="72"/>
      <c r="FNS21" s="74"/>
      <c r="FNT21" s="72"/>
      <c r="FOA21" s="74"/>
      <c r="FOB21" s="72"/>
      <c r="FOI21" s="74"/>
      <c r="FOJ21" s="72"/>
      <c r="FOQ21" s="74"/>
      <c r="FOR21" s="72"/>
      <c r="FOY21" s="74"/>
      <c r="FOZ21" s="72"/>
      <c r="FPG21" s="74"/>
      <c r="FPH21" s="72"/>
      <c r="FPO21" s="74"/>
      <c r="FPP21" s="72"/>
      <c r="FPW21" s="74"/>
      <c r="FPX21" s="72"/>
      <c r="FQE21" s="74"/>
      <c r="FQF21" s="72"/>
      <c r="FQM21" s="74"/>
      <c r="FQN21" s="72"/>
      <c r="FQU21" s="74"/>
      <c r="FQV21" s="72"/>
      <c r="FRC21" s="74"/>
      <c r="FRD21" s="72"/>
      <c r="FRK21" s="74"/>
      <c r="FRL21" s="72"/>
      <c r="FRS21" s="74"/>
      <c r="FRT21" s="72"/>
      <c r="FSA21" s="74"/>
      <c r="FSB21" s="72"/>
      <c r="FSI21" s="74"/>
      <c r="FSJ21" s="72"/>
      <c r="FSQ21" s="74"/>
      <c r="FSR21" s="72"/>
      <c r="FSY21" s="74"/>
      <c r="FSZ21" s="72"/>
      <c r="FTG21" s="74"/>
      <c r="FTH21" s="72"/>
      <c r="FTO21" s="74"/>
      <c r="FTP21" s="72"/>
      <c r="FTW21" s="74"/>
      <c r="FTX21" s="72"/>
      <c r="FUE21" s="74"/>
      <c r="FUF21" s="72"/>
      <c r="FUM21" s="74"/>
      <c r="FUN21" s="72"/>
      <c r="FUU21" s="74"/>
      <c r="FUV21" s="72"/>
      <c r="FVC21" s="74"/>
      <c r="FVD21" s="72"/>
      <c r="FVK21" s="74"/>
      <c r="FVL21" s="72"/>
      <c r="FVS21" s="74"/>
      <c r="FVT21" s="72"/>
      <c r="FWA21" s="74"/>
      <c r="FWB21" s="72"/>
      <c r="FWI21" s="74"/>
      <c r="FWJ21" s="72"/>
      <c r="FWQ21" s="74"/>
      <c r="FWR21" s="72"/>
      <c r="FWY21" s="74"/>
      <c r="FWZ21" s="72"/>
      <c r="FXG21" s="74"/>
      <c r="FXH21" s="72"/>
      <c r="FXO21" s="74"/>
      <c r="FXP21" s="72"/>
      <c r="FXW21" s="74"/>
      <c r="FXX21" s="72"/>
      <c r="FYE21" s="74"/>
      <c r="FYF21" s="72"/>
      <c r="FYM21" s="74"/>
      <c r="FYN21" s="72"/>
      <c r="FYU21" s="74"/>
      <c r="FYV21" s="72"/>
      <c r="FZC21" s="74"/>
      <c r="FZD21" s="72"/>
      <c r="FZK21" s="74"/>
      <c r="FZL21" s="72"/>
      <c r="FZS21" s="74"/>
      <c r="FZT21" s="72"/>
      <c r="GAA21" s="74"/>
      <c r="GAB21" s="72"/>
      <c r="GAI21" s="74"/>
      <c r="GAJ21" s="72"/>
      <c r="GAQ21" s="74"/>
      <c r="GAR21" s="72"/>
      <c r="GAY21" s="74"/>
      <c r="GAZ21" s="72"/>
      <c r="GBG21" s="74"/>
      <c r="GBH21" s="72"/>
      <c r="GBO21" s="74"/>
      <c r="GBP21" s="72"/>
      <c r="GBW21" s="74"/>
      <c r="GBX21" s="72"/>
      <c r="GCE21" s="74"/>
      <c r="GCF21" s="72"/>
      <c r="GCM21" s="74"/>
      <c r="GCN21" s="72"/>
      <c r="GCU21" s="74"/>
      <c r="GCV21" s="72"/>
      <c r="GDC21" s="74"/>
      <c r="GDD21" s="72"/>
      <c r="GDK21" s="74"/>
      <c r="GDL21" s="72"/>
      <c r="GDS21" s="74"/>
      <c r="GDT21" s="72"/>
      <c r="GEA21" s="74"/>
      <c r="GEB21" s="72"/>
      <c r="GEI21" s="74"/>
      <c r="GEJ21" s="72"/>
      <c r="GEQ21" s="74"/>
      <c r="GER21" s="72"/>
      <c r="GEY21" s="74"/>
      <c r="GEZ21" s="72"/>
      <c r="GFG21" s="74"/>
      <c r="GFH21" s="72"/>
      <c r="GFO21" s="74"/>
      <c r="GFP21" s="72"/>
      <c r="GFW21" s="74"/>
      <c r="GFX21" s="72"/>
      <c r="GGE21" s="74"/>
      <c r="GGF21" s="72"/>
      <c r="GGM21" s="74"/>
      <c r="GGN21" s="72"/>
      <c r="GGU21" s="74"/>
      <c r="GGV21" s="72"/>
      <c r="GHC21" s="74"/>
      <c r="GHD21" s="72"/>
      <c r="GHK21" s="74"/>
      <c r="GHL21" s="72"/>
      <c r="GHS21" s="74"/>
      <c r="GHT21" s="72"/>
      <c r="GIA21" s="74"/>
      <c r="GIB21" s="72"/>
      <c r="GII21" s="74"/>
      <c r="GIJ21" s="72"/>
      <c r="GIQ21" s="74"/>
      <c r="GIR21" s="72"/>
      <c r="GIY21" s="74"/>
      <c r="GIZ21" s="72"/>
      <c r="GJG21" s="74"/>
      <c r="GJH21" s="72"/>
      <c r="GJO21" s="74"/>
      <c r="GJP21" s="72"/>
      <c r="GJW21" s="74"/>
      <c r="GJX21" s="72"/>
      <c r="GKE21" s="74"/>
      <c r="GKF21" s="72"/>
      <c r="GKM21" s="74"/>
      <c r="GKN21" s="72"/>
      <c r="GKU21" s="74"/>
      <c r="GKV21" s="72"/>
      <c r="GLC21" s="74"/>
      <c r="GLD21" s="72"/>
      <c r="GLK21" s="74"/>
      <c r="GLL21" s="72"/>
      <c r="GLS21" s="74"/>
      <c r="GLT21" s="72"/>
      <c r="GMA21" s="74"/>
      <c r="GMB21" s="72"/>
      <c r="GMI21" s="74"/>
      <c r="GMJ21" s="72"/>
      <c r="GMQ21" s="74"/>
      <c r="GMR21" s="72"/>
      <c r="GMY21" s="74"/>
      <c r="GMZ21" s="72"/>
      <c r="GNG21" s="74"/>
      <c r="GNH21" s="72"/>
      <c r="GNO21" s="74"/>
      <c r="GNP21" s="72"/>
      <c r="GNW21" s="74"/>
      <c r="GNX21" s="72"/>
      <c r="GOE21" s="74"/>
      <c r="GOF21" s="72"/>
      <c r="GOM21" s="74"/>
      <c r="GON21" s="72"/>
      <c r="GOU21" s="74"/>
      <c r="GOV21" s="72"/>
      <c r="GPC21" s="74"/>
      <c r="GPD21" s="72"/>
      <c r="GPK21" s="74"/>
      <c r="GPL21" s="72"/>
      <c r="GPS21" s="74"/>
      <c r="GPT21" s="72"/>
      <c r="GQA21" s="74"/>
      <c r="GQB21" s="72"/>
      <c r="GQI21" s="74"/>
      <c r="GQJ21" s="72"/>
      <c r="GQQ21" s="74"/>
      <c r="GQR21" s="72"/>
      <c r="GQY21" s="74"/>
      <c r="GQZ21" s="72"/>
      <c r="GRG21" s="74"/>
      <c r="GRH21" s="72"/>
      <c r="GRO21" s="74"/>
      <c r="GRP21" s="72"/>
      <c r="GRW21" s="74"/>
      <c r="GRX21" s="72"/>
      <c r="GSE21" s="74"/>
      <c r="GSF21" s="72"/>
      <c r="GSM21" s="74"/>
      <c r="GSN21" s="72"/>
      <c r="GSU21" s="74"/>
      <c r="GSV21" s="72"/>
      <c r="GTC21" s="74"/>
      <c r="GTD21" s="72"/>
      <c r="GTK21" s="74"/>
      <c r="GTL21" s="72"/>
      <c r="GTS21" s="74"/>
      <c r="GTT21" s="72"/>
      <c r="GUA21" s="74"/>
      <c r="GUB21" s="72"/>
      <c r="GUI21" s="74"/>
      <c r="GUJ21" s="72"/>
      <c r="GUQ21" s="74"/>
      <c r="GUR21" s="72"/>
      <c r="GUY21" s="74"/>
      <c r="GUZ21" s="72"/>
      <c r="GVG21" s="74"/>
      <c r="GVH21" s="72"/>
      <c r="GVO21" s="74"/>
      <c r="GVP21" s="72"/>
      <c r="GVW21" s="74"/>
      <c r="GVX21" s="72"/>
      <c r="GWE21" s="74"/>
      <c r="GWF21" s="72"/>
      <c r="GWM21" s="74"/>
      <c r="GWN21" s="72"/>
      <c r="GWU21" s="74"/>
      <c r="GWV21" s="72"/>
      <c r="GXC21" s="74"/>
      <c r="GXD21" s="72"/>
      <c r="GXK21" s="74"/>
      <c r="GXL21" s="72"/>
      <c r="GXS21" s="74"/>
      <c r="GXT21" s="72"/>
      <c r="GYA21" s="74"/>
      <c r="GYB21" s="72"/>
      <c r="GYI21" s="74"/>
      <c r="GYJ21" s="72"/>
      <c r="GYQ21" s="74"/>
      <c r="GYR21" s="72"/>
      <c r="GYY21" s="74"/>
      <c r="GYZ21" s="72"/>
      <c r="GZG21" s="74"/>
      <c r="GZH21" s="72"/>
      <c r="GZO21" s="74"/>
      <c r="GZP21" s="72"/>
      <c r="GZW21" s="74"/>
      <c r="GZX21" s="72"/>
      <c r="HAE21" s="74"/>
      <c r="HAF21" s="72"/>
      <c r="HAM21" s="74"/>
      <c r="HAN21" s="72"/>
      <c r="HAU21" s="74"/>
      <c r="HAV21" s="72"/>
      <c r="HBC21" s="74"/>
      <c r="HBD21" s="72"/>
      <c r="HBK21" s="74"/>
      <c r="HBL21" s="72"/>
      <c r="HBS21" s="74"/>
      <c r="HBT21" s="72"/>
      <c r="HCA21" s="74"/>
      <c r="HCB21" s="72"/>
      <c r="HCI21" s="74"/>
      <c r="HCJ21" s="72"/>
      <c r="HCQ21" s="74"/>
      <c r="HCR21" s="72"/>
      <c r="HCY21" s="74"/>
      <c r="HCZ21" s="72"/>
      <c r="HDG21" s="74"/>
      <c r="HDH21" s="72"/>
      <c r="HDO21" s="74"/>
      <c r="HDP21" s="72"/>
      <c r="HDW21" s="74"/>
      <c r="HDX21" s="72"/>
      <c r="HEE21" s="74"/>
      <c r="HEF21" s="72"/>
      <c r="HEM21" s="74"/>
      <c r="HEN21" s="72"/>
      <c r="HEU21" s="74"/>
      <c r="HEV21" s="72"/>
      <c r="HFC21" s="74"/>
      <c r="HFD21" s="72"/>
      <c r="HFK21" s="74"/>
      <c r="HFL21" s="72"/>
      <c r="HFS21" s="74"/>
      <c r="HFT21" s="72"/>
      <c r="HGA21" s="74"/>
      <c r="HGB21" s="72"/>
      <c r="HGI21" s="74"/>
      <c r="HGJ21" s="72"/>
      <c r="HGQ21" s="74"/>
      <c r="HGR21" s="72"/>
      <c r="HGY21" s="74"/>
      <c r="HGZ21" s="72"/>
      <c r="HHG21" s="74"/>
      <c r="HHH21" s="72"/>
      <c r="HHO21" s="74"/>
      <c r="HHP21" s="72"/>
      <c r="HHW21" s="74"/>
      <c r="HHX21" s="72"/>
      <c r="HIE21" s="74"/>
      <c r="HIF21" s="72"/>
      <c r="HIM21" s="74"/>
      <c r="HIN21" s="72"/>
      <c r="HIU21" s="74"/>
      <c r="HIV21" s="72"/>
      <c r="HJC21" s="74"/>
      <c r="HJD21" s="72"/>
      <c r="HJK21" s="74"/>
      <c r="HJL21" s="72"/>
      <c r="HJS21" s="74"/>
      <c r="HJT21" s="72"/>
      <c r="HKA21" s="74"/>
      <c r="HKB21" s="72"/>
      <c r="HKI21" s="74"/>
      <c r="HKJ21" s="72"/>
      <c r="HKQ21" s="74"/>
      <c r="HKR21" s="72"/>
      <c r="HKY21" s="74"/>
      <c r="HKZ21" s="72"/>
      <c r="HLG21" s="74"/>
      <c r="HLH21" s="72"/>
      <c r="HLO21" s="74"/>
      <c r="HLP21" s="72"/>
      <c r="HLW21" s="74"/>
      <c r="HLX21" s="72"/>
      <c r="HME21" s="74"/>
      <c r="HMF21" s="72"/>
      <c r="HMM21" s="74"/>
      <c r="HMN21" s="72"/>
      <c r="HMU21" s="74"/>
      <c r="HMV21" s="72"/>
      <c r="HNC21" s="74"/>
      <c r="HND21" s="72"/>
      <c r="HNK21" s="74"/>
      <c r="HNL21" s="72"/>
      <c r="HNS21" s="74"/>
      <c r="HNT21" s="72"/>
      <c r="HOA21" s="74"/>
      <c r="HOB21" s="72"/>
      <c r="HOI21" s="74"/>
      <c r="HOJ21" s="72"/>
      <c r="HOQ21" s="74"/>
      <c r="HOR21" s="72"/>
      <c r="HOY21" s="74"/>
      <c r="HOZ21" s="72"/>
      <c r="HPG21" s="74"/>
      <c r="HPH21" s="72"/>
      <c r="HPO21" s="74"/>
      <c r="HPP21" s="72"/>
      <c r="HPW21" s="74"/>
      <c r="HPX21" s="72"/>
      <c r="HQE21" s="74"/>
      <c r="HQF21" s="72"/>
      <c r="HQM21" s="74"/>
      <c r="HQN21" s="72"/>
      <c r="HQU21" s="74"/>
      <c r="HQV21" s="72"/>
      <c r="HRC21" s="74"/>
      <c r="HRD21" s="72"/>
      <c r="HRK21" s="74"/>
      <c r="HRL21" s="72"/>
      <c r="HRS21" s="74"/>
      <c r="HRT21" s="72"/>
      <c r="HSA21" s="74"/>
      <c r="HSB21" s="72"/>
      <c r="HSI21" s="74"/>
      <c r="HSJ21" s="72"/>
      <c r="HSQ21" s="74"/>
      <c r="HSR21" s="72"/>
      <c r="HSY21" s="74"/>
      <c r="HSZ21" s="72"/>
      <c r="HTG21" s="74"/>
      <c r="HTH21" s="72"/>
      <c r="HTO21" s="74"/>
      <c r="HTP21" s="72"/>
      <c r="HTW21" s="74"/>
      <c r="HTX21" s="72"/>
      <c r="HUE21" s="74"/>
      <c r="HUF21" s="72"/>
      <c r="HUM21" s="74"/>
      <c r="HUN21" s="72"/>
      <c r="HUU21" s="74"/>
      <c r="HUV21" s="72"/>
      <c r="HVC21" s="74"/>
      <c r="HVD21" s="72"/>
      <c r="HVK21" s="74"/>
      <c r="HVL21" s="72"/>
      <c r="HVS21" s="74"/>
      <c r="HVT21" s="72"/>
      <c r="HWA21" s="74"/>
      <c r="HWB21" s="72"/>
      <c r="HWI21" s="74"/>
      <c r="HWJ21" s="72"/>
      <c r="HWQ21" s="74"/>
      <c r="HWR21" s="72"/>
      <c r="HWY21" s="74"/>
      <c r="HWZ21" s="72"/>
      <c r="HXG21" s="74"/>
      <c r="HXH21" s="72"/>
      <c r="HXO21" s="74"/>
      <c r="HXP21" s="72"/>
      <c r="HXW21" s="74"/>
      <c r="HXX21" s="72"/>
      <c r="HYE21" s="74"/>
      <c r="HYF21" s="72"/>
      <c r="HYM21" s="74"/>
      <c r="HYN21" s="72"/>
      <c r="HYU21" s="74"/>
      <c r="HYV21" s="72"/>
      <c r="HZC21" s="74"/>
      <c r="HZD21" s="72"/>
      <c r="HZK21" s="74"/>
      <c r="HZL21" s="72"/>
      <c r="HZS21" s="74"/>
      <c r="HZT21" s="72"/>
      <c r="IAA21" s="74"/>
      <c r="IAB21" s="72"/>
      <c r="IAI21" s="74"/>
      <c r="IAJ21" s="72"/>
      <c r="IAQ21" s="74"/>
      <c r="IAR21" s="72"/>
      <c r="IAY21" s="74"/>
      <c r="IAZ21" s="72"/>
      <c r="IBG21" s="74"/>
      <c r="IBH21" s="72"/>
      <c r="IBO21" s="74"/>
      <c r="IBP21" s="72"/>
      <c r="IBW21" s="74"/>
      <c r="IBX21" s="72"/>
      <c r="ICE21" s="74"/>
      <c r="ICF21" s="72"/>
      <c r="ICM21" s="74"/>
      <c r="ICN21" s="72"/>
      <c r="ICU21" s="74"/>
      <c r="ICV21" s="72"/>
      <c r="IDC21" s="74"/>
      <c r="IDD21" s="72"/>
      <c r="IDK21" s="74"/>
      <c r="IDL21" s="72"/>
      <c r="IDS21" s="74"/>
      <c r="IDT21" s="72"/>
      <c r="IEA21" s="74"/>
      <c r="IEB21" s="72"/>
      <c r="IEI21" s="74"/>
      <c r="IEJ21" s="72"/>
      <c r="IEQ21" s="74"/>
      <c r="IER21" s="72"/>
      <c r="IEY21" s="74"/>
      <c r="IEZ21" s="72"/>
      <c r="IFG21" s="74"/>
      <c r="IFH21" s="72"/>
      <c r="IFO21" s="74"/>
      <c r="IFP21" s="72"/>
      <c r="IFW21" s="74"/>
      <c r="IFX21" s="72"/>
      <c r="IGE21" s="74"/>
      <c r="IGF21" s="72"/>
      <c r="IGM21" s="74"/>
      <c r="IGN21" s="72"/>
      <c r="IGU21" s="74"/>
      <c r="IGV21" s="72"/>
      <c r="IHC21" s="74"/>
      <c r="IHD21" s="72"/>
      <c r="IHK21" s="74"/>
      <c r="IHL21" s="72"/>
      <c r="IHS21" s="74"/>
      <c r="IHT21" s="72"/>
      <c r="IIA21" s="74"/>
      <c r="IIB21" s="72"/>
      <c r="III21" s="74"/>
      <c r="IIJ21" s="72"/>
      <c r="IIQ21" s="74"/>
      <c r="IIR21" s="72"/>
      <c r="IIY21" s="74"/>
      <c r="IIZ21" s="72"/>
      <c r="IJG21" s="74"/>
      <c r="IJH21" s="72"/>
      <c r="IJO21" s="74"/>
      <c r="IJP21" s="72"/>
      <c r="IJW21" s="74"/>
      <c r="IJX21" s="72"/>
      <c r="IKE21" s="74"/>
      <c r="IKF21" s="72"/>
      <c r="IKM21" s="74"/>
      <c r="IKN21" s="72"/>
      <c r="IKU21" s="74"/>
      <c r="IKV21" s="72"/>
      <c r="ILC21" s="74"/>
      <c r="ILD21" s="72"/>
      <c r="ILK21" s="74"/>
      <c r="ILL21" s="72"/>
      <c r="ILS21" s="74"/>
      <c r="ILT21" s="72"/>
      <c r="IMA21" s="74"/>
      <c r="IMB21" s="72"/>
      <c r="IMI21" s="74"/>
      <c r="IMJ21" s="72"/>
      <c r="IMQ21" s="74"/>
      <c r="IMR21" s="72"/>
      <c r="IMY21" s="74"/>
      <c r="IMZ21" s="72"/>
      <c r="ING21" s="74"/>
      <c r="INH21" s="72"/>
      <c r="INO21" s="74"/>
      <c r="INP21" s="72"/>
      <c r="INW21" s="74"/>
      <c r="INX21" s="72"/>
      <c r="IOE21" s="74"/>
      <c r="IOF21" s="72"/>
      <c r="IOM21" s="74"/>
      <c r="ION21" s="72"/>
      <c r="IOU21" s="74"/>
      <c r="IOV21" s="72"/>
      <c r="IPC21" s="74"/>
      <c r="IPD21" s="72"/>
      <c r="IPK21" s="74"/>
      <c r="IPL21" s="72"/>
      <c r="IPS21" s="74"/>
      <c r="IPT21" s="72"/>
      <c r="IQA21" s="74"/>
      <c r="IQB21" s="72"/>
      <c r="IQI21" s="74"/>
      <c r="IQJ21" s="72"/>
      <c r="IQQ21" s="74"/>
      <c r="IQR21" s="72"/>
      <c r="IQY21" s="74"/>
      <c r="IQZ21" s="72"/>
      <c r="IRG21" s="74"/>
      <c r="IRH21" s="72"/>
      <c r="IRO21" s="74"/>
      <c r="IRP21" s="72"/>
      <c r="IRW21" s="74"/>
      <c r="IRX21" s="72"/>
      <c r="ISE21" s="74"/>
      <c r="ISF21" s="72"/>
      <c r="ISM21" s="74"/>
      <c r="ISN21" s="72"/>
      <c r="ISU21" s="74"/>
      <c r="ISV21" s="72"/>
      <c r="ITC21" s="74"/>
      <c r="ITD21" s="72"/>
      <c r="ITK21" s="74"/>
      <c r="ITL21" s="72"/>
      <c r="ITS21" s="74"/>
      <c r="ITT21" s="72"/>
      <c r="IUA21" s="74"/>
      <c r="IUB21" s="72"/>
      <c r="IUI21" s="74"/>
      <c r="IUJ21" s="72"/>
      <c r="IUQ21" s="74"/>
      <c r="IUR21" s="72"/>
      <c r="IUY21" s="74"/>
      <c r="IUZ21" s="72"/>
      <c r="IVG21" s="74"/>
      <c r="IVH21" s="72"/>
      <c r="IVO21" s="74"/>
      <c r="IVP21" s="72"/>
      <c r="IVW21" s="74"/>
      <c r="IVX21" s="72"/>
      <c r="IWE21" s="74"/>
      <c r="IWF21" s="72"/>
      <c r="IWM21" s="74"/>
      <c r="IWN21" s="72"/>
      <c r="IWU21" s="74"/>
      <c r="IWV21" s="72"/>
      <c r="IXC21" s="74"/>
      <c r="IXD21" s="72"/>
      <c r="IXK21" s="74"/>
      <c r="IXL21" s="72"/>
      <c r="IXS21" s="74"/>
      <c r="IXT21" s="72"/>
      <c r="IYA21" s="74"/>
      <c r="IYB21" s="72"/>
      <c r="IYI21" s="74"/>
      <c r="IYJ21" s="72"/>
      <c r="IYQ21" s="74"/>
      <c r="IYR21" s="72"/>
      <c r="IYY21" s="74"/>
      <c r="IYZ21" s="72"/>
      <c r="IZG21" s="74"/>
      <c r="IZH21" s="72"/>
      <c r="IZO21" s="74"/>
      <c r="IZP21" s="72"/>
      <c r="IZW21" s="74"/>
      <c r="IZX21" s="72"/>
      <c r="JAE21" s="74"/>
      <c r="JAF21" s="72"/>
      <c r="JAM21" s="74"/>
      <c r="JAN21" s="72"/>
      <c r="JAU21" s="74"/>
      <c r="JAV21" s="72"/>
      <c r="JBC21" s="74"/>
      <c r="JBD21" s="72"/>
      <c r="JBK21" s="74"/>
      <c r="JBL21" s="72"/>
      <c r="JBS21" s="74"/>
      <c r="JBT21" s="72"/>
      <c r="JCA21" s="74"/>
      <c r="JCB21" s="72"/>
      <c r="JCI21" s="74"/>
      <c r="JCJ21" s="72"/>
      <c r="JCQ21" s="74"/>
      <c r="JCR21" s="72"/>
      <c r="JCY21" s="74"/>
      <c r="JCZ21" s="72"/>
      <c r="JDG21" s="74"/>
      <c r="JDH21" s="72"/>
      <c r="JDO21" s="74"/>
      <c r="JDP21" s="72"/>
      <c r="JDW21" s="74"/>
      <c r="JDX21" s="72"/>
      <c r="JEE21" s="74"/>
      <c r="JEF21" s="72"/>
      <c r="JEM21" s="74"/>
      <c r="JEN21" s="72"/>
      <c r="JEU21" s="74"/>
      <c r="JEV21" s="72"/>
      <c r="JFC21" s="74"/>
      <c r="JFD21" s="72"/>
      <c r="JFK21" s="74"/>
      <c r="JFL21" s="72"/>
      <c r="JFS21" s="74"/>
      <c r="JFT21" s="72"/>
      <c r="JGA21" s="74"/>
      <c r="JGB21" s="72"/>
      <c r="JGI21" s="74"/>
      <c r="JGJ21" s="72"/>
      <c r="JGQ21" s="74"/>
      <c r="JGR21" s="72"/>
      <c r="JGY21" s="74"/>
      <c r="JGZ21" s="72"/>
      <c r="JHG21" s="74"/>
      <c r="JHH21" s="72"/>
      <c r="JHO21" s="74"/>
      <c r="JHP21" s="72"/>
      <c r="JHW21" s="74"/>
      <c r="JHX21" s="72"/>
      <c r="JIE21" s="74"/>
      <c r="JIF21" s="72"/>
      <c r="JIM21" s="74"/>
      <c r="JIN21" s="72"/>
      <c r="JIU21" s="74"/>
      <c r="JIV21" s="72"/>
      <c r="JJC21" s="74"/>
      <c r="JJD21" s="72"/>
      <c r="JJK21" s="74"/>
      <c r="JJL21" s="72"/>
      <c r="JJS21" s="74"/>
      <c r="JJT21" s="72"/>
      <c r="JKA21" s="74"/>
      <c r="JKB21" s="72"/>
      <c r="JKI21" s="74"/>
      <c r="JKJ21" s="72"/>
      <c r="JKQ21" s="74"/>
      <c r="JKR21" s="72"/>
      <c r="JKY21" s="74"/>
      <c r="JKZ21" s="72"/>
      <c r="JLG21" s="74"/>
      <c r="JLH21" s="72"/>
      <c r="JLO21" s="74"/>
      <c r="JLP21" s="72"/>
      <c r="JLW21" s="74"/>
      <c r="JLX21" s="72"/>
      <c r="JME21" s="74"/>
      <c r="JMF21" s="72"/>
      <c r="JMM21" s="74"/>
      <c r="JMN21" s="72"/>
      <c r="JMU21" s="74"/>
      <c r="JMV21" s="72"/>
      <c r="JNC21" s="74"/>
      <c r="JND21" s="72"/>
      <c r="JNK21" s="74"/>
      <c r="JNL21" s="72"/>
      <c r="JNS21" s="74"/>
      <c r="JNT21" s="72"/>
      <c r="JOA21" s="74"/>
      <c r="JOB21" s="72"/>
      <c r="JOI21" s="74"/>
      <c r="JOJ21" s="72"/>
      <c r="JOQ21" s="74"/>
      <c r="JOR21" s="72"/>
      <c r="JOY21" s="74"/>
      <c r="JOZ21" s="72"/>
      <c r="JPG21" s="74"/>
      <c r="JPH21" s="72"/>
      <c r="JPO21" s="74"/>
      <c r="JPP21" s="72"/>
      <c r="JPW21" s="74"/>
      <c r="JPX21" s="72"/>
      <c r="JQE21" s="74"/>
      <c r="JQF21" s="72"/>
      <c r="JQM21" s="74"/>
      <c r="JQN21" s="72"/>
      <c r="JQU21" s="74"/>
      <c r="JQV21" s="72"/>
      <c r="JRC21" s="74"/>
      <c r="JRD21" s="72"/>
      <c r="JRK21" s="74"/>
      <c r="JRL21" s="72"/>
      <c r="JRS21" s="74"/>
      <c r="JRT21" s="72"/>
      <c r="JSA21" s="74"/>
      <c r="JSB21" s="72"/>
      <c r="JSI21" s="74"/>
      <c r="JSJ21" s="72"/>
      <c r="JSQ21" s="74"/>
      <c r="JSR21" s="72"/>
      <c r="JSY21" s="74"/>
      <c r="JSZ21" s="72"/>
      <c r="JTG21" s="74"/>
      <c r="JTH21" s="72"/>
      <c r="JTO21" s="74"/>
      <c r="JTP21" s="72"/>
      <c r="JTW21" s="74"/>
      <c r="JTX21" s="72"/>
      <c r="JUE21" s="74"/>
      <c r="JUF21" s="72"/>
      <c r="JUM21" s="74"/>
      <c r="JUN21" s="72"/>
      <c r="JUU21" s="74"/>
      <c r="JUV21" s="72"/>
      <c r="JVC21" s="74"/>
      <c r="JVD21" s="72"/>
      <c r="JVK21" s="74"/>
      <c r="JVL21" s="72"/>
      <c r="JVS21" s="74"/>
      <c r="JVT21" s="72"/>
      <c r="JWA21" s="74"/>
      <c r="JWB21" s="72"/>
      <c r="JWI21" s="74"/>
      <c r="JWJ21" s="72"/>
      <c r="JWQ21" s="74"/>
      <c r="JWR21" s="72"/>
      <c r="JWY21" s="74"/>
      <c r="JWZ21" s="72"/>
      <c r="JXG21" s="74"/>
      <c r="JXH21" s="72"/>
      <c r="JXO21" s="74"/>
      <c r="JXP21" s="72"/>
      <c r="JXW21" s="74"/>
      <c r="JXX21" s="72"/>
      <c r="JYE21" s="74"/>
      <c r="JYF21" s="72"/>
      <c r="JYM21" s="74"/>
      <c r="JYN21" s="72"/>
      <c r="JYU21" s="74"/>
      <c r="JYV21" s="72"/>
      <c r="JZC21" s="74"/>
      <c r="JZD21" s="72"/>
      <c r="JZK21" s="74"/>
      <c r="JZL21" s="72"/>
      <c r="JZS21" s="74"/>
      <c r="JZT21" s="72"/>
      <c r="KAA21" s="74"/>
      <c r="KAB21" s="72"/>
      <c r="KAI21" s="74"/>
      <c r="KAJ21" s="72"/>
      <c r="KAQ21" s="74"/>
      <c r="KAR21" s="72"/>
      <c r="KAY21" s="74"/>
      <c r="KAZ21" s="72"/>
      <c r="KBG21" s="74"/>
      <c r="KBH21" s="72"/>
      <c r="KBO21" s="74"/>
      <c r="KBP21" s="72"/>
      <c r="KBW21" s="74"/>
      <c r="KBX21" s="72"/>
      <c r="KCE21" s="74"/>
      <c r="KCF21" s="72"/>
      <c r="KCM21" s="74"/>
      <c r="KCN21" s="72"/>
      <c r="KCU21" s="74"/>
      <c r="KCV21" s="72"/>
      <c r="KDC21" s="74"/>
      <c r="KDD21" s="72"/>
      <c r="KDK21" s="74"/>
      <c r="KDL21" s="72"/>
      <c r="KDS21" s="74"/>
      <c r="KDT21" s="72"/>
      <c r="KEA21" s="74"/>
      <c r="KEB21" s="72"/>
      <c r="KEI21" s="74"/>
      <c r="KEJ21" s="72"/>
      <c r="KEQ21" s="74"/>
      <c r="KER21" s="72"/>
      <c r="KEY21" s="74"/>
      <c r="KEZ21" s="72"/>
      <c r="KFG21" s="74"/>
      <c r="KFH21" s="72"/>
      <c r="KFO21" s="74"/>
      <c r="KFP21" s="72"/>
      <c r="KFW21" s="74"/>
      <c r="KFX21" s="72"/>
      <c r="KGE21" s="74"/>
      <c r="KGF21" s="72"/>
      <c r="KGM21" s="74"/>
      <c r="KGN21" s="72"/>
      <c r="KGU21" s="74"/>
      <c r="KGV21" s="72"/>
      <c r="KHC21" s="74"/>
      <c r="KHD21" s="72"/>
      <c r="KHK21" s="74"/>
      <c r="KHL21" s="72"/>
      <c r="KHS21" s="74"/>
      <c r="KHT21" s="72"/>
      <c r="KIA21" s="74"/>
      <c r="KIB21" s="72"/>
      <c r="KII21" s="74"/>
      <c r="KIJ21" s="72"/>
      <c r="KIQ21" s="74"/>
      <c r="KIR21" s="72"/>
      <c r="KIY21" s="74"/>
      <c r="KIZ21" s="72"/>
      <c r="KJG21" s="74"/>
      <c r="KJH21" s="72"/>
      <c r="KJO21" s="74"/>
      <c r="KJP21" s="72"/>
      <c r="KJW21" s="74"/>
      <c r="KJX21" s="72"/>
      <c r="KKE21" s="74"/>
      <c r="KKF21" s="72"/>
      <c r="KKM21" s="74"/>
      <c r="KKN21" s="72"/>
      <c r="KKU21" s="74"/>
      <c r="KKV21" s="72"/>
      <c r="KLC21" s="74"/>
      <c r="KLD21" s="72"/>
      <c r="KLK21" s="74"/>
      <c r="KLL21" s="72"/>
      <c r="KLS21" s="74"/>
      <c r="KLT21" s="72"/>
      <c r="KMA21" s="74"/>
      <c r="KMB21" s="72"/>
      <c r="KMI21" s="74"/>
      <c r="KMJ21" s="72"/>
      <c r="KMQ21" s="74"/>
      <c r="KMR21" s="72"/>
      <c r="KMY21" s="74"/>
      <c r="KMZ21" s="72"/>
      <c r="KNG21" s="74"/>
      <c r="KNH21" s="72"/>
      <c r="KNO21" s="74"/>
      <c r="KNP21" s="72"/>
      <c r="KNW21" s="74"/>
      <c r="KNX21" s="72"/>
      <c r="KOE21" s="74"/>
      <c r="KOF21" s="72"/>
      <c r="KOM21" s="74"/>
      <c r="KON21" s="72"/>
      <c r="KOU21" s="74"/>
      <c r="KOV21" s="72"/>
      <c r="KPC21" s="74"/>
      <c r="KPD21" s="72"/>
      <c r="KPK21" s="74"/>
      <c r="KPL21" s="72"/>
      <c r="KPS21" s="74"/>
      <c r="KPT21" s="72"/>
      <c r="KQA21" s="74"/>
      <c r="KQB21" s="72"/>
      <c r="KQI21" s="74"/>
      <c r="KQJ21" s="72"/>
      <c r="KQQ21" s="74"/>
      <c r="KQR21" s="72"/>
      <c r="KQY21" s="74"/>
      <c r="KQZ21" s="72"/>
      <c r="KRG21" s="74"/>
      <c r="KRH21" s="72"/>
      <c r="KRO21" s="74"/>
      <c r="KRP21" s="72"/>
      <c r="KRW21" s="74"/>
      <c r="KRX21" s="72"/>
      <c r="KSE21" s="74"/>
      <c r="KSF21" s="72"/>
      <c r="KSM21" s="74"/>
      <c r="KSN21" s="72"/>
      <c r="KSU21" s="74"/>
      <c r="KSV21" s="72"/>
      <c r="KTC21" s="74"/>
      <c r="KTD21" s="72"/>
      <c r="KTK21" s="74"/>
      <c r="KTL21" s="72"/>
      <c r="KTS21" s="74"/>
      <c r="KTT21" s="72"/>
      <c r="KUA21" s="74"/>
      <c r="KUB21" s="72"/>
      <c r="KUI21" s="74"/>
      <c r="KUJ21" s="72"/>
      <c r="KUQ21" s="74"/>
      <c r="KUR21" s="72"/>
      <c r="KUY21" s="74"/>
      <c r="KUZ21" s="72"/>
      <c r="KVG21" s="74"/>
      <c r="KVH21" s="72"/>
      <c r="KVO21" s="74"/>
      <c r="KVP21" s="72"/>
      <c r="KVW21" s="74"/>
      <c r="KVX21" s="72"/>
      <c r="KWE21" s="74"/>
      <c r="KWF21" s="72"/>
      <c r="KWM21" s="74"/>
      <c r="KWN21" s="72"/>
      <c r="KWU21" s="74"/>
      <c r="KWV21" s="72"/>
      <c r="KXC21" s="74"/>
      <c r="KXD21" s="72"/>
      <c r="KXK21" s="74"/>
      <c r="KXL21" s="72"/>
      <c r="KXS21" s="74"/>
      <c r="KXT21" s="72"/>
      <c r="KYA21" s="74"/>
      <c r="KYB21" s="72"/>
      <c r="KYI21" s="74"/>
      <c r="KYJ21" s="72"/>
      <c r="KYQ21" s="74"/>
      <c r="KYR21" s="72"/>
      <c r="KYY21" s="74"/>
      <c r="KYZ21" s="72"/>
      <c r="KZG21" s="74"/>
      <c r="KZH21" s="72"/>
      <c r="KZO21" s="74"/>
      <c r="KZP21" s="72"/>
      <c r="KZW21" s="74"/>
      <c r="KZX21" s="72"/>
      <c r="LAE21" s="74"/>
      <c r="LAF21" s="72"/>
      <c r="LAM21" s="74"/>
      <c r="LAN21" s="72"/>
      <c r="LAU21" s="74"/>
      <c r="LAV21" s="72"/>
      <c r="LBC21" s="74"/>
      <c r="LBD21" s="72"/>
      <c r="LBK21" s="74"/>
      <c r="LBL21" s="72"/>
      <c r="LBS21" s="74"/>
      <c r="LBT21" s="72"/>
      <c r="LCA21" s="74"/>
      <c r="LCB21" s="72"/>
      <c r="LCI21" s="74"/>
      <c r="LCJ21" s="72"/>
      <c r="LCQ21" s="74"/>
      <c r="LCR21" s="72"/>
      <c r="LCY21" s="74"/>
      <c r="LCZ21" s="72"/>
      <c r="LDG21" s="74"/>
      <c r="LDH21" s="72"/>
      <c r="LDO21" s="74"/>
      <c r="LDP21" s="72"/>
      <c r="LDW21" s="74"/>
      <c r="LDX21" s="72"/>
      <c r="LEE21" s="74"/>
      <c r="LEF21" s="72"/>
      <c r="LEM21" s="74"/>
      <c r="LEN21" s="72"/>
      <c r="LEU21" s="74"/>
      <c r="LEV21" s="72"/>
      <c r="LFC21" s="74"/>
      <c r="LFD21" s="72"/>
      <c r="LFK21" s="74"/>
      <c r="LFL21" s="72"/>
      <c r="LFS21" s="74"/>
      <c r="LFT21" s="72"/>
      <c r="LGA21" s="74"/>
      <c r="LGB21" s="72"/>
      <c r="LGI21" s="74"/>
      <c r="LGJ21" s="72"/>
      <c r="LGQ21" s="74"/>
      <c r="LGR21" s="72"/>
      <c r="LGY21" s="74"/>
      <c r="LGZ21" s="72"/>
      <c r="LHG21" s="74"/>
      <c r="LHH21" s="72"/>
      <c r="LHO21" s="74"/>
      <c r="LHP21" s="72"/>
      <c r="LHW21" s="74"/>
      <c r="LHX21" s="72"/>
      <c r="LIE21" s="74"/>
      <c r="LIF21" s="72"/>
      <c r="LIM21" s="74"/>
      <c r="LIN21" s="72"/>
      <c r="LIU21" s="74"/>
      <c r="LIV21" s="72"/>
      <c r="LJC21" s="74"/>
      <c r="LJD21" s="72"/>
      <c r="LJK21" s="74"/>
      <c r="LJL21" s="72"/>
      <c r="LJS21" s="74"/>
      <c r="LJT21" s="72"/>
      <c r="LKA21" s="74"/>
      <c r="LKB21" s="72"/>
      <c r="LKI21" s="74"/>
      <c r="LKJ21" s="72"/>
      <c r="LKQ21" s="74"/>
      <c r="LKR21" s="72"/>
      <c r="LKY21" s="74"/>
      <c r="LKZ21" s="72"/>
      <c r="LLG21" s="74"/>
      <c r="LLH21" s="72"/>
      <c r="LLO21" s="74"/>
      <c r="LLP21" s="72"/>
      <c r="LLW21" s="74"/>
      <c r="LLX21" s="72"/>
      <c r="LME21" s="74"/>
      <c r="LMF21" s="72"/>
      <c r="LMM21" s="74"/>
      <c r="LMN21" s="72"/>
      <c r="LMU21" s="74"/>
      <c r="LMV21" s="72"/>
      <c r="LNC21" s="74"/>
      <c r="LND21" s="72"/>
      <c r="LNK21" s="74"/>
      <c r="LNL21" s="72"/>
      <c r="LNS21" s="74"/>
      <c r="LNT21" s="72"/>
      <c r="LOA21" s="74"/>
      <c r="LOB21" s="72"/>
      <c r="LOI21" s="74"/>
      <c r="LOJ21" s="72"/>
      <c r="LOQ21" s="74"/>
      <c r="LOR21" s="72"/>
      <c r="LOY21" s="74"/>
      <c r="LOZ21" s="72"/>
      <c r="LPG21" s="74"/>
      <c r="LPH21" s="72"/>
      <c r="LPO21" s="74"/>
      <c r="LPP21" s="72"/>
      <c r="LPW21" s="74"/>
      <c r="LPX21" s="72"/>
      <c r="LQE21" s="74"/>
      <c r="LQF21" s="72"/>
      <c r="LQM21" s="74"/>
      <c r="LQN21" s="72"/>
      <c r="LQU21" s="74"/>
      <c r="LQV21" s="72"/>
      <c r="LRC21" s="74"/>
      <c r="LRD21" s="72"/>
      <c r="LRK21" s="74"/>
      <c r="LRL21" s="72"/>
      <c r="LRS21" s="74"/>
      <c r="LRT21" s="72"/>
      <c r="LSA21" s="74"/>
      <c r="LSB21" s="72"/>
      <c r="LSI21" s="74"/>
      <c r="LSJ21" s="72"/>
      <c r="LSQ21" s="74"/>
      <c r="LSR21" s="72"/>
      <c r="LSY21" s="74"/>
      <c r="LSZ21" s="72"/>
      <c r="LTG21" s="74"/>
      <c r="LTH21" s="72"/>
      <c r="LTO21" s="74"/>
      <c r="LTP21" s="72"/>
      <c r="LTW21" s="74"/>
      <c r="LTX21" s="72"/>
      <c r="LUE21" s="74"/>
      <c r="LUF21" s="72"/>
      <c r="LUM21" s="74"/>
      <c r="LUN21" s="72"/>
      <c r="LUU21" s="74"/>
      <c r="LUV21" s="72"/>
      <c r="LVC21" s="74"/>
      <c r="LVD21" s="72"/>
      <c r="LVK21" s="74"/>
      <c r="LVL21" s="72"/>
      <c r="LVS21" s="74"/>
      <c r="LVT21" s="72"/>
      <c r="LWA21" s="74"/>
      <c r="LWB21" s="72"/>
      <c r="LWI21" s="74"/>
      <c r="LWJ21" s="72"/>
      <c r="LWQ21" s="74"/>
      <c r="LWR21" s="72"/>
      <c r="LWY21" s="74"/>
      <c r="LWZ21" s="72"/>
      <c r="LXG21" s="74"/>
      <c r="LXH21" s="72"/>
      <c r="LXO21" s="74"/>
      <c r="LXP21" s="72"/>
      <c r="LXW21" s="74"/>
      <c r="LXX21" s="72"/>
      <c r="LYE21" s="74"/>
      <c r="LYF21" s="72"/>
      <c r="LYM21" s="74"/>
      <c r="LYN21" s="72"/>
      <c r="LYU21" s="74"/>
      <c r="LYV21" s="72"/>
      <c r="LZC21" s="74"/>
      <c r="LZD21" s="72"/>
      <c r="LZK21" s="74"/>
      <c r="LZL21" s="72"/>
      <c r="LZS21" s="74"/>
      <c r="LZT21" s="72"/>
      <c r="MAA21" s="74"/>
      <c r="MAB21" s="72"/>
      <c r="MAI21" s="74"/>
      <c r="MAJ21" s="72"/>
      <c r="MAQ21" s="74"/>
      <c r="MAR21" s="72"/>
      <c r="MAY21" s="74"/>
      <c r="MAZ21" s="72"/>
      <c r="MBG21" s="74"/>
      <c r="MBH21" s="72"/>
      <c r="MBO21" s="74"/>
      <c r="MBP21" s="72"/>
      <c r="MBW21" s="74"/>
      <c r="MBX21" s="72"/>
      <c r="MCE21" s="74"/>
      <c r="MCF21" s="72"/>
      <c r="MCM21" s="74"/>
      <c r="MCN21" s="72"/>
      <c r="MCU21" s="74"/>
      <c r="MCV21" s="72"/>
      <c r="MDC21" s="74"/>
      <c r="MDD21" s="72"/>
      <c r="MDK21" s="74"/>
      <c r="MDL21" s="72"/>
      <c r="MDS21" s="74"/>
      <c r="MDT21" s="72"/>
      <c r="MEA21" s="74"/>
      <c r="MEB21" s="72"/>
      <c r="MEI21" s="74"/>
      <c r="MEJ21" s="72"/>
      <c r="MEQ21" s="74"/>
      <c r="MER21" s="72"/>
      <c r="MEY21" s="74"/>
      <c r="MEZ21" s="72"/>
      <c r="MFG21" s="74"/>
      <c r="MFH21" s="72"/>
      <c r="MFO21" s="74"/>
      <c r="MFP21" s="72"/>
      <c r="MFW21" s="74"/>
      <c r="MFX21" s="72"/>
      <c r="MGE21" s="74"/>
      <c r="MGF21" s="72"/>
      <c r="MGM21" s="74"/>
      <c r="MGN21" s="72"/>
      <c r="MGU21" s="74"/>
      <c r="MGV21" s="72"/>
      <c r="MHC21" s="74"/>
      <c r="MHD21" s="72"/>
      <c r="MHK21" s="74"/>
      <c r="MHL21" s="72"/>
      <c r="MHS21" s="74"/>
      <c r="MHT21" s="72"/>
      <c r="MIA21" s="74"/>
      <c r="MIB21" s="72"/>
      <c r="MII21" s="74"/>
      <c r="MIJ21" s="72"/>
      <c r="MIQ21" s="74"/>
      <c r="MIR21" s="72"/>
      <c r="MIY21" s="74"/>
      <c r="MIZ21" s="72"/>
      <c r="MJG21" s="74"/>
      <c r="MJH21" s="72"/>
      <c r="MJO21" s="74"/>
      <c r="MJP21" s="72"/>
      <c r="MJW21" s="74"/>
      <c r="MJX21" s="72"/>
      <c r="MKE21" s="74"/>
      <c r="MKF21" s="72"/>
      <c r="MKM21" s="74"/>
      <c r="MKN21" s="72"/>
      <c r="MKU21" s="74"/>
      <c r="MKV21" s="72"/>
      <c r="MLC21" s="74"/>
      <c r="MLD21" s="72"/>
      <c r="MLK21" s="74"/>
      <c r="MLL21" s="72"/>
      <c r="MLS21" s="74"/>
      <c r="MLT21" s="72"/>
      <c r="MMA21" s="74"/>
      <c r="MMB21" s="72"/>
      <c r="MMI21" s="74"/>
      <c r="MMJ21" s="72"/>
      <c r="MMQ21" s="74"/>
      <c r="MMR21" s="72"/>
      <c r="MMY21" s="74"/>
      <c r="MMZ21" s="72"/>
      <c r="MNG21" s="74"/>
      <c r="MNH21" s="72"/>
      <c r="MNO21" s="74"/>
      <c r="MNP21" s="72"/>
      <c r="MNW21" s="74"/>
      <c r="MNX21" s="72"/>
      <c r="MOE21" s="74"/>
      <c r="MOF21" s="72"/>
      <c r="MOM21" s="74"/>
      <c r="MON21" s="72"/>
      <c r="MOU21" s="74"/>
      <c r="MOV21" s="72"/>
      <c r="MPC21" s="74"/>
      <c r="MPD21" s="72"/>
      <c r="MPK21" s="74"/>
      <c r="MPL21" s="72"/>
      <c r="MPS21" s="74"/>
      <c r="MPT21" s="72"/>
      <c r="MQA21" s="74"/>
      <c r="MQB21" s="72"/>
      <c r="MQI21" s="74"/>
      <c r="MQJ21" s="72"/>
      <c r="MQQ21" s="74"/>
      <c r="MQR21" s="72"/>
      <c r="MQY21" s="74"/>
      <c r="MQZ21" s="72"/>
      <c r="MRG21" s="74"/>
      <c r="MRH21" s="72"/>
      <c r="MRO21" s="74"/>
      <c r="MRP21" s="72"/>
      <c r="MRW21" s="74"/>
      <c r="MRX21" s="72"/>
      <c r="MSE21" s="74"/>
      <c r="MSF21" s="72"/>
      <c r="MSM21" s="74"/>
      <c r="MSN21" s="72"/>
      <c r="MSU21" s="74"/>
      <c r="MSV21" s="72"/>
      <c r="MTC21" s="74"/>
      <c r="MTD21" s="72"/>
      <c r="MTK21" s="74"/>
      <c r="MTL21" s="72"/>
      <c r="MTS21" s="74"/>
      <c r="MTT21" s="72"/>
      <c r="MUA21" s="74"/>
      <c r="MUB21" s="72"/>
      <c r="MUI21" s="74"/>
      <c r="MUJ21" s="72"/>
      <c r="MUQ21" s="74"/>
      <c r="MUR21" s="72"/>
      <c r="MUY21" s="74"/>
      <c r="MUZ21" s="72"/>
      <c r="MVG21" s="74"/>
      <c r="MVH21" s="72"/>
      <c r="MVO21" s="74"/>
      <c r="MVP21" s="72"/>
      <c r="MVW21" s="74"/>
      <c r="MVX21" s="72"/>
      <c r="MWE21" s="74"/>
      <c r="MWF21" s="72"/>
      <c r="MWM21" s="74"/>
      <c r="MWN21" s="72"/>
      <c r="MWU21" s="74"/>
      <c r="MWV21" s="72"/>
      <c r="MXC21" s="74"/>
      <c r="MXD21" s="72"/>
      <c r="MXK21" s="74"/>
      <c r="MXL21" s="72"/>
      <c r="MXS21" s="74"/>
      <c r="MXT21" s="72"/>
      <c r="MYA21" s="74"/>
      <c r="MYB21" s="72"/>
      <c r="MYI21" s="74"/>
      <c r="MYJ21" s="72"/>
      <c r="MYQ21" s="74"/>
      <c r="MYR21" s="72"/>
      <c r="MYY21" s="74"/>
      <c r="MYZ21" s="72"/>
      <c r="MZG21" s="74"/>
      <c r="MZH21" s="72"/>
      <c r="MZO21" s="74"/>
      <c r="MZP21" s="72"/>
      <c r="MZW21" s="74"/>
      <c r="MZX21" s="72"/>
      <c r="NAE21" s="74"/>
      <c r="NAF21" s="72"/>
      <c r="NAM21" s="74"/>
      <c r="NAN21" s="72"/>
      <c r="NAU21" s="74"/>
      <c r="NAV21" s="72"/>
      <c r="NBC21" s="74"/>
      <c r="NBD21" s="72"/>
      <c r="NBK21" s="74"/>
      <c r="NBL21" s="72"/>
      <c r="NBS21" s="74"/>
      <c r="NBT21" s="72"/>
      <c r="NCA21" s="74"/>
      <c r="NCB21" s="72"/>
      <c r="NCI21" s="74"/>
      <c r="NCJ21" s="72"/>
      <c r="NCQ21" s="74"/>
      <c r="NCR21" s="72"/>
      <c r="NCY21" s="74"/>
      <c r="NCZ21" s="72"/>
      <c r="NDG21" s="74"/>
      <c r="NDH21" s="72"/>
      <c r="NDO21" s="74"/>
      <c r="NDP21" s="72"/>
      <c r="NDW21" s="74"/>
      <c r="NDX21" s="72"/>
      <c r="NEE21" s="74"/>
      <c r="NEF21" s="72"/>
      <c r="NEM21" s="74"/>
      <c r="NEN21" s="72"/>
      <c r="NEU21" s="74"/>
      <c r="NEV21" s="72"/>
      <c r="NFC21" s="74"/>
      <c r="NFD21" s="72"/>
      <c r="NFK21" s="74"/>
      <c r="NFL21" s="72"/>
      <c r="NFS21" s="74"/>
      <c r="NFT21" s="72"/>
      <c r="NGA21" s="74"/>
      <c r="NGB21" s="72"/>
      <c r="NGI21" s="74"/>
      <c r="NGJ21" s="72"/>
      <c r="NGQ21" s="74"/>
      <c r="NGR21" s="72"/>
      <c r="NGY21" s="74"/>
      <c r="NGZ21" s="72"/>
      <c r="NHG21" s="74"/>
      <c r="NHH21" s="72"/>
      <c r="NHO21" s="74"/>
      <c r="NHP21" s="72"/>
      <c r="NHW21" s="74"/>
      <c r="NHX21" s="72"/>
      <c r="NIE21" s="74"/>
      <c r="NIF21" s="72"/>
      <c r="NIM21" s="74"/>
      <c r="NIN21" s="72"/>
      <c r="NIU21" s="74"/>
      <c r="NIV21" s="72"/>
      <c r="NJC21" s="74"/>
      <c r="NJD21" s="72"/>
      <c r="NJK21" s="74"/>
      <c r="NJL21" s="72"/>
      <c r="NJS21" s="74"/>
      <c r="NJT21" s="72"/>
      <c r="NKA21" s="74"/>
      <c r="NKB21" s="72"/>
      <c r="NKI21" s="74"/>
      <c r="NKJ21" s="72"/>
      <c r="NKQ21" s="74"/>
      <c r="NKR21" s="72"/>
      <c r="NKY21" s="74"/>
      <c r="NKZ21" s="72"/>
      <c r="NLG21" s="74"/>
      <c r="NLH21" s="72"/>
      <c r="NLO21" s="74"/>
      <c r="NLP21" s="72"/>
      <c r="NLW21" s="74"/>
      <c r="NLX21" s="72"/>
      <c r="NME21" s="74"/>
      <c r="NMF21" s="72"/>
      <c r="NMM21" s="74"/>
      <c r="NMN21" s="72"/>
      <c r="NMU21" s="74"/>
      <c r="NMV21" s="72"/>
      <c r="NNC21" s="74"/>
      <c r="NND21" s="72"/>
      <c r="NNK21" s="74"/>
      <c r="NNL21" s="72"/>
      <c r="NNS21" s="74"/>
      <c r="NNT21" s="72"/>
      <c r="NOA21" s="74"/>
      <c r="NOB21" s="72"/>
      <c r="NOI21" s="74"/>
      <c r="NOJ21" s="72"/>
      <c r="NOQ21" s="74"/>
      <c r="NOR21" s="72"/>
      <c r="NOY21" s="74"/>
      <c r="NOZ21" s="72"/>
      <c r="NPG21" s="74"/>
      <c r="NPH21" s="72"/>
      <c r="NPO21" s="74"/>
      <c r="NPP21" s="72"/>
      <c r="NPW21" s="74"/>
      <c r="NPX21" s="72"/>
      <c r="NQE21" s="74"/>
      <c r="NQF21" s="72"/>
      <c r="NQM21" s="74"/>
      <c r="NQN21" s="72"/>
      <c r="NQU21" s="74"/>
      <c r="NQV21" s="72"/>
      <c r="NRC21" s="74"/>
      <c r="NRD21" s="72"/>
      <c r="NRK21" s="74"/>
      <c r="NRL21" s="72"/>
      <c r="NRS21" s="74"/>
      <c r="NRT21" s="72"/>
      <c r="NSA21" s="74"/>
      <c r="NSB21" s="72"/>
      <c r="NSI21" s="74"/>
      <c r="NSJ21" s="72"/>
      <c r="NSQ21" s="74"/>
      <c r="NSR21" s="72"/>
      <c r="NSY21" s="74"/>
      <c r="NSZ21" s="72"/>
      <c r="NTG21" s="74"/>
      <c r="NTH21" s="72"/>
      <c r="NTO21" s="74"/>
      <c r="NTP21" s="72"/>
      <c r="NTW21" s="74"/>
      <c r="NTX21" s="72"/>
      <c r="NUE21" s="74"/>
      <c r="NUF21" s="72"/>
      <c r="NUM21" s="74"/>
      <c r="NUN21" s="72"/>
      <c r="NUU21" s="74"/>
      <c r="NUV21" s="72"/>
      <c r="NVC21" s="74"/>
      <c r="NVD21" s="72"/>
      <c r="NVK21" s="74"/>
      <c r="NVL21" s="72"/>
      <c r="NVS21" s="74"/>
      <c r="NVT21" s="72"/>
      <c r="NWA21" s="74"/>
      <c r="NWB21" s="72"/>
      <c r="NWI21" s="74"/>
      <c r="NWJ21" s="72"/>
      <c r="NWQ21" s="74"/>
      <c r="NWR21" s="72"/>
      <c r="NWY21" s="74"/>
      <c r="NWZ21" s="72"/>
      <c r="NXG21" s="74"/>
      <c r="NXH21" s="72"/>
      <c r="NXO21" s="74"/>
      <c r="NXP21" s="72"/>
      <c r="NXW21" s="74"/>
      <c r="NXX21" s="72"/>
      <c r="NYE21" s="74"/>
      <c r="NYF21" s="72"/>
      <c r="NYM21" s="74"/>
      <c r="NYN21" s="72"/>
      <c r="NYU21" s="74"/>
      <c r="NYV21" s="72"/>
      <c r="NZC21" s="74"/>
      <c r="NZD21" s="72"/>
      <c r="NZK21" s="74"/>
      <c r="NZL21" s="72"/>
      <c r="NZS21" s="74"/>
      <c r="NZT21" s="72"/>
      <c r="OAA21" s="74"/>
      <c r="OAB21" s="72"/>
      <c r="OAI21" s="74"/>
      <c r="OAJ21" s="72"/>
      <c r="OAQ21" s="74"/>
      <c r="OAR21" s="72"/>
      <c r="OAY21" s="74"/>
      <c r="OAZ21" s="72"/>
      <c r="OBG21" s="74"/>
      <c r="OBH21" s="72"/>
      <c r="OBO21" s="74"/>
      <c r="OBP21" s="72"/>
      <c r="OBW21" s="74"/>
      <c r="OBX21" s="72"/>
      <c r="OCE21" s="74"/>
      <c r="OCF21" s="72"/>
      <c r="OCM21" s="74"/>
      <c r="OCN21" s="72"/>
      <c r="OCU21" s="74"/>
      <c r="OCV21" s="72"/>
      <c r="ODC21" s="74"/>
      <c r="ODD21" s="72"/>
      <c r="ODK21" s="74"/>
      <c r="ODL21" s="72"/>
      <c r="ODS21" s="74"/>
      <c r="ODT21" s="72"/>
      <c r="OEA21" s="74"/>
      <c r="OEB21" s="72"/>
      <c r="OEI21" s="74"/>
      <c r="OEJ21" s="72"/>
      <c r="OEQ21" s="74"/>
      <c r="OER21" s="72"/>
      <c r="OEY21" s="74"/>
      <c r="OEZ21" s="72"/>
      <c r="OFG21" s="74"/>
      <c r="OFH21" s="72"/>
      <c r="OFO21" s="74"/>
      <c r="OFP21" s="72"/>
      <c r="OFW21" s="74"/>
      <c r="OFX21" s="72"/>
      <c r="OGE21" s="74"/>
      <c r="OGF21" s="72"/>
      <c r="OGM21" s="74"/>
      <c r="OGN21" s="72"/>
      <c r="OGU21" s="74"/>
      <c r="OGV21" s="72"/>
      <c r="OHC21" s="74"/>
      <c r="OHD21" s="72"/>
      <c r="OHK21" s="74"/>
      <c r="OHL21" s="72"/>
      <c r="OHS21" s="74"/>
      <c r="OHT21" s="72"/>
      <c r="OIA21" s="74"/>
      <c r="OIB21" s="72"/>
      <c r="OII21" s="74"/>
      <c r="OIJ21" s="72"/>
      <c r="OIQ21" s="74"/>
      <c r="OIR21" s="72"/>
      <c r="OIY21" s="74"/>
      <c r="OIZ21" s="72"/>
      <c r="OJG21" s="74"/>
      <c r="OJH21" s="72"/>
      <c r="OJO21" s="74"/>
      <c r="OJP21" s="72"/>
      <c r="OJW21" s="74"/>
      <c r="OJX21" s="72"/>
      <c r="OKE21" s="74"/>
      <c r="OKF21" s="72"/>
      <c r="OKM21" s="74"/>
      <c r="OKN21" s="72"/>
      <c r="OKU21" s="74"/>
      <c r="OKV21" s="72"/>
      <c r="OLC21" s="74"/>
      <c r="OLD21" s="72"/>
      <c r="OLK21" s="74"/>
      <c r="OLL21" s="72"/>
      <c r="OLS21" s="74"/>
      <c r="OLT21" s="72"/>
      <c r="OMA21" s="74"/>
      <c r="OMB21" s="72"/>
      <c r="OMI21" s="74"/>
      <c r="OMJ21" s="72"/>
      <c r="OMQ21" s="74"/>
      <c r="OMR21" s="72"/>
      <c r="OMY21" s="74"/>
      <c r="OMZ21" s="72"/>
      <c r="ONG21" s="74"/>
      <c r="ONH21" s="72"/>
      <c r="ONO21" s="74"/>
      <c r="ONP21" s="72"/>
      <c r="ONW21" s="74"/>
      <c r="ONX21" s="72"/>
      <c r="OOE21" s="74"/>
      <c r="OOF21" s="72"/>
      <c r="OOM21" s="74"/>
      <c r="OON21" s="72"/>
      <c r="OOU21" s="74"/>
      <c r="OOV21" s="72"/>
      <c r="OPC21" s="74"/>
      <c r="OPD21" s="72"/>
      <c r="OPK21" s="74"/>
      <c r="OPL21" s="72"/>
      <c r="OPS21" s="74"/>
      <c r="OPT21" s="72"/>
      <c r="OQA21" s="74"/>
      <c r="OQB21" s="72"/>
      <c r="OQI21" s="74"/>
      <c r="OQJ21" s="72"/>
      <c r="OQQ21" s="74"/>
      <c r="OQR21" s="72"/>
      <c r="OQY21" s="74"/>
      <c r="OQZ21" s="72"/>
      <c r="ORG21" s="74"/>
      <c r="ORH21" s="72"/>
      <c r="ORO21" s="74"/>
      <c r="ORP21" s="72"/>
      <c r="ORW21" s="74"/>
      <c r="ORX21" s="72"/>
      <c r="OSE21" s="74"/>
      <c r="OSF21" s="72"/>
      <c r="OSM21" s="74"/>
      <c r="OSN21" s="72"/>
      <c r="OSU21" s="74"/>
      <c r="OSV21" s="72"/>
      <c r="OTC21" s="74"/>
      <c r="OTD21" s="72"/>
      <c r="OTK21" s="74"/>
      <c r="OTL21" s="72"/>
      <c r="OTS21" s="74"/>
      <c r="OTT21" s="72"/>
      <c r="OUA21" s="74"/>
      <c r="OUB21" s="72"/>
      <c r="OUI21" s="74"/>
      <c r="OUJ21" s="72"/>
      <c r="OUQ21" s="74"/>
      <c r="OUR21" s="72"/>
      <c r="OUY21" s="74"/>
      <c r="OUZ21" s="72"/>
      <c r="OVG21" s="74"/>
      <c r="OVH21" s="72"/>
      <c r="OVO21" s="74"/>
      <c r="OVP21" s="72"/>
      <c r="OVW21" s="74"/>
      <c r="OVX21" s="72"/>
      <c r="OWE21" s="74"/>
      <c r="OWF21" s="72"/>
      <c r="OWM21" s="74"/>
      <c r="OWN21" s="72"/>
      <c r="OWU21" s="74"/>
      <c r="OWV21" s="72"/>
      <c r="OXC21" s="74"/>
      <c r="OXD21" s="72"/>
      <c r="OXK21" s="74"/>
      <c r="OXL21" s="72"/>
      <c r="OXS21" s="74"/>
      <c r="OXT21" s="72"/>
      <c r="OYA21" s="74"/>
      <c r="OYB21" s="72"/>
      <c r="OYI21" s="74"/>
      <c r="OYJ21" s="72"/>
      <c r="OYQ21" s="74"/>
      <c r="OYR21" s="72"/>
      <c r="OYY21" s="74"/>
      <c r="OYZ21" s="72"/>
      <c r="OZG21" s="74"/>
      <c r="OZH21" s="72"/>
      <c r="OZO21" s="74"/>
      <c r="OZP21" s="72"/>
      <c r="OZW21" s="74"/>
      <c r="OZX21" s="72"/>
      <c r="PAE21" s="74"/>
      <c r="PAF21" s="72"/>
      <c r="PAM21" s="74"/>
      <c r="PAN21" s="72"/>
      <c r="PAU21" s="74"/>
      <c r="PAV21" s="72"/>
      <c r="PBC21" s="74"/>
      <c r="PBD21" s="72"/>
      <c r="PBK21" s="74"/>
      <c r="PBL21" s="72"/>
      <c r="PBS21" s="74"/>
      <c r="PBT21" s="72"/>
      <c r="PCA21" s="74"/>
      <c r="PCB21" s="72"/>
      <c r="PCI21" s="74"/>
      <c r="PCJ21" s="72"/>
      <c r="PCQ21" s="74"/>
      <c r="PCR21" s="72"/>
      <c r="PCY21" s="74"/>
      <c r="PCZ21" s="72"/>
      <c r="PDG21" s="74"/>
      <c r="PDH21" s="72"/>
      <c r="PDO21" s="74"/>
      <c r="PDP21" s="72"/>
      <c r="PDW21" s="74"/>
      <c r="PDX21" s="72"/>
      <c r="PEE21" s="74"/>
      <c r="PEF21" s="72"/>
      <c r="PEM21" s="74"/>
      <c r="PEN21" s="72"/>
      <c r="PEU21" s="74"/>
      <c r="PEV21" s="72"/>
      <c r="PFC21" s="74"/>
      <c r="PFD21" s="72"/>
      <c r="PFK21" s="74"/>
      <c r="PFL21" s="72"/>
      <c r="PFS21" s="74"/>
      <c r="PFT21" s="72"/>
      <c r="PGA21" s="74"/>
      <c r="PGB21" s="72"/>
      <c r="PGI21" s="74"/>
      <c r="PGJ21" s="72"/>
      <c r="PGQ21" s="74"/>
      <c r="PGR21" s="72"/>
      <c r="PGY21" s="74"/>
      <c r="PGZ21" s="72"/>
      <c r="PHG21" s="74"/>
      <c r="PHH21" s="72"/>
      <c r="PHO21" s="74"/>
      <c r="PHP21" s="72"/>
      <c r="PHW21" s="74"/>
      <c r="PHX21" s="72"/>
      <c r="PIE21" s="74"/>
      <c r="PIF21" s="72"/>
      <c r="PIM21" s="74"/>
      <c r="PIN21" s="72"/>
      <c r="PIU21" s="74"/>
      <c r="PIV21" s="72"/>
      <c r="PJC21" s="74"/>
      <c r="PJD21" s="72"/>
      <c r="PJK21" s="74"/>
      <c r="PJL21" s="72"/>
      <c r="PJS21" s="74"/>
      <c r="PJT21" s="72"/>
      <c r="PKA21" s="74"/>
      <c r="PKB21" s="72"/>
      <c r="PKI21" s="74"/>
      <c r="PKJ21" s="72"/>
      <c r="PKQ21" s="74"/>
      <c r="PKR21" s="72"/>
      <c r="PKY21" s="74"/>
      <c r="PKZ21" s="72"/>
      <c r="PLG21" s="74"/>
      <c r="PLH21" s="72"/>
      <c r="PLO21" s="74"/>
      <c r="PLP21" s="72"/>
      <c r="PLW21" s="74"/>
      <c r="PLX21" s="72"/>
      <c r="PME21" s="74"/>
      <c r="PMF21" s="72"/>
      <c r="PMM21" s="74"/>
      <c r="PMN21" s="72"/>
      <c r="PMU21" s="74"/>
      <c r="PMV21" s="72"/>
      <c r="PNC21" s="74"/>
      <c r="PND21" s="72"/>
      <c r="PNK21" s="74"/>
      <c r="PNL21" s="72"/>
      <c r="PNS21" s="74"/>
      <c r="PNT21" s="72"/>
      <c r="POA21" s="74"/>
      <c r="POB21" s="72"/>
      <c r="POI21" s="74"/>
      <c r="POJ21" s="72"/>
      <c r="POQ21" s="74"/>
      <c r="POR21" s="72"/>
      <c r="POY21" s="74"/>
      <c r="POZ21" s="72"/>
      <c r="PPG21" s="74"/>
      <c r="PPH21" s="72"/>
      <c r="PPO21" s="74"/>
      <c r="PPP21" s="72"/>
      <c r="PPW21" s="74"/>
      <c r="PPX21" s="72"/>
      <c r="PQE21" s="74"/>
      <c r="PQF21" s="72"/>
      <c r="PQM21" s="74"/>
      <c r="PQN21" s="72"/>
      <c r="PQU21" s="74"/>
      <c r="PQV21" s="72"/>
      <c r="PRC21" s="74"/>
      <c r="PRD21" s="72"/>
      <c r="PRK21" s="74"/>
      <c r="PRL21" s="72"/>
      <c r="PRS21" s="74"/>
      <c r="PRT21" s="72"/>
      <c r="PSA21" s="74"/>
      <c r="PSB21" s="72"/>
      <c r="PSI21" s="74"/>
      <c r="PSJ21" s="72"/>
      <c r="PSQ21" s="74"/>
      <c r="PSR21" s="72"/>
      <c r="PSY21" s="74"/>
      <c r="PSZ21" s="72"/>
      <c r="PTG21" s="74"/>
      <c r="PTH21" s="72"/>
      <c r="PTO21" s="74"/>
      <c r="PTP21" s="72"/>
      <c r="PTW21" s="74"/>
      <c r="PTX21" s="72"/>
      <c r="PUE21" s="74"/>
      <c r="PUF21" s="72"/>
      <c r="PUM21" s="74"/>
      <c r="PUN21" s="72"/>
      <c r="PUU21" s="74"/>
      <c r="PUV21" s="72"/>
      <c r="PVC21" s="74"/>
      <c r="PVD21" s="72"/>
      <c r="PVK21" s="74"/>
      <c r="PVL21" s="72"/>
      <c r="PVS21" s="74"/>
      <c r="PVT21" s="72"/>
      <c r="PWA21" s="74"/>
      <c r="PWB21" s="72"/>
      <c r="PWI21" s="74"/>
      <c r="PWJ21" s="72"/>
      <c r="PWQ21" s="74"/>
      <c r="PWR21" s="72"/>
      <c r="PWY21" s="74"/>
      <c r="PWZ21" s="72"/>
      <c r="PXG21" s="74"/>
      <c r="PXH21" s="72"/>
      <c r="PXO21" s="74"/>
      <c r="PXP21" s="72"/>
      <c r="PXW21" s="74"/>
      <c r="PXX21" s="72"/>
      <c r="PYE21" s="74"/>
      <c r="PYF21" s="72"/>
      <c r="PYM21" s="74"/>
      <c r="PYN21" s="72"/>
      <c r="PYU21" s="74"/>
      <c r="PYV21" s="72"/>
      <c r="PZC21" s="74"/>
      <c r="PZD21" s="72"/>
      <c r="PZK21" s="74"/>
      <c r="PZL21" s="72"/>
      <c r="PZS21" s="74"/>
      <c r="PZT21" s="72"/>
      <c r="QAA21" s="74"/>
      <c r="QAB21" s="72"/>
      <c r="QAI21" s="74"/>
      <c r="QAJ21" s="72"/>
      <c r="QAQ21" s="74"/>
      <c r="QAR21" s="72"/>
      <c r="QAY21" s="74"/>
      <c r="QAZ21" s="72"/>
      <c r="QBG21" s="74"/>
      <c r="QBH21" s="72"/>
      <c r="QBO21" s="74"/>
      <c r="QBP21" s="72"/>
      <c r="QBW21" s="74"/>
      <c r="QBX21" s="72"/>
      <c r="QCE21" s="74"/>
      <c r="QCF21" s="72"/>
      <c r="QCM21" s="74"/>
      <c r="QCN21" s="72"/>
      <c r="QCU21" s="74"/>
      <c r="QCV21" s="72"/>
      <c r="QDC21" s="74"/>
      <c r="QDD21" s="72"/>
      <c r="QDK21" s="74"/>
      <c r="QDL21" s="72"/>
      <c r="QDS21" s="74"/>
      <c r="QDT21" s="72"/>
      <c r="QEA21" s="74"/>
      <c r="QEB21" s="72"/>
      <c r="QEI21" s="74"/>
      <c r="QEJ21" s="72"/>
      <c r="QEQ21" s="74"/>
      <c r="QER21" s="72"/>
      <c r="QEY21" s="74"/>
      <c r="QEZ21" s="72"/>
      <c r="QFG21" s="74"/>
      <c r="QFH21" s="72"/>
      <c r="QFO21" s="74"/>
      <c r="QFP21" s="72"/>
      <c r="QFW21" s="74"/>
      <c r="QFX21" s="72"/>
      <c r="QGE21" s="74"/>
      <c r="QGF21" s="72"/>
      <c r="QGM21" s="74"/>
      <c r="QGN21" s="72"/>
      <c r="QGU21" s="74"/>
      <c r="QGV21" s="72"/>
      <c r="QHC21" s="74"/>
      <c r="QHD21" s="72"/>
      <c r="QHK21" s="74"/>
      <c r="QHL21" s="72"/>
      <c r="QHS21" s="74"/>
      <c r="QHT21" s="72"/>
      <c r="QIA21" s="74"/>
      <c r="QIB21" s="72"/>
      <c r="QII21" s="74"/>
      <c r="QIJ21" s="72"/>
      <c r="QIQ21" s="74"/>
      <c r="QIR21" s="72"/>
      <c r="QIY21" s="74"/>
      <c r="QIZ21" s="72"/>
      <c r="QJG21" s="74"/>
      <c r="QJH21" s="72"/>
      <c r="QJO21" s="74"/>
      <c r="QJP21" s="72"/>
      <c r="QJW21" s="74"/>
      <c r="QJX21" s="72"/>
      <c r="QKE21" s="74"/>
      <c r="QKF21" s="72"/>
      <c r="QKM21" s="74"/>
      <c r="QKN21" s="72"/>
      <c r="QKU21" s="74"/>
      <c r="QKV21" s="72"/>
      <c r="QLC21" s="74"/>
      <c r="QLD21" s="72"/>
      <c r="QLK21" s="74"/>
      <c r="QLL21" s="72"/>
      <c r="QLS21" s="74"/>
      <c r="QLT21" s="72"/>
      <c r="QMA21" s="74"/>
      <c r="QMB21" s="72"/>
      <c r="QMI21" s="74"/>
      <c r="QMJ21" s="72"/>
      <c r="QMQ21" s="74"/>
      <c r="QMR21" s="72"/>
      <c r="QMY21" s="74"/>
      <c r="QMZ21" s="72"/>
      <c r="QNG21" s="74"/>
      <c r="QNH21" s="72"/>
      <c r="QNO21" s="74"/>
      <c r="QNP21" s="72"/>
      <c r="QNW21" s="74"/>
      <c r="QNX21" s="72"/>
      <c r="QOE21" s="74"/>
      <c r="QOF21" s="72"/>
      <c r="QOM21" s="74"/>
      <c r="QON21" s="72"/>
      <c r="QOU21" s="74"/>
      <c r="QOV21" s="72"/>
      <c r="QPC21" s="74"/>
      <c r="QPD21" s="72"/>
      <c r="QPK21" s="74"/>
      <c r="QPL21" s="72"/>
      <c r="QPS21" s="74"/>
      <c r="QPT21" s="72"/>
      <c r="QQA21" s="74"/>
      <c r="QQB21" s="72"/>
      <c r="QQI21" s="74"/>
      <c r="QQJ21" s="72"/>
      <c r="QQQ21" s="74"/>
      <c r="QQR21" s="72"/>
      <c r="QQY21" s="74"/>
      <c r="QQZ21" s="72"/>
      <c r="QRG21" s="74"/>
      <c r="QRH21" s="72"/>
      <c r="QRO21" s="74"/>
      <c r="QRP21" s="72"/>
      <c r="QRW21" s="74"/>
      <c r="QRX21" s="72"/>
      <c r="QSE21" s="74"/>
      <c r="QSF21" s="72"/>
      <c r="QSM21" s="74"/>
      <c r="QSN21" s="72"/>
      <c r="QSU21" s="74"/>
      <c r="QSV21" s="72"/>
      <c r="QTC21" s="74"/>
      <c r="QTD21" s="72"/>
      <c r="QTK21" s="74"/>
      <c r="QTL21" s="72"/>
      <c r="QTS21" s="74"/>
      <c r="QTT21" s="72"/>
      <c r="QUA21" s="74"/>
      <c r="QUB21" s="72"/>
      <c r="QUI21" s="74"/>
      <c r="QUJ21" s="72"/>
      <c r="QUQ21" s="74"/>
      <c r="QUR21" s="72"/>
      <c r="QUY21" s="74"/>
      <c r="QUZ21" s="72"/>
      <c r="QVG21" s="74"/>
      <c r="QVH21" s="72"/>
      <c r="QVO21" s="74"/>
      <c r="QVP21" s="72"/>
      <c r="QVW21" s="74"/>
      <c r="QVX21" s="72"/>
      <c r="QWE21" s="74"/>
      <c r="QWF21" s="72"/>
      <c r="QWM21" s="74"/>
      <c r="QWN21" s="72"/>
      <c r="QWU21" s="74"/>
      <c r="QWV21" s="72"/>
      <c r="QXC21" s="74"/>
      <c r="QXD21" s="72"/>
      <c r="QXK21" s="74"/>
      <c r="QXL21" s="72"/>
      <c r="QXS21" s="74"/>
      <c r="QXT21" s="72"/>
      <c r="QYA21" s="74"/>
      <c r="QYB21" s="72"/>
      <c r="QYI21" s="74"/>
      <c r="QYJ21" s="72"/>
      <c r="QYQ21" s="74"/>
      <c r="QYR21" s="72"/>
      <c r="QYY21" s="74"/>
      <c r="QYZ21" s="72"/>
      <c r="QZG21" s="74"/>
      <c r="QZH21" s="72"/>
      <c r="QZO21" s="74"/>
      <c r="QZP21" s="72"/>
      <c r="QZW21" s="74"/>
      <c r="QZX21" s="72"/>
      <c r="RAE21" s="74"/>
      <c r="RAF21" s="72"/>
      <c r="RAM21" s="74"/>
      <c r="RAN21" s="72"/>
      <c r="RAU21" s="74"/>
      <c r="RAV21" s="72"/>
      <c r="RBC21" s="74"/>
      <c r="RBD21" s="72"/>
      <c r="RBK21" s="74"/>
      <c r="RBL21" s="72"/>
      <c r="RBS21" s="74"/>
      <c r="RBT21" s="72"/>
      <c r="RCA21" s="74"/>
      <c r="RCB21" s="72"/>
      <c r="RCI21" s="74"/>
      <c r="RCJ21" s="72"/>
      <c r="RCQ21" s="74"/>
      <c r="RCR21" s="72"/>
      <c r="RCY21" s="74"/>
      <c r="RCZ21" s="72"/>
      <c r="RDG21" s="74"/>
      <c r="RDH21" s="72"/>
      <c r="RDO21" s="74"/>
      <c r="RDP21" s="72"/>
      <c r="RDW21" s="74"/>
      <c r="RDX21" s="72"/>
      <c r="REE21" s="74"/>
      <c r="REF21" s="72"/>
      <c r="REM21" s="74"/>
      <c r="REN21" s="72"/>
      <c r="REU21" s="74"/>
      <c r="REV21" s="72"/>
      <c r="RFC21" s="74"/>
      <c r="RFD21" s="72"/>
      <c r="RFK21" s="74"/>
      <c r="RFL21" s="72"/>
      <c r="RFS21" s="74"/>
      <c r="RFT21" s="72"/>
      <c r="RGA21" s="74"/>
      <c r="RGB21" s="72"/>
      <c r="RGI21" s="74"/>
      <c r="RGJ21" s="72"/>
      <c r="RGQ21" s="74"/>
      <c r="RGR21" s="72"/>
      <c r="RGY21" s="74"/>
      <c r="RGZ21" s="72"/>
      <c r="RHG21" s="74"/>
      <c r="RHH21" s="72"/>
      <c r="RHO21" s="74"/>
      <c r="RHP21" s="72"/>
      <c r="RHW21" s="74"/>
      <c r="RHX21" s="72"/>
      <c r="RIE21" s="74"/>
      <c r="RIF21" s="72"/>
      <c r="RIM21" s="74"/>
      <c r="RIN21" s="72"/>
      <c r="RIU21" s="74"/>
      <c r="RIV21" s="72"/>
      <c r="RJC21" s="74"/>
      <c r="RJD21" s="72"/>
      <c r="RJK21" s="74"/>
      <c r="RJL21" s="72"/>
      <c r="RJS21" s="74"/>
      <c r="RJT21" s="72"/>
      <c r="RKA21" s="74"/>
      <c r="RKB21" s="72"/>
      <c r="RKI21" s="74"/>
      <c r="RKJ21" s="72"/>
      <c r="RKQ21" s="74"/>
      <c r="RKR21" s="72"/>
      <c r="RKY21" s="74"/>
      <c r="RKZ21" s="72"/>
      <c r="RLG21" s="74"/>
      <c r="RLH21" s="72"/>
      <c r="RLO21" s="74"/>
      <c r="RLP21" s="72"/>
      <c r="RLW21" s="74"/>
      <c r="RLX21" s="72"/>
      <c r="RME21" s="74"/>
      <c r="RMF21" s="72"/>
      <c r="RMM21" s="74"/>
      <c r="RMN21" s="72"/>
      <c r="RMU21" s="74"/>
      <c r="RMV21" s="72"/>
      <c r="RNC21" s="74"/>
      <c r="RND21" s="72"/>
      <c r="RNK21" s="74"/>
      <c r="RNL21" s="72"/>
      <c r="RNS21" s="74"/>
      <c r="RNT21" s="72"/>
      <c r="ROA21" s="74"/>
      <c r="ROB21" s="72"/>
      <c r="ROI21" s="74"/>
      <c r="ROJ21" s="72"/>
      <c r="ROQ21" s="74"/>
      <c r="ROR21" s="72"/>
      <c r="ROY21" s="74"/>
      <c r="ROZ21" s="72"/>
      <c r="RPG21" s="74"/>
      <c r="RPH21" s="72"/>
      <c r="RPO21" s="74"/>
      <c r="RPP21" s="72"/>
      <c r="RPW21" s="74"/>
      <c r="RPX21" s="72"/>
      <c r="RQE21" s="74"/>
      <c r="RQF21" s="72"/>
      <c r="RQM21" s="74"/>
      <c r="RQN21" s="72"/>
      <c r="RQU21" s="74"/>
      <c r="RQV21" s="72"/>
      <c r="RRC21" s="74"/>
      <c r="RRD21" s="72"/>
      <c r="RRK21" s="74"/>
      <c r="RRL21" s="72"/>
      <c r="RRS21" s="74"/>
      <c r="RRT21" s="72"/>
      <c r="RSA21" s="74"/>
      <c r="RSB21" s="72"/>
      <c r="RSI21" s="74"/>
      <c r="RSJ21" s="72"/>
      <c r="RSQ21" s="74"/>
      <c r="RSR21" s="72"/>
      <c r="RSY21" s="74"/>
      <c r="RSZ21" s="72"/>
      <c r="RTG21" s="74"/>
      <c r="RTH21" s="72"/>
      <c r="RTO21" s="74"/>
      <c r="RTP21" s="72"/>
      <c r="RTW21" s="74"/>
      <c r="RTX21" s="72"/>
      <c r="RUE21" s="74"/>
      <c r="RUF21" s="72"/>
      <c r="RUM21" s="74"/>
      <c r="RUN21" s="72"/>
      <c r="RUU21" s="74"/>
      <c r="RUV21" s="72"/>
      <c r="RVC21" s="74"/>
      <c r="RVD21" s="72"/>
      <c r="RVK21" s="74"/>
      <c r="RVL21" s="72"/>
      <c r="RVS21" s="74"/>
      <c r="RVT21" s="72"/>
      <c r="RWA21" s="74"/>
      <c r="RWB21" s="72"/>
      <c r="RWI21" s="74"/>
      <c r="RWJ21" s="72"/>
      <c r="RWQ21" s="74"/>
      <c r="RWR21" s="72"/>
      <c r="RWY21" s="74"/>
      <c r="RWZ21" s="72"/>
      <c r="RXG21" s="74"/>
      <c r="RXH21" s="72"/>
      <c r="RXO21" s="74"/>
      <c r="RXP21" s="72"/>
      <c r="RXW21" s="74"/>
      <c r="RXX21" s="72"/>
      <c r="RYE21" s="74"/>
      <c r="RYF21" s="72"/>
      <c r="RYM21" s="74"/>
      <c r="RYN21" s="72"/>
      <c r="RYU21" s="74"/>
      <c r="RYV21" s="72"/>
      <c r="RZC21" s="74"/>
      <c r="RZD21" s="72"/>
      <c r="RZK21" s="74"/>
      <c r="RZL21" s="72"/>
      <c r="RZS21" s="74"/>
      <c r="RZT21" s="72"/>
      <c r="SAA21" s="74"/>
      <c r="SAB21" s="72"/>
      <c r="SAI21" s="74"/>
      <c r="SAJ21" s="72"/>
      <c r="SAQ21" s="74"/>
      <c r="SAR21" s="72"/>
      <c r="SAY21" s="74"/>
      <c r="SAZ21" s="72"/>
      <c r="SBG21" s="74"/>
      <c r="SBH21" s="72"/>
      <c r="SBO21" s="74"/>
      <c r="SBP21" s="72"/>
      <c r="SBW21" s="74"/>
      <c r="SBX21" s="72"/>
      <c r="SCE21" s="74"/>
      <c r="SCF21" s="72"/>
      <c r="SCM21" s="74"/>
      <c r="SCN21" s="72"/>
      <c r="SCU21" s="74"/>
      <c r="SCV21" s="72"/>
      <c r="SDC21" s="74"/>
      <c r="SDD21" s="72"/>
      <c r="SDK21" s="74"/>
      <c r="SDL21" s="72"/>
      <c r="SDS21" s="74"/>
      <c r="SDT21" s="72"/>
      <c r="SEA21" s="74"/>
      <c r="SEB21" s="72"/>
      <c r="SEI21" s="74"/>
      <c r="SEJ21" s="72"/>
      <c r="SEQ21" s="74"/>
      <c r="SER21" s="72"/>
      <c r="SEY21" s="74"/>
      <c r="SEZ21" s="72"/>
      <c r="SFG21" s="74"/>
      <c r="SFH21" s="72"/>
      <c r="SFO21" s="74"/>
      <c r="SFP21" s="72"/>
      <c r="SFW21" s="74"/>
      <c r="SFX21" s="72"/>
      <c r="SGE21" s="74"/>
      <c r="SGF21" s="72"/>
      <c r="SGM21" s="74"/>
      <c r="SGN21" s="72"/>
      <c r="SGU21" s="74"/>
      <c r="SGV21" s="72"/>
      <c r="SHC21" s="74"/>
      <c r="SHD21" s="72"/>
      <c r="SHK21" s="74"/>
      <c r="SHL21" s="72"/>
      <c r="SHS21" s="74"/>
      <c r="SHT21" s="72"/>
      <c r="SIA21" s="74"/>
      <c r="SIB21" s="72"/>
      <c r="SII21" s="74"/>
      <c r="SIJ21" s="72"/>
      <c r="SIQ21" s="74"/>
      <c r="SIR21" s="72"/>
      <c r="SIY21" s="74"/>
      <c r="SIZ21" s="72"/>
      <c r="SJG21" s="74"/>
      <c r="SJH21" s="72"/>
      <c r="SJO21" s="74"/>
      <c r="SJP21" s="72"/>
      <c r="SJW21" s="74"/>
      <c r="SJX21" s="72"/>
      <c r="SKE21" s="74"/>
      <c r="SKF21" s="72"/>
      <c r="SKM21" s="74"/>
      <c r="SKN21" s="72"/>
      <c r="SKU21" s="74"/>
      <c r="SKV21" s="72"/>
      <c r="SLC21" s="74"/>
      <c r="SLD21" s="72"/>
      <c r="SLK21" s="74"/>
      <c r="SLL21" s="72"/>
      <c r="SLS21" s="74"/>
      <c r="SLT21" s="72"/>
      <c r="SMA21" s="74"/>
      <c r="SMB21" s="72"/>
      <c r="SMI21" s="74"/>
      <c r="SMJ21" s="72"/>
      <c r="SMQ21" s="74"/>
      <c r="SMR21" s="72"/>
      <c r="SMY21" s="74"/>
      <c r="SMZ21" s="72"/>
      <c r="SNG21" s="74"/>
      <c r="SNH21" s="72"/>
      <c r="SNO21" s="74"/>
      <c r="SNP21" s="72"/>
      <c r="SNW21" s="74"/>
      <c r="SNX21" s="72"/>
      <c r="SOE21" s="74"/>
      <c r="SOF21" s="72"/>
      <c r="SOM21" s="74"/>
      <c r="SON21" s="72"/>
      <c r="SOU21" s="74"/>
      <c r="SOV21" s="72"/>
      <c r="SPC21" s="74"/>
      <c r="SPD21" s="72"/>
      <c r="SPK21" s="74"/>
      <c r="SPL21" s="72"/>
      <c r="SPS21" s="74"/>
      <c r="SPT21" s="72"/>
      <c r="SQA21" s="74"/>
      <c r="SQB21" s="72"/>
      <c r="SQI21" s="74"/>
      <c r="SQJ21" s="72"/>
      <c r="SQQ21" s="74"/>
      <c r="SQR21" s="72"/>
      <c r="SQY21" s="74"/>
      <c r="SQZ21" s="72"/>
      <c r="SRG21" s="74"/>
      <c r="SRH21" s="72"/>
      <c r="SRO21" s="74"/>
      <c r="SRP21" s="72"/>
      <c r="SRW21" s="74"/>
      <c r="SRX21" s="72"/>
      <c r="SSE21" s="74"/>
      <c r="SSF21" s="72"/>
      <c r="SSM21" s="74"/>
      <c r="SSN21" s="72"/>
      <c r="SSU21" s="74"/>
      <c r="SSV21" s="72"/>
      <c r="STC21" s="74"/>
      <c r="STD21" s="72"/>
      <c r="STK21" s="74"/>
      <c r="STL21" s="72"/>
      <c r="STS21" s="74"/>
      <c r="STT21" s="72"/>
      <c r="SUA21" s="74"/>
      <c r="SUB21" s="72"/>
      <c r="SUI21" s="74"/>
      <c r="SUJ21" s="72"/>
      <c r="SUQ21" s="74"/>
      <c r="SUR21" s="72"/>
      <c r="SUY21" s="74"/>
      <c r="SUZ21" s="72"/>
      <c r="SVG21" s="74"/>
      <c r="SVH21" s="72"/>
      <c r="SVO21" s="74"/>
      <c r="SVP21" s="72"/>
      <c r="SVW21" s="74"/>
      <c r="SVX21" s="72"/>
      <c r="SWE21" s="74"/>
      <c r="SWF21" s="72"/>
      <c r="SWM21" s="74"/>
      <c r="SWN21" s="72"/>
      <c r="SWU21" s="74"/>
      <c r="SWV21" s="72"/>
      <c r="SXC21" s="74"/>
      <c r="SXD21" s="72"/>
      <c r="SXK21" s="74"/>
      <c r="SXL21" s="72"/>
      <c r="SXS21" s="74"/>
      <c r="SXT21" s="72"/>
      <c r="SYA21" s="74"/>
      <c r="SYB21" s="72"/>
      <c r="SYI21" s="74"/>
      <c r="SYJ21" s="72"/>
      <c r="SYQ21" s="74"/>
      <c r="SYR21" s="72"/>
      <c r="SYY21" s="74"/>
      <c r="SYZ21" s="72"/>
      <c r="SZG21" s="74"/>
      <c r="SZH21" s="72"/>
      <c r="SZO21" s="74"/>
      <c r="SZP21" s="72"/>
      <c r="SZW21" s="74"/>
      <c r="SZX21" s="72"/>
      <c r="TAE21" s="74"/>
      <c r="TAF21" s="72"/>
      <c r="TAM21" s="74"/>
      <c r="TAN21" s="72"/>
      <c r="TAU21" s="74"/>
      <c r="TAV21" s="72"/>
      <c r="TBC21" s="74"/>
      <c r="TBD21" s="72"/>
      <c r="TBK21" s="74"/>
      <c r="TBL21" s="72"/>
      <c r="TBS21" s="74"/>
      <c r="TBT21" s="72"/>
      <c r="TCA21" s="74"/>
      <c r="TCB21" s="72"/>
      <c r="TCI21" s="74"/>
      <c r="TCJ21" s="72"/>
      <c r="TCQ21" s="74"/>
      <c r="TCR21" s="72"/>
      <c r="TCY21" s="74"/>
      <c r="TCZ21" s="72"/>
      <c r="TDG21" s="74"/>
      <c r="TDH21" s="72"/>
      <c r="TDO21" s="74"/>
      <c r="TDP21" s="72"/>
      <c r="TDW21" s="74"/>
      <c r="TDX21" s="72"/>
      <c r="TEE21" s="74"/>
      <c r="TEF21" s="72"/>
      <c r="TEM21" s="74"/>
      <c r="TEN21" s="72"/>
      <c r="TEU21" s="74"/>
      <c r="TEV21" s="72"/>
      <c r="TFC21" s="74"/>
      <c r="TFD21" s="72"/>
      <c r="TFK21" s="74"/>
      <c r="TFL21" s="72"/>
      <c r="TFS21" s="74"/>
      <c r="TFT21" s="72"/>
      <c r="TGA21" s="74"/>
      <c r="TGB21" s="72"/>
      <c r="TGI21" s="74"/>
      <c r="TGJ21" s="72"/>
      <c r="TGQ21" s="74"/>
      <c r="TGR21" s="72"/>
      <c r="TGY21" s="74"/>
      <c r="TGZ21" s="72"/>
      <c r="THG21" s="74"/>
      <c r="THH21" s="72"/>
      <c r="THO21" s="74"/>
      <c r="THP21" s="72"/>
      <c r="THW21" s="74"/>
      <c r="THX21" s="72"/>
      <c r="TIE21" s="74"/>
      <c r="TIF21" s="72"/>
      <c r="TIM21" s="74"/>
      <c r="TIN21" s="72"/>
      <c r="TIU21" s="74"/>
      <c r="TIV21" s="72"/>
      <c r="TJC21" s="74"/>
      <c r="TJD21" s="72"/>
      <c r="TJK21" s="74"/>
      <c r="TJL21" s="72"/>
      <c r="TJS21" s="74"/>
      <c r="TJT21" s="72"/>
      <c r="TKA21" s="74"/>
      <c r="TKB21" s="72"/>
      <c r="TKI21" s="74"/>
      <c r="TKJ21" s="72"/>
      <c r="TKQ21" s="74"/>
      <c r="TKR21" s="72"/>
      <c r="TKY21" s="74"/>
      <c r="TKZ21" s="72"/>
      <c r="TLG21" s="74"/>
      <c r="TLH21" s="72"/>
      <c r="TLO21" s="74"/>
      <c r="TLP21" s="72"/>
      <c r="TLW21" s="74"/>
      <c r="TLX21" s="72"/>
      <c r="TME21" s="74"/>
      <c r="TMF21" s="72"/>
      <c r="TMM21" s="74"/>
      <c r="TMN21" s="72"/>
      <c r="TMU21" s="74"/>
      <c r="TMV21" s="72"/>
      <c r="TNC21" s="74"/>
      <c r="TND21" s="72"/>
      <c r="TNK21" s="74"/>
      <c r="TNL21" s="72"/>
      <c r="TNS21" s="74"/>
      <c r="TNT21" s="72"/>
      <c r="TOA21" s="74"/>
      <c r="TOB21" s="72"/>
      <c r="TOI21" s="74"/>
      <c r="TOJ21" s="72"/>
      <c r="TOQ21" s="74"/>
      <c r="TOR21" s="72"/>
      <c r="TOY21" s="74"/>
      <c r="TOZ21" s="72"/>
      <c r="TPG21" s="74"/>
      <c r="TPH21" s="72"/>
      <c r="TPO21" s="74"/>
      <c r="TPP21" s="72"/>
      <c r="TPW21" s="74"/>
      <c r="TPX21" s="72"/>
      <c r="TQE21" s="74"/>
      <c r="TQF21" s="72"/>
      <c r="TQM21" s="74"/>
      <c r="TQN21" s="72"/>
      <c r="TQU21" s="74"/>
      <c r="TQV21" s="72"/>
      <c r="TRC21" s="74"/>
      <c r="TRD21" s="72"/>
      <c r="TRK21" s="74"/>
      <c r="TRL21" s="72"/>
      <c r="TRS21" s="74"/>
      <c r="TRT21" s="72"/>
      <c r="TSA21" s="74"/>
      <c r="TSB21" s="72"/>
      <c r="TSI21" s="74"/>
      <c r="TSJ21" s="72"/>
      <c r="TSQ21" s="74"/>
      <c r="TSR21" s="72"/>
      <c r="TSY21" s="74"/>
      <c r="TSZ21" s="72"/>
      <c r="TTG21" s="74"/>
      <c r="TTH21" s="72"/>
      <c r="TTO21" s="74"/>
      <c r="TTP21" s="72"/>
      <c r="TTW21" s="74"/>
      <c r="TTX21" s="72"/>
      <c r="TUE21" s="74"/>
      <c r="TUF21" s="72"/>
      <c r="TUM21" s="74"/>
      <c r="TUN21" s="72"/>
      <c r="TUU21" s="74"/>
      <c r="TUV21" s="72"/>
      <c r="TVC21" s="74"/>
      <c r="TVD21" s="72"/>
      <c r="TVK21" s="74"/>
      <c r="TVL21" s="72"/>
      <c r="TVS21" s="74"/>
      <c r="TVT21" s="72"/>
      <c r="TWA21" s="74"/>
      <c r="TWB21" s="72"/>
      <c r="TWI21" s="74"/>
      <c r="TWJ21" s="72"/>
      <c r="TWQ21" s="74"/>
      <c r="TWR21" s="72"/>
      <c r="TWY21" s="74"/>
      <c r="TWZ21" s="72"/>
      <c r="TXG21" s="74"/>
      <c r="TXH21" s="72"/>
      <c r="TXO21" s="74"/>
      <c r="TXP21" s="72"/>
      <c r="TXW21" s="74"/>
      <c r="TXX21" s="72"/>
      <c r="TYE21" s="74"/>
      <c r="TYF21" s="72"/>
      <c r="TYM21" s="74"/>
      <c r="TYN21" s="72"/>
      <c r="TYU21" s="74"/>
      <c r="TYV21" s="72"/>
      <c r="TZC21" s="74"/>
      <c r="TZD21" s="72"/>
      <c r="TZK21" s="74"/>
      <c r="TZL21" s="72"/>
      <c r="TZS21" s="74"/>
      <c r="TZT21" s="72"/>
      <c r="UAA21" s="74"/>
      <c r="UAB21" s="72"/>
      <c r="UAI21" s="74"/>
      <c r="UAJ21" s="72"/>
      <c r="UAQ21" s="74"/>
      <c r="UAR21" s="72"/>
      <c r="UAY21" s="74"/>
      <c r="UAZ21" s="72"/>
      <c r="UBG21" s="74"/>
      <c r="UBH21" s="72"/>
      <c r="UBO21" s="74"/>
      <c r="UBP21" s="72"/>
      <c r="UBW21" s="74"/>
      <c r="UBX21" s="72"/>
      <c r="UCE21" s="74"/>
      <c r="UCF21" s="72"/>
      <c r="UCM21" s="74"/>
      <c r="UCN21" s="72"/>
      <c r="UCU21" s="74"/>
      <c r="UCV21" s="72"/>
      <c r="UDC21" s="74"/>
      <c r="UDD21" s="72"/>
      <c r="UDK21" s="74"/>
      <c r="UDL21" s="72"/>
      <c r="UDS21" s="74"/>
      <c r="UDT21" s="72"/>
      <c r="UEA21" s="74"/>
      <c r="UEB21" s="72"/>
      <c r="UEI21" s="74"/>
      <c r="UEJ21" s="72"/>
      <c r="UEQ21" s="74"/>
      <c r="UER21" s="72"/>
      <c r="UEY21" s="74"/>
      <c r="UEZ21" s="72"/>
      <c r="UFG21" s="74"/>
      <c r="UFH21" s="72"/>
      <c r="UFO21" s="74"/>
      <c r="UFP21" s="72"/>
      <c r="UFW21" s="74"/>
      <c r="UFX21" s="72"/>
      <c r="UGE21" s="74"/>
      <c r="UGF21" s="72"/>
      <c r="UGM21" s="74"/>
      <c r="UGN21" s="72"/>
      <c r="UGU21" s="74"/>
      <c r="UGV21" s="72"/>
      <c r="UHC21" s="74"/>
      <c r="UHD21" s="72"/>
      <c r="UHK21" s="74"/>
      <c r="UHL21" s="72"/>
      <c r="UHS21" s="74"/>
      <c r="UHT21" s="72"/>
      <c r="UIA21" s="74"/>
      <c r="UIB21" s="72"/>
      <c r="UII21" s="74"/>
      <c r="UIJ21" s="72"/>
      <c r="UIQ21" s="74"/>
      <c r="UIR21" s="72"/>
      <c r="UIY21" s="74"/>
      <c r="UIZ21" s="72"/>
      <c r="UJG21" s="74"/>
      <c r="UJH21" s="72"/>
      <c r="UJO21" s="74"/>
      <c r="UJP21" s="72"/>
      <c r="UJW21" s="74"/>
      <c r="UJX21" s="72"/>
      <c r="UKE21" s="74"/>
      <c r="UKF21" s="72"/>
      <c r="UKM21" s="74"/>
      <c r="UKN21" s="72"/>
      <c r="UKU21" s="74"/>
      <c r="UKV21" s="72"/>
      <c r="ULC21" s="74"/>
      <c r="ULD21" s="72"/>
      <c r="ULK21" s="74"/>
      <c r="ULL21" s="72"/>
      <c r="ULS21" s="74"/>
      <c r="ULT21" s="72"/>
      <c r="UMA21" s="74"/>
      <c r="UMB21" s="72"/>
      <c r="UMI21" s="74"/>
      <c r="UMJ21" s="72"/>
      <c r="UMQ21" s="74"/>
      <c r="UMR21" s="72"/>
      <c r="UMY21" s="74"/>
      <c r="UMZ21" s="72"/>
      <c r="UNG21" s="74"/>
      <c r="UNH21" s="72"/>
      <c r="UNO21" s="74"/>
      <c r="UNP21" s="72"/>
      <c r="UNW21" s="74"/>
      <c r="UNX21" s="72"/>
      <c r="UOE21" s="74"/>
      <c r="UOF21" s="72"/>
      <c r="UOM21" s="74"/>
      <c r="UON21" s="72"/>
      <c r="UOU21" s="74"/>
      <c r="UOV21" s="72"/>
      <c r="UPC21" s="74"/>
      <c r="UPD21" s="72"/>
      <c r="UPK21" s="74"/>
      <c r="UPL21" s="72"/>
      <c r="UPS21" s="74"/>
      <c r="UPT21" s="72"/>
      <c r="UQA21" s="74"/>
      <c r="UQB21" s="72"/>
      <c r="UQI21" s="74"/>
      <c r="UQJ21" s="72"/>
      <c r="UQQ21" s="74"/>
      <c r="UQR21" s="72"/>
      <c r="UQY21" s="74"/>
      <c r="UQZ21" s="72"/>
      <c r="URG21" s="74"/>
      <c r="URH21" s="72"/>
      <c r="URO21" s="74"/>
      <c r="URP21" s="72"/>
      <c r="URW21" s="74"/>
      <c r="URX21" s="72"/>
      <c r="USE21" s="74"/>
      <c r="USF21" s="72"/>
      <c r="USM21" s="74"/>
      <c r="USN21" s="72"/>
      <c r="USU21" s="74"/>
      <c r="USV21" s="72"/>
      <c r="UTC21" s="74"/>
      <c r="UTD21" s="72"/>
      <c r="UTK21" s="74"/>
      <c r="UTL21" s="72"/>
      <c r="UTS21" s="74"/>
      <c r="UTT21" s="72"/>
      <c r="UUA21" s="74"/>
      <c r="UUB21" s="72"/>
      <c r="UUI21" s="74"/>
      <c r="UUJ21" s="72"/>
      <c r="UUQ21" s="74"/>
      <c r="UUR21" s="72"/>
      <c r="UUY21" s="74"/>
      <c r="UUZ21" s="72"/>
      <c r="UVG21" s="74"/>
      <c r="UVH21" s="72"/>
      <c r="UVO21" s="74"/>
      <c r="UVP21" s="72"/>
      <c r="UVW21" s="74"/>
      <c r="UVX21" s="72"/>
      <c r="UWE21" s="74"/>
      <c r="UWF21" s="72"/>
      <c r="UWM21" s="74"/>
      <c r="UWN21" s="72"/>
      <c r="UWU21" s="74"/>
      <c r="UWV21" s="72"/>
      <c r="UXC21" s="74"/>
      <c r="UXD21" s="72"/>
      <c r="UXK21" s="74"/>
      <c r="UXL21" s="72"/>
      <c r="UXS21" s="74"/>
      <c r="UXT21" s="72"/>
      <c r="UYA21" s="74"/>
      <c r="UYB21" s="72"/>
      <c r="UYI21" s="74"/>
      <c r="UYJ21" s="72"/>
      <c r="UYQ21" s="74"/>
      <c r="UYR21" s="72"/>
      <c r="UYY21" s="74"/>
      <c r="UYZ21" s="72"/>
      <c r="UZG21" s="74"/>
      <c r="UZH21" s="72"/>
      <c r="UZO21" s="74"/>
      <c r="UZP21" s="72"/>
      <c r="UZW21" s="74"/>
      <c r="UZX21" s="72"/>
      <c r="VAE21" s="74"/>
      <c r="VAF21" s="72"/>
      <c r="VAM21" s="74"/>
      <c r="VAN21" s="72"/>
      <c r="VAU21" s="74"/>
      <c r="VAV21" s="72"/>
      <c r="VBC21" s="74"/>
      <c r="VBD21" s="72"/>
      <c r="VBK21" s="74"/>
      <c r="VBL21" s="72"/>
      <c r="VBS21" s="74"/>
      <c r="VBT21" s="72"/>
      <c r="VCA21" s="74"/>
      <c r="VCB21" s="72"/>
      <c r="VCI21" s="74"/>
      <c r="VCJ21" s="72"/>
      <c r="VCQ21" s="74"/>
      <c r="VCR21" s="72"/>
      <c r="VCY21" s="74"/>
      <c r="VCZ21" s="72"/>
      <c r="VDG21" s="74"/>
      <c r="VDH21" s="72"/>
      <c r="VDO21" s="74"/>
      <c r="VDP21" s="72"/>
      <c r="VDW21" s="74"/>
      <c r="VDX21" s="72"/>
      <c r="VEE21" s="74"/>
      <c r="VEF21" s="72"/>
      <c r="VEM21" s="74"/>
      <c r="VEN21" s="72"/>
      <c r="VEU21" s="74"/>
      <c r="VEV21" s="72"/>
      <c r="VFC21" s="74"/>
      <c r="VFD21" s="72"/>
      <c r="VFK21" s="74"/>
      <c r="VFL21" s="72"/>
      <c r="VFS21" s="74"/>
      <c r="VFT21" s="72"/>
      <c r="VGA21" s="74"/>
      <c r="VGB21" s="72"/>
      <c r="VGI21" s="74"/>
      <c r="VGJ21" s="72"/>
      <c r="VGQ21" s="74"/>
      <c r="VGR21" s="72"/>
      <c r="VGY21" s="74"/>
      <c r="VGZ21" s="72"/>
      <c r="VHG21" s="74"/>
      <c r="VHH21" s="72"/>
      <c r="VHO21" s="74"/>
      <c r="VHP21" s="72"/>
      <c r="VHW21" s="74"/>
      <c r="VHX21" s="72"/>
      <c r="VIE21" s="74"/>
      <c r="VIF21" s="72"/>
      <c r="VIM21" s="74"/>
      <c r="VIN21" s="72"/>
      <c r="VIU21" s="74"/>
      <c r="VIV21" s="72"/>
      <c r="VJC21" s="74"/>
      <c r="VJD21" s="72"/>
      <c r="VJK21" s="74"/>
      <c r="VJL21" s="72"/>
      <c r="VJS21" s="74"/>
      <c r="VJT21" s="72"/>
      <c r="VKA21" s="74"/>
      <c r="VKB21" s="72"/>
      <c r="VKI21" s="74"/>
      <c r="VKJ21" s="72"/>
      <c r="VKQ21" s="74"/>
      <c r="VKR21" s="72"/>
      <c r="VKY21" s="74"/>
      <c r="VKZ21" s="72"/>
      <c r="VLG21" s="74"/>
      <c r="VLH21" s="72"/>
      <c r="VLO21" s="74"/>
      <c r="VLP21" s="72"/>
      <c r="VLW21" s="74"/>
      <c r="VLX21" s="72"/>
      <c r="VME21" s="74"/>
      <c r="VMF21" s="72"/>
      <c r="VMM21" s="74"/>
      <c r="VMN21" s="72"/>
      <c r="VMU21" s="74"/>
      <c r="VMV21" s="72"/>
      <c r="VNC21" s="74"/>
      <c r="VND21" s="72"/>
      <c r="VNK21" s="74"/>
      <c r="VNL21" s="72"/>
      <c r="VNS21" s="74"/>
      <c r="VNT21" s="72"/>
      <c r="VOA21" s="74"/>
      <c r="VOB21" s="72"/>
      <c r="VOI21" s="74"/>
      <c r="VOJ21" s="72"/>
      <c r="VOQ21" s="74"/>
      <c r="VOR21" s="72"/>
      <c r="VOY21" s="74"/>
      <c r="VOZ21" s="72"/>
      <c r="VPG21" s="74"/>
      <c r="VPH21" s="72"/>
      <c r="VPO21" s="74"/>
      <c r="VPP21" s="72"/>
      <c r="VPW21" s="74"/>
      <c r="VPX21" s="72"/>
      <c r="VQE21" s="74"/>
      <c r="VQF21" s="72"/>
      <c r="VQM21" s="74"/>
      <c r="VQN21" s="72"/>
      <c r="VQU21" s="74"/>
      <c r="VQV21" s="72"/>
      <c r="VRC21" s="74"/>
      <c r="VRD21" s="72"/>
      <c r="VRK21" s="74"/>
      <c r="VRL21" s="72"/>
      <c r="VRS21" s="74"/>
      <c r="VRT21" s="72"/>
      <c r="VSA21" s="74"/>
      <c r="VSB21" s="72"/>
      <c r="VSI21" s="74"/>
      <c r="VSJ21" s="72"/>
      <c r="VSQ21" s="74"/>
      <c r="VSR21" s="72"/>
      <c r="VSY21" s="74"/>
      <c r="VSZ21" s="72"/>
      <c r="VTG21" s="74"/>
      <c r="VTH21" s="72"/>
      <c r="VTO21" s="74"/>
      <c r="VTP21" s="72"/>
      <c r="VTW21" s="74"/>
      <c r="VTX21" s="72"/>
      <c r="VUE21" s="74"/>
      <c r="VUF21" s="72"/>
      <c r="VUM21" s="74"/>
      <c r="VUN21" s="72"/>
      <c r="VUU21" s="74"/>
      <c r="VUV21" s="72"/>
      <c r="VVC21" s="74"/>
      <c r="VVD21" s="72"/>
      <c r="VVK21" s="74"/>
      <c r="VVL21" s="72"/>
      <c r="VVS21" s="74"/>
      <c r="VVT21" s="72"/>
      <c r="VWA21" s="74"/>
      <c r="VWB21" s="72"/>
      <c r="VWI21" s="74"/>
      <c r="VWJ21" s="72"/>
      <c r="VWQ21" s="74"/>
      <c r="VWR21" s="72"/>
      <c r="VWY21" s="74"/>
      <c r="VWZ21" s="72"/>
      <c r="VXG21" s="74"/>
      <c r="VXH21" s="72"/>
      <c r="VXO21" s="74"/>
      <c r="VXP21" s="72"/>
      <c r="VXW21" s="74"/>
      <c r="VXX21" s="72"/>
      <c r="VYE21" s="74"/>
      <c r="VYF21" s="72"/>
      <c r="VYM21" s="74"/>
      <c r="VYN21" s="72"/>
      <c r="VYU21" s="74"/>
      <c r="VYV21" s="72"/>
      <c r="VZC21" s="74"/>
      <c r="VZD21" s="72"/>
      <c r="VZK21" s="74"/>
      <c r="VZL21" s="72"/>
      <c r="VZS21" s="74"/>
      <c r="VZT21" s="72"/>
      <c r="WAA21" s="74"/>
      <c r="WAB21" s="72"/>
      <c r="WAI21" s="74"/>
      <c r="WAJ21" s="72"/>
      <c r="WAQ21" s="74"/>
      <c r="WAR21" s="72"/>
      <c r="WAY21" s="74"/>
      <c r="WAZ21" s="72"/>
      <c r="WBG21" s="74"/>
      <c r="WBH21" s="72"/>
      <c r="WBO21" s="74"/>
      <c r="WBP21" s="72"/>
      <c r="WBW21" s="74"/>
      <c r="WBX21" s="72"/>
      <c r="WCE21" s="74"/>
      <c r="WCF21" s="72"/>
      <c r="WCM21" s="74"/>
      <c r="WCN21" s="72"/>
      <c r="WCU21" s="74"/>
      <c r="WCV21" s="72"/>
      <c r="WDC21" s="74"/>
      <c r="WDD21" s="72"/>
      <c r="WDK21" s="74"/>
      <c r="WDL21" s="72"/>
      <c r="WDS21" s="74"/>
      <c r="WDT21" s="72"/>
      <c r="WEA21" s="74"/>
      <c r="WEB21" s="72"/>
      <c r="WEI21" s="74"/>
      <c r="WEJ21" s="72"/>
      <c r="WEQ21" s="74"/>
      <c r="WER21" s="72"/>
      <c r="WEY21" s="74"/>
      <c r="WEZ21" s="72"/>
      <c r="WFG21" s="74"/>
      <c r="WFH21" s="72"/>
      <c r="WFO21" s="74"/>
      <c r="WFP21" s="72"/>
      <c r="WFW21" s="74"/>
      <c r="WFX21" s="72"/>
      <c r="WGE21" s="74"/>
      <c r="WGF21" s="72"/>
      <c r="WGM21" s="74"/>
      <c r="WGN21" s="72"/>
      <c r="WGU21" s="74"/>
      <c r="WGV21" s="72"/>
      <c r="WHC21" s="74"/>
      <c r="WHD21" s="72"/>
      <c r="WHK21" s="74"/>
      <c r="WHL21" s="72"/>
      <c r="WHS21" s="74"/>
      <c r="WHT21" s="72"/>
      <c r="WIA21" s="74"/>
      <c r="WIB21" s="72"/>
      <c r="WII21" s="74"/>
      <c r="WIJ21" s="72"/>
      <c r="WIQ21" s="74"/>
      <c r="WIR21" s="72"/>
      <c r="WIY21" s="74"/>
      <c r="WIZ21" s="72"/>
      <c r="WJG21" s="74"/>
      <c r="WJH21" s="72"/>
      <c r="WJO21" s="74"/>
      <c r="WJP21" s="72"/>
      <c r="WJW21" s="74"/>
      <c r="WJX21" s="72"/>
      <c r="WKE21" s="74"/>
      <c r="WKF21" s="72"/>
      <c r="WKM21" s="74"/>
      <c r="WKN21" s="72"/>
      <c r="WKU21" s="74"/>
      <c r="WKV21" s="72"/>
      <c r="WLC21" s="74"/>
      <c r="WLD21" s="72"/>
      <c r="WLK21" s="74"/>
      <c r="WLL21" s="72"/>
      <c r="WLS21" s="74"/>
      <c r="WLT21" s="72"/>
      <c r="WMA21" s="74"/>
      <c r="WMB21" s="72"/>
      <c r="WMI21" s="74"/>
      <c r="WMJ21" s="72"/>
      <c r="WMQ21" s="74"/>
      <c r="WMR21" s="72"/>
      <c r="WMY21" s="74"/>
      <c r="WMZ21" s="72"/>
      <c r="WNG21" s="74"/>
      <c r="WNH21" s="72"/>
      <c r="WNO21" s="74"/>
      <c r="WNP21" s="72"/>
      <c r="WNW21" s="74"/>
      <c r="WNX21" s="72"/>
      <c r="WOE21" s="74"/>
      <c r="WOF21" s="72"/>
      <c r="WOM21" s="74"/>
      <c r="WON21" s="72"/>
      <c r="WOU21" s="74"/>
      <c r="WOV21" s="72"/>
      <c r="WPC21" s="74"/>
      <c r="WPD21" s="72"/>
      <c r="WPK21" s="74"/>
      <c r="WPL21" s="72"/>
      <c r="WPS21" s="74"/>
      <c r="WPT21" s="72"/>
      <c r="WQA21" s="74"/>
      <c r="WQB21" s="72"/>
      <c r="WQI21" s="74"/>
      <c r="WQJ21" s="72"/>
      <c r="WQQ21" s="74"/>
      <c r="WQR21" s="72"/>
      <c r="WQY21" s="74"/>
      <c r="WQZ21" s="72"/>
      <c r="WRG21" s="74"/>
      <c r="WRH21" s="72"/>
      <c r="WRO21" s="74"/>
      <c r="WRP21" s="72"/>
      <c r="WRW21" s="74"/>
      <c r="WRX21" s="72"/>
      <c r="WSE21" s="74"/>
      <c r="WSF21" s="72"/>
      <c r="WSM21" s="74"/>
      <c r="WSN21" s="72"/>
      <c r="WSU21" s="74"/>
      <c r="WSV21" s="72"/>
      <c r="WTC21" s="74"/>
      <c r="WTD21" s="72"/>
      <c r="WTK21" s="74"/>
      <c r="WTL21" s="72"/>
      <c r="WTS21" s="74"/>
      <c r="WTT21" s="72"/>
      <c r="WUA21" s="74"/>
      <c r="WUB21" s="72"/>
      <c r="WUI21" s="74"/>
      <c r="WUJ21" s="72"/>
      <c r="WUQ21" s="74"/>
      <c r="WUR21" s="72"/>
      <c r="WUY21" s="74"/>
      <c r="WUZ21" s="72"/>
      <c r="WVG21" s="74"/>
      <c r="WVH21" s="72"/>
      <c r="WVO21" s="74"/>
      <c r="WVP21" s="72"/>
      <c r="WVW21" s="74"/>
      <c r="WVX21" s="72"/>
      <c r="WWE21" s="74"/>
      <c r="WWF21" s="72"/>
      <c r="WWM21" s="74"/>
      <c r="WWN21" s="72"/>
      <c r="WWU21" s="74"/>
      <c r="WWV21" s="72"/>
      <c r="WXC21" s="74"/>
      <c r="WXD21" s="72"/>
      <c r="WXK21" s="74"/>
      <c r="WXL21" s="72"/>
      <c r="WXS21" s="74"/>
      <c r="WXT21" s="72"/>
      <c r="WYA21" s="74"/>
      <c r="WYB21" s="72"/>
      <c r="WYI21" s="74"/>
      <c r="WYJ21" s="72"/>
      <c r="WYQ21" s="74"/>
      <c r="WYR21" s="72"/>
      <c r="WYY21" s="74"/>
      <c r="WYZ21" s="72"/>
      <c r="WZG21" s="74"/>
      <c r="WZH21" s="72"/>
      <c r="WZO21" s="74"/>
      <c r="WZP21" s="72"/>
      <c r="WZW21" s="74"/>
      <c r="WZX21" s="72"/>
      <c r="XAE21" s="74"/>
      <c r="XAF21" s="72"/>
      <c r="XAM21" s="74"/>
      <c r="XAN21" s="72"/>
      <c r="XAU21" s="74"/>
      <c r="XAV21" s="72"/>
      <c r="XBC21" s="74"/>
      <c r="XBD21" s="72"/>
      <c r="XBK21" s="74"/>
      <c r="XBL21" s="72"/>
      <c r="XBS21" s="74"/>
      <c r="XBT21" s="72"/>
      <c r="XCA21" s="74"/>
      <c r="XCB21" s="72"/>
      <c r="XCI21" s="74"/>
      <c r="XCJ21" s="72"/>
      <c r="XCQ21" s="74"/>
      <c r="XCR21" s="72"/>
      <c r="XCY21" s="74"/>
      <c r="XCZ21" s="72"/>
      <c r="XDG21" s="74"/>
      <c r="XDH21" s="72"/>
      <c r="XDO21" s="74"/>
      <c r="XDP21" s="72"/>
      <c r="XDW21" s="74"/>
      <c r="XDX21" s="72"/>
      <c r="XEE21" s="74"/>
      <c r="XEF21" s="72"/>
      <c r="XEM21" s="74"/>
      <c r="XEN21" s="72"/>
      <c r="XEU21" s="74"/>
      <c r="XEV21" s="72"/>
      <c r="XFC21" s="74"/>
      <c r="XFD21" s="72"/>
    </row>
    <row r="22" spans="1:1024 1031:2048 2055:3072 3079:4096 4103:5120 5127:6144 6151:7168 7175:8192 8199:9216 9223:10240 10247:11264 11271:12288 12295:13312 13319:14336 14343:15360 15367:16384" ht="15" customHeight="1" thickBot="1">
      <c r="B22" s="59" t="s">
        <v>19</v>
      </c>
      <c r="C22" s="176">
        <v>52886</v>
      </c>
      <c r="D22" s="155">
        <f t="shared" si="3"/>
        <v>220617</v>
      </c>
      <c r="E22" s="176">
        <v>101584</v>
      </c>
      <c r="F22" s="176">
        <v>65560</v>
      </c>
      <c r="G22" s="176">
        <v>38382</v>
      </c>
      <c r="H22" s="176">
        <v>15091</v>
      </c>
      <c r="I22" s="176">
        <f>SUM(J22:M22)</f>
        <v>77985</v>
      </c>
      <c r="J22" s="176">
        <v>27805</v>
      </c>
      <c r="K22" s="176">
        <f>50180-L22-M22</f>
        <v>9455</v>
      </c>
      <c r="L22" s="176">
        <v>29984</v>
      </c>
      <c r="M22" s="176">
        <v>10741</v>
      </c>
      <c r="N22" s="176">
        <f>SUM(O22:R22)</f>
        <v>72453.899999999994</v>
      </c>
      <c r="O22" s="176">
        <v>13554.45</v>
      </c>
      <c r="P22" s="176">
        <v>29102.45</v>
      </c>
      <c r="Q22" s="176">
        <v>16128</v>
      </c>
      <c r="R22" s="176">
        <v>13669</v>
      </c>
      <c r="S22" s="176">
        <v>55710.617329999994</v>
      </c>
      <c r="T22" s="176">
        <v>16450.854879999999</v>
      </c>
      <c r="U22" s="176">
        <v>8097.5328400000008</v>
      </c>
      <c r="V22" s="176">
        <v>19238.476760000001</v>
      </c>
      <c r="W22" s="176">
        <v>11923.752850000001</v>
      </c>
      <c r="X22" s="176">
        <v>13476</v>
      </c>
      <c r="Y22" s="176">
        <v>5635</v>
      </c>
      <c r="Z22" s="176">
        <v>7841</v>
      </c>
      <c r="AA22" s="176">
        <v>15943</v>
      </c>
      <c r="AC22" s="179">
        <f t="shared" si="4"/>
        <v>0</v>
      </c>
      <c r="AD22" s="179">
        <f t="shared" si="2"/>
        <v>0</v>
      </c>
      <c r="AF22" s="156"/>
      <c r="AG22" s="156"/>
    </row>
    <row r="23" spans="1:1024 1031:2048 2055:3072 3079:4096 4103:5120 5127:6144 6151:7168 7175:8192 8199:9216 9223:10240 10247:11264 11271:12288 12295:13312 13319:14336 14343:15360 15367:16384" ht="15" customHeight="1" thickBot="1">
      <c r="B23" s="59" t="s">
        <v>102</v>
      </c>
      <c r="C23" s="155">
        <v>0</v>
      </c>
      <c r="D23" s="155">
        <f t="shared" si="3"/>
        <v>0</v>
      </c>
      <c r="E23" s="155">
        <v>0</v>
      </c>
      <c r="F23" s="155">
        <v>0</v>
      </c>
      <c r="G23" s="155">
        <v>0</v>
      </c>
      <c r="H23" s="155">
        <v>0</v>
      </c>
      <c r="I23" s="155">
        <f>SUM(K23:N23)</f>
        <v>0</v>
      </c>
      <c r="J23" s="155">
        <v>0</v>
      </c>
      <c r="K23" s="155">
        <v>0</v>
      </c>
      <c r="L23" s="155">
        <v>0</v>
      </c>
      <c r="M23" s="155">
        <v>0</v>
      </c>
      <c r="N23" s="155">
        <f>SUM(O23:R23)</f>
        <v>0</v>
      </c>
      <c r="O23" s="155">
        <v>0</v>
      </c>
      <c r="P23" s="155">
        <v>0</v>
      </c>
      <c r="Q23" s="155">
        <v>0</v>
      </c>
      <c r="R23" s="155">
        <v>0</v>
      </c>
      <c r="S23" s="155">
        <v>0</v>
      </c>
      <c r="T23" s="155">
        <v>0</v>
      </c>
      <c r="U23" s="155">
        <v>0</v>
      </c>
      <c r="V23" s="155">
        <v>0</v>
      </c>
      <c r="W23" s="155">
        <v>0</v>
      </c>
      <c r="X23" s="155">
        <v>0</v>
      </c>
      <c r="Y23" s="155">
        <v>0</v>
      </c>
      <c r="Z23" s="155">
        <v>0</v>
      </c>
      <c r="AA23" s="155">
        <v>5898</v>
      </c>
      <c r="AC23" s="179">
        <f t="shared" si="4"/>
        <v>0</v>
      </c>
      <c r="AD23" s="179">
        <f t="shared" si="2"/>
        <v>0</v>
      </c>
      <c r="AF23" s="156"/>
      <c r="AG23" s="156"/>
    </row>
    <row r="24" spans="1:1024 1031:2048 2055:3072 3079:4096 4103:5120 5127:6144 6151:7168 7175:8192 8199:9216 9223:10240 10247:11264 11271:12288 12295:13312 13319:14336 14343:15360 15367:16384" s="4" customFormat="1" ht="2.15" customHeight="1">
      <c r="B24" s="82"/>
      <c r="C24" s="88"/>
      <c r="D24" s="88"/>
      <c r="E24" s="88"/>
      <c r="F24" s="88"/>
      <c r="G24" s="88"/>
      <c r="H24" s="88"/>
      <c r="I24" s="88"/>
      <c r="J24" s="89"/>
      <c r="K24" s="89"/>
      <c r="L24" s="89"/>
      <c r="M24" s="88"/>
      <c r="N24" s="89"/>
      <c r="O24" s="89"/>
      <c r="P24" s="89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C24" s="177"/>
      <c r="AD24" s="177"/>
    </row>
    <row r="25" spans="1:1024 1031:2048 2055:3072 3079:4096 4103:5120 5127:6144 6151:7168 7175:8192 8199:9216 9223:10240 10247:11264 11271:12288 12295:13312 13319:14336 14343:15360 15367:16384" s="152" customFormat="1" ht="15" customHeight="1" thickBot="1">
      <c r="A25" s="150"/>
      <c r="B25" s="66" t="s">
        <v>65</v>
      </c>
      <c r="C25" s="67">
        <f t="shared" ref="C25:I25" si="11">SUM(C26:C33)</f>
        <v>373273</v>
      </c>
      <c r="D25" s="67">
        <f t="shared" si="11"/>
        <v>1577321.2</v>
      </c>
      <c r="E25" s="67">
        <f t="shared" si="11"/>
        <v>425465</v>
      </c>
      <c r="F25" s="67">
        <f t="shared" si="11"/>
        <v>402044</v>
      </c>
      <c r="G25" s="67">
        <f t="shared" si="11"/>
        <v>380194.2</v>
      </c>
      <c r="H25" s="67">
        <f t="shared" si="11"/>
        <v>369618</v>
      </c>
      <c r="I25" s="67">
        <f t="shared" si="11"/>
        <v>1494786.9</v>
      </c>
      <c r="J25" s="67">
        <f t="shared" ref="J25:AA25" si="12">SUM(J26:J33)</f>
        <v>391579</v>
      </c>
      <c r="K25" s="67">
        <f t="shared" si="12"/>
        <v>419135.95</v>
      </c>
      <c r="L25" s="67">
        <f t="shared" si="12"/>
        <v>416072.95</v>
      </c>
      <c r="M25" s="67">
        <f t="shared" si="12"/>
        <v>267999</v>
      </c>
      <c r="N25" s="151">
        <f t="shared" si="12"/>
        <v>1464214.2</v>
      </c>
      <c r="O25" s="67">
        <f t="shared" si="12"/>
        <v>364873.75</v>
      </c>
      <c r="P25" s="67">
        <f t="shared" si="12"/>
        <v>392403.45</v>
      </c>
      <c r="Q25" s="67">
        <f t="shared" si="12"/>
        <v>387188</v>
      </c>
      <c r="R25" s="67">
        <f t="shared" si="12"/>
        <v>319749</v>
      </c>
      <c r="S25" s="67">
        <f t="shared" si="12"/>
        <v>908051.70123999973</v>
      </c>
      <c r="T25" s="67">
        <f t="shared" si="12"/>
        <v>266217.94327999995</v>
      </c>
      <c r="U25" s="67">
        <f t="shared" si="12"/>
        <v>221734.26964000001</v>
      </c>
      <c r="V25" s="67">
        <f t="shared" si="12"/>
        <v>246183.19920000003</v>
      </c>
      <c r="W25" s="67">
        <f t="shared" si="12"/>
        <v>173917.29152999999</v>
      </c>
      <c r="X25" s="67">
        <f t="shared" si="12"/>
        <v>849320</v>
      </c>
      <c r="Y25" s="67">
        <f t="shared" si="12"/>
        <v>398881</v>
      </c>
      <c r="Z25" s="67">
        <f t="shared" si="12"/>
        <v>450439</v>
      </c>
      <c r="AA25" s="67">
        <f t="shared" si="12"/>
        <v>733748</v>
      </c>
      <c r="AC25" s="180">
        <f t="shared" si="4"/>
        <v>0</v>
      </c>
      <c r="AD25" s="180">
        <f t="shared" si="2"/>
        <v>1.0024100003065541</v>
      </c>
    </row>
    <row r="26" spans="1:1024 1031:2048 2055:3072 3079:4096 4103:5120 5127:6144 6151:7168 7175:8192 8199:9216 9223:10240 10247:11264 11271:12288 12295:13312 13319:14336 14343:15360 15367:16384" ht="15" customHeight="1" thickBot="1">
      <c r="B26" s="59" t="s">
        <v>19</v>
      </c>
      <c r="C26" s="155">
        <f>C22+C11</f>
        <v>218881</v>
      </c>
      <c r="D26" s="155">
        <f>SUM(E26:H26)</f>
        <v>881378</v>
      </c>
      <c r="E26" s="155">
        <f>E22+E11</f>
        <v>259034</v>
      </c>
      <c r="F26" s="155">
        <f>F22+F11</f>
        <v>232136</v>
      </c>
      <c r="G26" s="155">
        <f>G22+G11</f>
        <v>220939</v>
      </c>
      <c r="H26" s="155">
        <f>H22+H11</f>
        <v>169269</v>
      </c>
      <c r="I26" s="155">
        <f>I22+I11</f>
        <v>729904</v>
      </c>
      <c r="J26" s="155">
        <f t="shared" ref="J26:AA26" si="13">J22+J11</f>
        <v>180955</v>
      </c>
      <c r="K26" s="155">
        <f t="shared" si="13"/>
        <v>221007</v>
      </c>
      <c r="L26" s="155">
        <f t="shared" si="13"/>
        <v>236711</v>
      </c>
      <c r="M26" s="155">
        <f t="shared" si="13"/>
        <v>91231</v>
      </c>
      <c r="N26" s="155">
        <f t="shared" si="13"/>
        <v>638855.9</v>
      </c>
      <c r="O26" s="155">
        <f t="shared" si="13"/>
        <v>135374.45000000001</v>
      </c>
      <c r="P26" s="155">
        <f t="shared" si="13"/>
        <v>179899.45</v>
      </c>
      <c r="Q26" s="155">
        <f t="shared" si="13"/>
        <v>202528</v>
      </c>
      <c r="R26" s="155">
        <f t="shared" si="13"/>
        <v>121054</v>
      </c>
      <c r="S26" s="155">
        <f t="shared" si="13"/>
        <v>435004.67892999999</v>
      </c>
      <c r="T26" s="155">
        <f t="shared" si="13"/>
        <v>109216.45506000001</v>
      </c>
      <c r="U26" s="155">
        <f t="shared" si="13"/>
        <v>101469.21966</v>
      </c>
      <c r="V26" s="155">
        <f t="shared" si="13"/>
        <v>133395.06402999998</v>
      </c>
      <c r="W26" s="155">
        <f t="shared" si="13"/>
        <v>90923.940180000005</v>
      </c>
      <c r="X26" s="155">
        <f t="shared" si="13"/>
        <v>316589</v>
      </c>
      <c r="Y26" s="155">
        <f t="shared" si="13"/>
        <v>149036</v>
      </c>
      <c r="Z26" s="155">
        <f t="shared" si="13"/>
        <v>167553</v>
      </c>
      <c r="AA26" s="155">
        <f t="shared" si="13"/>
        <v>249395</v>
      </c>
      <c r="AC26" s="179">
        <f t="shared" si="4"/>
        <v>0</v>
      </c>
      <c r="AD26" s="179">
        <f t="shared" si="2"/>
        <v>0</v>
      </c>
      <c r="AF26" s="156"/>
      <c r="AG26" s="156"/>
    </row>
    <row r="27" spans="1:1024 1031:2048 2055:3072 3079:4096 4103:5120 5127:6144 6151:7168 7175:8192 8199:9216 9223:10240 10247:11264 11271:12288 12295:13312 13319:14336 14343:15360 15367:16384" ht="15" customHeight="1" thickBot="1">
      <c r="B27" s="59" t="s">
        <v>57</v>
      </c>
      <c r="C27" s="155">
        <f>C12</f>
        <v>137734</v>
      </c>
      <c r="D27" s="155">
        <f t="shared" ref="D27:D33" si="14">SUM(E27:H27)</f>
        <v>619180</v>
      </c>
      <c r="E27" s="155">
        <f>E12</f>
        <v>148916</v>
      </c>
      <c r="F27" s="155">
        <f>F12</f>
        <v>156196</v>
      </c>
      <c r="G27" s="155">
        <f>G12</f>
        <v>140476</v>
      </c>
      <c r="H27" s="155">
        <f>H12</f>
        <v>173592</v>
      </c>
      <c r="I27" s="155">
        <f>I12</f>
        <v>700515</v>
      </c>
      <c r="J27" s="155">
        <f t="shared" ref="J27:AA27" si="15">J12</f>
        <v>195493</v>
      </c>
      <c r="K27" s="155">
        <f t="shared" si="15"/>
        <v>184858</v>
      </c>
      <c r="L27" s="155">
        <f t="shared" si="15"/>
        <v>172288</v>
      </c>
      <c r="M27" s="155">
        <f t="shared" si="15"/>
        <v>147876</v>
      </c>
      <c r="N27" s="155">
        <f>N12</f>
        <v>783227</v>
      </c>
      <c r="O27" s="155">
        <f t="shared" si="15"/>
        <v>220889</v>
      </c>
      <c r="P27" s="155">
        <f t="shared" si="15"/>
        <v>197250</v>
      </c>
      <c r="Q27" s="155">
        <f t="shared" si="15"/>
        <v>173910</v>
      </c>
      <c r="R27" s="155">
        <f t="shared" si="15"/>
        <v>191178</v>
      </c>
      <c r="S27" s="155">
        <f t="shared" si="15"/>
        <v>453317.21072999993</v>
      </c>
      <c r="T27" s="155">
        <f t="shared" si="15"/>
        <v>152941.35908999998</v>
      </c>
      <c r="U27" s="155">
        <f t="shared" si="15"/>
        <v>112006.18193000001</v>
      </c>
      <c r="V27" s="155">
        <f t="shared" si="15"/>
        <v>107036.45291000001</v>
      </c>
      <c r="W27" s="155">
        <f t="shared" si="15"/>
        <v>81333.216799999995</v>
      </c>
      <c r="X27" s="155">
        <f t="shared" si="15"/>
        <v>517308</v>
      </c>
      <c r="Y27" s="155">
        <f t="shared" si="15"/>
        <v>242328</v>
      </c>
      <c r="Z27" s="155">
        <f t="shared" si="15"/>
        <v>274980</v>
      </c>
      <c r="AA27" s="155">
        <f t="shared" si="15"/>
        <v>460610</v>
      </c>
      <c r="AC27" s="179">
        <f t="shared" si="4"/>
        <v>0</v>
      </c>
      <c r="AD27" s="179">
        <f t="shared" si="2"/>
        <v>0</v>
      </c>
      <c r="AF27" s="156"/>
      <c r="AG27" s="156"/>
    </row>
    <row r="28" spans="1:1024 1031:2048 2055:3072 3079:4096 4103:5120 5127:6144 6151:7168 7175:8192 8199:9216 9223:10240 10247:11264 11271:12288 12295:13312 13319:14336 14343:15360 15367:16384" ht="15" customHeight="1" thickBot="1">
      <c r="B28" s="59" t="s">
        <v>131</v>
      </c>
      <c r="C28" s="155">
        <f t="shared" ref="C28:I31" si="16">C15</f>
        <v>1812</v>
      </c>
      <c r="D28" s="155">
        <f t="shared" si="14"/>
        <v>11261</v>
      </c>
      <c r="E28" s="155">
        <f t="shared" si="16"/>
        <v>77</v>
      </c>
      <c r="F28" s="155">
        <f t="shared" si="16"/>
        <v>3745</v>
      </c>
      <c r="G28" s="155">
        <f t="shared" si="16"/>
        <v>4714</v>
      </c>
      <c r="H28" s="155">
        <f t="shared" si="16"/>
        <v>2725</v>
      </c>
      <c r="I28" s="155">
        <f t="shared" si="16"/>
        <v>6098</v>
      </c>
      <c r="J28" s="155">
        <f t="shared" ref="J28:AA28" si="17">J15</f>
        <v>0</v>
      </c>
      <c r="K28" s="155">
        <f t="shared" si="17"/>
        <v>2412</v>
      </c>
      <c r="L28" s="155">
        <f t="shared" si="17"/>
        <v>2765</v>
      </c>
      <c r="M28" s="155">
        <f t="shared" si="17"/>
        <v>921</v>
      </c>
      <c r="N28" s="155">
        <f t="shared" si="17"/>
        <v>12738</v>
      </c>
      <c r="O28" s="155">
        <f t="shared" si="17"/>
        <v>210</v>
      </c>
      <c r="P28" s="155">
        <f t="shared" si="17"/>
        <v>7129</v>
      </c>
      <c r="Q28" s="155">
        <f t="shared" si="17"/>
        <v>3092</v>
      </c>
      <c r="R28" s="155">
        <f t="shared" si="17"/>
        <v>2307</v>
      </c>
      <c r="S28" s="155">
        <f t="shared" si="17"/>
        <v>11789</v>
      </c>
      <c r="T28" s="155">
        <f t="shared" si="17"/>
        <v>0</v>
      </c>
      <c r="U28" s="155">
        <f t="shared" si="17"/>
        <v>5287.4544999999998</v>
      </c>
      <c r="V28" s="155">
        <f t="shared" si="17"/>
        <v>4840.5929199999991</v>
      </c>
      <c r="W28" s="155">
        <f t="shared" si="17"/>
        <v>1660.13455</v>
      </c>
      <c r="X28" s="155">
        <f t="shared" si="17"/>
        <v>15112</v>
      </c>
      <c r="Y28" s="155">
        <f t="shared" si="17"/>
        <v>7334</v>
      </c>
      <c r="Z28" s="155">
        <f t="shared" si="17"/>
        <v>7778</v>
      </c>
      <c r="AA28" s="155">
        <f t="shared" si="17"/>
        <v>17588</v>
      </c>
      <c r="AC28" s="179">
        <f t="shared" si="4"/>
        <v>0</v>
      </c>
      <c r="AD28" s="179">
        <f t="shared" si="2"/>
        <v>-0.81803000000218162</v>
      </c>
      <c r="AF28" s="156"/>
      <c r="AG28" s="156"/>
    </row>
    <row r="29" spans="1:1024 1031:2048 2055:3072 3079:4096 4103:5120 5127:6144 6151:7168 7175:8192 8199:9216 9223:10240 10247:11264 11271:12288 12295:13312 13319:14336 14343:15360 15367:16384" ht="15" customHeight="1" thickBot="1">
      <c r="B29" s="59" t="s">
        <v>21</v>
      </c>
      <c r="C29" s="155">
        <f t="shared" si="16"/>
        <v>2222</v>
      </c>
      <c r="D29" s="155">
        <f t="shared" si="14"/>
        <v>17123.8</v>
      </c>
      <c r="E29" s="155">
        <f t="shared" si="16"/>
        <v>2484</v>
      </c>
      <c r="F29" s="155">
        <f t="shared" si="16"/>
        <v>4946.3999999999996</v>
      </c>
      <c r="G29" s="155">
        <f t="shared" si="16"/>
        <v>6129.4</v>
      </c>
      <c r="H29" s="155">
        <f t="shared" si="16"/>
        <v>3564</v>
      </c>
      <c r="I29" s="155">
        <f t="shared" si="16"/>
        <v>12829</v>
      </c>
      <c r="J29" s="155">
        <f t="shared" ref="J29:AA29" si="18">J16</f>
        <v>3021</v>
      </c>
      <c r="K29" s="155">
        <f t="shared" si="18"/>
        <v>4823.5</v>
      </c>
      <c r="L29" s="155">
        <f t="shared" si="18"/>
        <v>3311.5</v>
      </c>
      <c r="M29" s="155">
        <f t="shared" si="18"/>
        <v>1673</v>
      </c>
      <c r="N29" s="155">
        <f t="shared" si="18"/>
        <v>7640</v>
      </c>
      <c r="O29" s="155">
        <f t="shared" si="18"/>
        <v>952</v>
      </c>
      <c r="P29" s="155">
        <f t="shared" si="18"/>
        <v>2148</v>
      </c>
      <c r="Q29" s="155">
        <f t="shared" si="18"/>
        <v>2714</v>
      </c>
      <c r="R29" s="155">
        <f t="shared" si="18"/>
        <v>1826</v>
      </c>
      <c r="S29" s="155">
        <f t="shared" si="18"/>
        <v>2731.8218499999998</v>
      </c>
      <c r="T29" s="155">
        <f t="shared" si="18"/>
        <v>1363.9467</v>
      </c>
      <c r="U29" s="155">
        <f t="shared" si="18"/>
        <v>1035.41355</v>
      </c>
      <c r="V29" s="155">
        <f t="shared" si="18"/>
        <v>332.46159999999998</v>
      </c>
      <c r="W29" s="155">
        <f t="shared" si="18"/>
        <v>0</v>
      </c>
      <c r="X29" s="155">
        <f t="shared" si="18"/>
        <v>0</v>
      </c>
      <c r="Y29" s="155">
        <f t="shared" si="18"/>
        <v>0</v>
      </c>
      <c r="Z29" s="155">
        <f t="shared" si="18"/>
        <v>0</v>
      </c>
      <c r="AA29" s="155">
        <f t="shared" si="18"/>
        <v>0</v>
      </c>
      <c r="AC29" s="179">
        <f t="shared" si="4"/>
        <v>0</v>
      </c>
      <c r="AD29" s="179">
        <f t="shared" si="2"/>
        <v>0</v>
      </c>
      <c r="AF29" s="156"/>
      <c r="AG29" s="156"/>
    </row>
    <row r="30" spans="1:1024 1031:2048 2055:3072 3079:4096 4103:5120 5127:6144 6151:7168 7175:8192 8199:9216 9223:10240 10247:11264 11271:12288 12295:13312 13319:14336 14343:15360 15367:16384" ht="15" customHeight="1" thickBot="1">
      <c r="B30" s="59" t="s">
        <v>238</v>
      </c>
      <c r="C30" s="155">
        <f t="shared" si="16"/>
        <v>1335</v>
      </c>
      <c r="D30" s="155">
        <f t="shared" si="14"/>
        <v>30949.4</v>
      </c>
      <c r="E30" s="155">
        <f t="shared" si="16"/>
        <v>9583</v>
      </c>
      <c r="F30" s="155">
        <f t="shared" si="16"/>
        <v>2393.6</v>
      </c>
      <c r="G30" s="155">
        <f t="shared" si="16"/>
        <v>6805.8</v>
      </c>
      <c r="H30" s="155">
        <f t="shared" si="16"/>
        <v>12167</v>
      </c>
      <c r="I30" s="155">
        <f t="shared" si="16"/>
        <v>21761</v>
      </c>
      <c r="J30" s="155">
        <f t="shared" ref="J30:AA30" si="19">J17</f>
        <v>4774</v>
      </c>
      <c r="K30" s="155">
        <f t="shared" si="19"/>
        <v>5021</v>
      </c>
      <c r="L30" s="155">
        <f t="shared" si="19"/>
        <v>158</v>
      </c>
      <c r="M30" s="155">
        <f t="shared" si="19"/>
        <v>11808</v>
      </c>
      <c r="N30" s="155">
        <f t="shared" si="19"/>
        <v>9692</v>
      </c>
      <c r="O30" s="155">
        <f t="shared" si="19"/>
        <v>5771</v>
      </c>
      <c r="P30" s="155">
        <f t="shared" si="19"/>
        <v>970</v>
      </c>
      <c r="Q30" s="155">
        <f t="shared" si="19"/>
        <v>2860</v>
      </c>
      <c r="R30" s="155">
        <f t="shared" si="19"/>
        <v>91</v>
      </c>
      <c r="S30" s="155">
        <f t="shared" si="19"/>
        <v>1124.7</v>
      </c>
      <c r="T30" s="155">
        <f t="shared" si="19"/>
        <v>0</v>
      </c>
      <c r="U30" s="155">
        <f t="shared" si="19"/>
        <v>990</v>
      </c>
      <c r="V30" s="155">
        <f t="shared" si="19"/>
        <v>134.44999999999999</v>
      </c>
      <c r="W30" s="155">
        <f t="shared" si="19"/>
        <v>0</v>
      </c>
      <c r="X30" s="155">
        <f t="shared" si="19"/>
        <v>0</v>
      </c>
      <c r="Y30" s="155">
        <f t="shared" si="19"/>
        <v>0</v>
      </c>
      <c r="Z30" s="155">
        <f t="shared" si="19"/>
        <v>0</v>
      </c>
      <c r="AA30" s="155">
        <f t="shared" si="19"/>
        <v>0</v>
      </c>
      <c r="AC30" s="179">
        <f t="shared" si="4"/>
        <v>0</v>
      </c>
      <c r="AD30" s="179">
        <f t="shared" si="2"/>
        <v>-0.25</v>
      </c>
      <c r="AF30" s="156"/>
      <c r="AG30" s="156"/>
    </row>
    <row r="31" spans="1:1024 1031:2048 2055:3072 3079:4096 4103:5120 5127:6144 6151:7168 7175:8192 8199:9216 9223:10240 10247:11264 11271:12288 12295:13312 13319:14336 14343:15360 15367:16384" ht="15" customHeight="1" thickBot="1">
      <c r="B31" s="59" t="s">
        <v>351</v>
      </c>
      <c r="C31" s="155">
        <f t="shared" si="16"/>
        <v>351</v>
      </c>
      <c r="D31" s="155">
        <f t="shared" si="14"/>
        <v>1313</v>
      </c>
      <c r="E31" s="155">
        <f t="shared" si="16"/>
        <v>414</v>
      </c>
      <c r="F31" s="155">
        <f t="shared" si="16"/>
        <v>397</v>
      </c>
      <c r="G31" s="155">
        <f t="shared" si="16"/>
        <v>365</v>
      </c>
      <c r="H31" s="155">
        <f t="shared" si="16"/>
        <v>137</v>
      </c>
      <c r="I31" s="155">
        <f t="shared" si="16"/>
        <v>2447</v>
      </c>
      <c r="J31" s="155">
        <f t="shared" ref="J31:AA31" si="20">J18</f>
        <v>30</v>
      </c>
      <c r="K31" s="155">
        <f t="shared" si="20"/>
        <v>491</v>
      </c>
      <c r="L31" s="155">
        <f t="shared" si="20"/>
        <v>581</v>
      </c>
      <c r="M31" s="155">
        <f t="shared" si="20"/>
        <v>1345</v>
      </c>
      <c r="N31" s="155">
        <f t="shared" si="20"/>
        <v>5516.3</v>
      </c>
      <c r="O31" s="155">
        <f t="shared" si="20"/>
        <v>2152.3000000000002</v>
      </c>
      <c r="P31" s="155">
        <f t="shared" si="20"/>
        <v>1384</v>
      </c>
      <c r="Q31" s="155">
        <f t="shared" si="20"/>
        <v>1764</v>
      </c>
      <c r="R31" s="155">
        <f t="shared" si="20"/>
        <v>216</v>
      </c>
      <c r="S31" s="155">
        <f t="shared" si="20"/>
        <v>0</v>
      </c>
      <c r="T31" s="155">
        <f t="shared" si="20"/>
        <v>0</v>
      </c>
      <c r="U31" s="155">
        <f t="shared" si="20"/>
        <v>0</v>
      </c>
      <c r="V31" s="155">
        <f t="shared" si="20"/>
        <v>0</v>
      </c>
      <c r="W31" s="155">
        <f t="shared" si="20"/>
        <v>0</v>
      </c>
      <c r="X31" s="155">
        <f t="shared" si="20"/>
        <v>0</v>
      </c>
      <c r="Y31" s="155">
        <f t="shared" si="20"/>
        <v>0</v>
      </c>
      <c r="Z31" s="155">
        <f t="shared" si="20"/>
        <v>0</v>
      </c>
      <c r="AA31" s="155">
        <f t="shared" si="20"/>
        <v>0</v>
      </c>
      <c r="AC31" s="179">
        <f t="shared" si="4"/>
        <v>0</v>
      </c>
      <c r="AD31" s="179">
        <f t="shared" si="2"/>
        <v>0</v>
      </c>
      <c r="AF31" s="156"/>
      <c r="AG31" s="156"/>
    </row>
    <row r="32" spans="1:1024 1031:2048 2055:3072 3079:4096 4103:5120 5127:6144 6151:7168 7175:8192 8199:9216 9223:10240 10247:11264 11271:12288 12295:13312 13319:14336 14343:15360 15367:16384" ht="15" customHeight="1" thickBot="1">
      <c r="B32" s="59" t="s">
        <v>318</v>
      </c>
      <c r="C32" s="155">
        <f t="shared" ref="C32:M32" si="21">C19</f>
        <v>9335</v>
      </c>
      <c r="D32" s="155">
        <f t="shared" si="14"/>
        <v>11276</v>
      </c>
      <c r="E32" s="155">
        <f t="shared" si="21"/>
        <v>2978</v>
      </c>
      <c r="F32" s="155">
        <f t="shared" si="21"/>
        <v>399</v>
      </c>
      <c r="G32" s="155">
        <f t="shared" si="21"/>
        <v>167</v>
      </c>
      <c r="H32" s="155">
        <f t="shared" si="21"/>
        <v>7732</v>
      </c>
      <c r="I32" s="155">
        <f t="shared" si="21"/>
        <v>20153</v>
      </c>
      <c r="J32" s="155">
        <f t="shared" si="21"/>
        <v>7111</v>
      </c>
      <c r="K32" s="155">
        <f t="shared" si="21"/>
        <v>0</v>
      </c>
      <c r="L32" s="155">
        <f t="shared" si="21"/>
        <v>28</v>
      </c>
      <c r="M32" s="155">
        <f t="shared" si="21"/>
        <v>13014</v>
      </c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5"/>
      <c r="AA32" s="155"/>
      <c r="AC32" s="179"/>
      <c r="AD32" s="179"/>
      <c r="AF32" s="156"/>
      <c r="AG32" s="156"/>
    </row>
    <row r="33" spans="1:1024 1031:2048 2055:3072 3079:4096 4103:5120 5127:6144 6151:7168 7175:8192 8199:9216 9223:10240 10247:11264 11271:12288 12295:13312 13319:14336 14343:15360 15367:16384" ht="15" customHeight="1" thickBot="1">
      <c r="B33" s="59" t="s">
        <v>102</v>
      </c>
      <c r="C33" s="155">
        <f>C23+C20</f>
        <v>1603</v>
      </c>
      <c r="D33" s="155">
        <f t="shared" si="14"/>
        <v>4840</v>
      </c>
      <c r="E33" s="155">
        <f>E23+E20</f>
        <v>1979</v>
      </c>
      <c r="F33" s="155">
        <f>F23+F20</f>
        <v>1831</v>
      </c>
      <c r="G33" s="155">
        <f>G23+G20</f>
        <v>598</v>
      </c>
      <c r="H33" s="155">
        <f>H23+H20</f>
        <v>432</v>
      </c>
      <c r="I33" s="155">
        <f>I23+I20</f>
        <v>1079.9000000000001</v>
      </c>
      <c r="J33" s="155">
        <f t="shared" ref="J33:AA33" si="22">J23+J20</f>
        <v>195</v>
      </c>
      <c r="K33" s="155">
        <f t="shared" si="22"/>
        <v>523.45000000000005</v>
      </c>
      <c r="L33" s="155">
        <f t="shared" si="22"/>
        <v>230.45</v>
      </c>
      <c r="M33" s="155">
        <f t="shared" si="22"/>
        <v>131</v>
      </c>
      <c r="N33" s="155">
        <f t="shared" si="22"/>
        <v>6545</v>
      </c>
      <c r="O33" s="155">
        <f t="shared" si="22"/>
        <v>-475</v>
      </c>
      <c r="P33" s="155">
        <f t="shared" si="22"/>
        <v>3623</v>
      </c>
      <c r="Q33" s="155">
        <f t="shared" si="22"/>
        <v>320</v>
      </c>
      <c r="R33" s="155">
        <f t="shared" si="22"/>
        <v>3077</v>
      </c>
      <c r="S33" s="155">
        <f t="shared" si="22"/>
        <v>4084.2897300000013</v>
      </c>
      <c r="T33" s="155">
        <f t="shared" si="22"/>
        <v>2696.1824299999998</v>
      </c>
      <c r="U33" s="155">
        <f t="shared" si="22"/>
        <v>946</v>
      </c>
      <c r="V33" s="155">
        <f t="shared" si="22"/>
        <v>444.17774000000003</v>
      </c>
      <c r="W33" s="155">
        <f t="shared" si="22"/>
        <v>0</v>
      </c>
      <c r="X33" s="155">
        <f t="shared" si="22"/>
        <v>311</v>
      </c>
      <c r="Y33" s="155">
        <f t="shared" si="22"/>
        <v>183</v>
      </c>
      <c r="Z33" s="155">
        <f t="shared" si="22"/>
        <v>128</v>
      </c>
      <c r="AA33" s="155">
        <f t="shared" si="22"/>
        <v>6155</v>
      </c>
      <c r="AC33" s="179">
        <f t="shared" si="4"/>
        <v>0</v>
      </c>
      <c r="AD33" s="179">
        <f t="shared" si="2"/>
        <v>2.0704399999985981</v>
      </c>
      <c r="AF33" s="156"/>
      <c r="AG33" s="156"/>
    </row>
    <row r="34" spans="1:1024 1031:2048 2055:3072 3079:4096 4103:5120 5127:6144 6151:7168 7175:8192 8199:9216 9223:10240 10247:11264 11271:12288 12295:13312 13319:14336 14343:15360 15367:16384" s="81" customFormat="1" ht="15" customHeight="1">
      <c r="B34" s="115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86"/>
      <c r="Y34" s="86"/>
      <c r="Z34" s="86"/>
      <c r="AA34" s="86"/>
      <c r="AC34" s="177"/>
      <c r="AD34" s="177"/>
    </row>
    <row r="35" spans="1:1024 1031:2048 2055:3072 3079:4096 4103:5120 5127:6144 6151:7168 7175:8192 8199:9216 9223:10240 10247:11264 11271:12288 12295:13312 13319:14336 14343:15360 15367:16384" s="4" customFormat="1" ht="15" customHeight="1" thickBot="1">
      <c r="B35" s="56" t="s">
        <v>277</v>
      </c>
      <c r="C35" s="153"/>
      <c r="D35" s="153"/>
      <c r="E35" s="153"/>
      <c r="F35" s="153"/>
      <c r="G35" s="153"/>
      <c r="H35" s="153"/>
      <c r="I35" s="207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22"/>
      <c r="AC35" s="177"/>
      <c r="AD35" s="177"/>
    </row>
    <row r="36" spans="1:1024 1031:2048 2055:3072 3079:4096 4103:5120 5127:6144 6151:7168 7175:8192 8199:9216 9223:10240 10247:11264 11271:12288 12295:13312 13319:14336 14343:15360 15367:16384" s="73" customFormat="1" ht="15" customHeight="1" thickBot="1">
      <c r="A36" s="4"/>
      <c r="B36" s="145" t="s">
        <v>160</v>
      </c>
      <c r="C36" s="146"/>
      <c r="D36" s="146"/>
      <c r="E36" s="146"/>
      <c r="F36" s="146"/>
      <c r="G36" s="146"/>
      <c r="H36" s="146"/>
      <c r="I36" s="209"/>
      <c r="J36" s="146"/>
      <c r="K36" s="146"/>
      <c r="L36" s="146"/>
      <c r="M36" s="146"/>
      <c r="N36" s="147"/>
      <c r="O36" s="146"/>
      <c r="P36" s="146"/>
      <c r="Q36" s="146"/>
      <c r="R36" s="146"/>
      <c r="S36" s="146"/>
      <c r="T36" s="146"/>
      <c r="U36" s="146"/>
      <c r="V36" s="146"/>
      <c r="W36" s="146"/>
      <c r="X36" s="146"/>
      <c r="Y36" s="146"/>
      <c r="Z36" s="146"/>
      <c r="AA36" s="146"/>
      <c r="AC36" s="178"/>
      <c r="AD36" s="178"/>
      <c r="AE36" s="74"/>
      <c r="AF36" s="72"/>
      <c r="AM36" s="74"/>
      <c r="AN36" s="72"/>
      <c r="AU36" s="74"/>
      <c r="AV36" s="72"/>
      <c r="BC36" s="74"/>
      <c r="BD36" s="72"/>
      <c r="BK36" s="74"/>
      <c r="BL36" s="72"/>
      <c r="BS36" s="74"/>
      <c r="BT36" s="72"/>
      <c r="CA36" s="74"/>
      <c r="CB36" s="72"/>
      <c r="CI36" s="74"/>
      <c r="CJ36" s="72"/>
      <c r="CQ36" s="74"/>
      <c r="CR36" s="72"/>
      <c r="CY36" s="74"/>
      <c r="CZ36" s="72"/>
      <c r="DG36" s="74"/>
      <c r="DH36" s="72"/>
      <c r="DO36" s="74"/>
      <c r="DP36" s="72"/>
      <c r="DW36" s="74"/>
      <c r="DX36" s="72"/>
      <c r="EE36" s="74"/>
      <c r="EF36" s="72"/>
      <c r="EM36" s="74"/>
      <c r="EN36" s="72"/>
      <c r="EU36" s="74"/>
      <c r="EV36" s="72"/>
      <c r="FC36" s="74"/>
      <c r="FD36" s="72"/>
      <c r="FK36" s="74"/>
      <c r="FL36" s="72"/>
      <c r="FS36" s="74"/>
      <c r="FT36" s="72"/>
      <c r="GA36" s="74"/>
      <c r="GB36" s="72"/>
      <c r="GI36" s="74"/>
      <c r="GJ36" s="72"/>
      <c r="GQ36" s="74"/>
      <c r="GR36" s="72"/>
      <c r="GY36" s="74"/>
      <c r="GZ36" s="72"/>
      <c r="HG36" s="74"/>
      <c r="HH36" s="72"/>
      <c r="HO36" s="74"/>
      <c r="HP36" s="72"/>
      <c r="HW36" s="74"/>
      <c r="HX36" s="72"/>
      <c r="IE36" s="74"/>
      <c r="IF36" s="72"/>
      <c r="IM36" s="74"/>
      <c r="IN36" s="72"/>
      <c r="IU36" s="74"/>
      <c r="IV36" s="72"/>
      <c r="JC36" s="74"/>
      <c r="JD36" s="72"/>
      <c r="JK36" s="74"/>
      <c r="JL36" s="72"/>
      <c r="JS36" s="74"/>
      <c r="JT36" s="72"/>
      <c r="KA36" s="74"/>
      <c r="KB36" s="72"/>
      <c r="KI36" s="74"/>
      <c r="KJ36" s="72"/>
      <c r="KQ36" s="74"/>
      <c r="KR36" s="72"/>
      <c r="KY36" s="74"/>
      <c r="KZ36" s="72"/>
      <c r="LG36" s="74"/>
      <c r="LH36" s="72"/>
      <c r="LO36" s="74"/>
      <c r="LP36" s="72"/>
      <c r="LW36" s="74"/>
      <c r="LX36" s="72"/>
      <c r="ME36" s="74"/>
      <c r="MF36" s="72"/>
      <c r="MM36" s="74"/>
      <c r="MN36" s="72"/>
      <c r="MU36" s="74"/>
      <c r="MV36" s="72"/>
      <c r="NC36" s="74"/>
      <c r="ND36" s="72"/>
      <c r="NK36" s="74"/>
      <c r="NL36" s="72"/>
      <c r="NS36" s="74"/>
      <c r="NT36" s="72"/>
      <c r="OA36" s="74"/>
      <c r="OB36" s="72"/>
      <c r="OI36" s="74"/>
      <c r="OJ36" s="72"/>
      <c r="OQ36" s="74"/>
      <c r="OR36" s="72"/>
      <c r="OY36" s="74"/>
      <c r="OZ36" s="72"/>
      <c r="PG36" s="74"/>
      <c r="PH36" s="72"/>
      <c r="PO36" s="74"/>
      <c r="PP36" s="72"/>
      <c r="PW36" s="74"/>
      <c r="PX36" s="72"/>
      <c r="QE36" s="74"/>
      <c r="QF36" s="72"/>
      <c r="QM36" s="74"/>
      <c r="QN36" s="72"/>
      <c r="QU36" s="74"/>
      <c r="QV36" s="72"/>
      <c r="RC36" s="74"/>
      <c r="RD36" s="72"/>
      <c r="RK36" s="74"/>
      <c r="RL36" s="72"/>
      <c r="RS36" s="74"/>
      <c r="RT36" s="72"/>
      <c r="SA36" s="74"/>
      <c r="SB36" s="72"/>
      <c r="SI36" s="74"/>
      <c r="SJ36" s="72"/>
      <c r="SQ36" s="74"/>
      <c r="SR36" s="72"/>
      <c r="SY36" s="74"/>
      <c r="SZ36" s="72"/>
      <c r="TG36" s="74"/>
      <c r="TH36" s="72"/>
      <c r="TO36" s="74"/>
      <c r="TP36" s="72"/>
      <c r="TW36" s="74"/>
      <c r="TX36" s="72"/>
      <c r="UE36" s="74"/>
      <c r="UF36" s="72"/>
      <c r="UM36" s="74"/>
      <c r="UN36" s="72"/>
      <c r="UU36" s="74"/>
      <c r="UV36" s="72"/>
      <c r="VC36" s="74"/>
      <c r="VD36" s="72"/>
      <c r="VK36" s="74"/>
      <c r="VL36" s="72"/>
      <c r="VS36" s="74"/>
      <c r="VT36" s="72"/>
      <c r="WA36" s="74"/>
      <c r="WB36" s="72"/>
      <c r="WI36" s="74"/>
      <c r="WJ36" s="72"/>
      <c r="WQ36" s="74"/>
      <c r="WR36" s="72"/>
      <c r="WY36" s="74"/>
      <c r="WZ36" s="72"/>
      <c r="XG36" s="74"/>
      <c r="XH36" s="72"/>
      <c r="XO36" s="74"/>
      <c r="XP36" s="72"/>
      <c r="XW36" s="74"/>
      <c r="XX36" s="72"/>
      <c r="YE36" s="74"/>
      <c r="YF36" s="72"/>
      <c r="YM36" s="74"/>
      <c r="YN36" s="72"/>
      <c r="YU36" s="74"/>
      <c r="YV36" s="72"/>
      <c r="ZC36" s="74"/>
      <c r="ZD36" s="72"/>
      <c r="ZK36" s="74"/>
      <c r="ZL36" s="72"/>
      <c r="ZS36" s="74"/>
      <c r="ZT36" s="72"/>
      <c r="AAA36" s="74"/>
      <c r="AAB36" s="72"/>
      <c r="AAI36" s="74"/>
      <c r="AAJ36" s="72"/>
      <c r="AAQ36" s="74"/>
      <c r="AAR36" s="72"/>
      <c r="AAY36" s="74"/>
      <c r="AAZ36" s="72"/>
      <c r="ABG36" s="74"/>
      <c r="ABH36" s="72"/>
      <c r="ABO36" s="74"/>
      <c r="ABP36" s="72"/>
      <c r="ABW36" s="74"/>
      <c r="ABX36" s="72"/>
      <c r="ACE36" s="74"/>
      <c r="ACF36" s="72"/>
      <c r="ACM36" s="74"/>
      <c r="ACN36" s="72"/>
      <c r="ACU36" s="74"/>
      <c r="ACV36" s="72"/>
      <c r="ADC36" s="74"/>
      <c r="ADD36" s="72"/>
      <c r="ADK36" s="74"/>
      <c r="ADL36" s="72"/>
      <c r="ADS36" s="74"/>
      <c r="ADT36" s="72"/>
      <c r="AEA36" s="74"/>
      <c r="AEB36" s="72"/>
      <c r="AEI36" s="74"/>
      <c r="AEJ36" s="72"/>
      <c r="AEQ36" s="74"/>
      <c r="AER36" s="72"/>
      <c r="AEY36" s="74"/>
      <c r="AEZ36" s="72"/>
      <c r="AFG36" s="74"/>
      <c r="AFH36" s="72"/>
      <c r="AFO36" s="74"/>
      <c r="AFP36" s="72"/>
      <c r="AFW36" s="74"/>
      <c r="AFX36" s="72"/>
      <c r="AGE36" s="74"/>
      <c r="AGF36" s="72"/>
      <c r="AGM36" s="74"/>
      <c r="AGN36" s="72"/>
      <c r="AGU36" s="74"/>
      <c r="AGV36" s="72"/>
      <c r="AHC36" s="74"/>
      <c r="AHD36" s="72"/>
      <c r="AHK36" s="74"/>
      <c r="AHL36" s="72"/>
      <c r="AHS36" s="74"/>
      <c r="AHT36" s="72"/>
      <c r="AIA36" s="74"/>
      <c r="AIB36" s="72"/>
      <c r="AII36" s="74"/>
      <c r="AIJ36" s="72"/>
      <c r="AIQ36" s="74"/>
      <c r="AIR36" s="72"/>
      <c r="AIY36" s="74"/>
      <c r="AIZ36" s="72"/>
      <c r="AJG36" s="74"/>
      <c r="AJH36" s="72"/>
      <c r="AJO36" s="74"/>
      <c r="AJP36" s="72"/>
      <c r="AJW36" s="74"/>
      <c r="AJX36" s="72"/>
      <c r="AKE36" s="74"/>
      <c r="AKF36" s="72"/>
      <c r="AKM36" s="74"/>
      <c r="AKN36" s="72"/>
      <c r="AKU36" s="74"/>
      <c r="AKV36" s="72"/>
      <c r="ALC36" s="74"/>
      <c r="ALD36" s="72"/>
      <c r="ALK36" s="74"/>
      <c r="ALL36" s="72"/>
      <c r="ALS36" s="74"/>
      <c r="ALT36" s="72"/>
      <c r="AMA36" s="74"/>
      <c r="AMB36" s="72"/>
      <c r="AMI36" s="74"/>
      <c r="AMJ36" s="72"/>
      <c r="AMQ36" s="74"/>
      <c r="AMR36" s="72"/>
      <c r="AMY36" s="74"/>
      <c r="AMZ36" s="72"/>
      <c r="ANG36" s="74"/>
      <c r="ANH36" s="72"/>
      <c r="ANO36" s="74"/>
      <c r="ANP36" s="72"/>
      <c r="ANW36" s="74"/>
      <c r="ANX36" s="72"/>
      <c r="AOE36" s="74"/>
      <c r="AOF36" s="72"/>
      <c r="AOM36" s="74"/>
      <c r="AON36" s="72"/>
      <c r="AOU36" s="74"/>
      <c r="AOV36" s="72"/>
      <c r="APC36" s="74"/>
      <c r="APD36" s="72"/>
      <c r="APK36" s="74"/>
      <c r="APL36" s="72"/>
      <c r="APS36" s="74"/>
      <c r="APT36" s="72"/>
      <c r="AQA36" s="74"/>
      <c r="AQB36" s="72"/>
      <c r="AQI36" s="74"/>
      <c r="AQJ36" s="72"/>
      <c r="AQQ36" s="74"/>
      <c r="AQR36" s="72"/>
      <c r="AQY36" s="74"/>
      <c r="AQZ36" s="72"/>
      <c r="ARG36" s="74"/>
      <c r="ARH36" s="72"/>
      <c r="ARO36" s="74"/>
      <c r="ARP36" s="72"/>
      <c r="ARW36" s="74"/>
      <c r="ARX36" s="72"/>
      <c r="ASE36" s="74"/>
      <c r="ASF36" s="72"/>
      <c r="ASM36" s="74"/>
      <c r="ASN36" s="72"/>
      <c r="ASU36" s="74"/>
      <c r="ASV36" s="72"/>
      <c r="ATC36" s="74"/>
      <c r="ATD36" s="72"/>
      <c r="ATK36" s="74"/>
      <c r="ATL36" s="72"/>
      <c r="ATS36" s="74"/>
      <c r="ATT36" s="72"/>
      <c r="AUA36" s="74"/>
      <c r="AUB36" s="72"/>
      <c r="AUI36" s="74"/>
      <c r="AUJ36" s="72"/>
      <c r="AUQ36" s="74"/>
      <c r="AUR36" s="72"/>
      <c r="AUY36" s="74"/>
      <c r="AUZ36" s="72"/>
      <c r="AVG36" s="74"/>
      <c r="AVH36" s="72"/>
      <c r="AVO36" s="74"/>
      <c r="AVP36" s="72"/>
      <c r="AVW36" s="74"/>
      <c r="AVX36" s="72"/>
      <c r="AWE36" s="74"/>
      <c r="AWF36" s="72"/>
      <c r="AWM36" s="74"/>
      <c r="AWN36" s="72"/>
      <c r="AWU36" s="74"/>
      <c r="AWV36" s="72"/>
      <c r="AXC36" s="74"/>
      <c r="AXD36" s="72"/>
      <c r="AXK36" s="74"/>
      <c r="AXL36" s="72"/>
      <c r="AXS36" s="74"/>
      <c r="AXT36" s="72"/>
      <c r="AYA36" s="74"/>
      <c r="AYB36" s="72"/>
      <c r="AYI36" s="74"/>
      <c r="AYJ36" s="72"/>
      <c r="AYQ36" s="74"/>
      <c r="AYR36" s="72"/>
      <c r="AYY36" s="74"/>
      <c r="AYZ36" s="72"/>
      <c r="AZG36" s="74"/>
      <c r="AZH36" s="72"/>
      <c r="AZO36" s="74"/>
      <c r="AZP36" s="72"/>
      <c r="AZW36" s="74"/>
      <c r="AZX36" s="72"/>
      <c r="BAE36" s="74"/>
      <c r="BAF36" s="72"/>
      <c r="BAM36" s="74"/>
      <c r="BAN36" s="72"/>
      <c r="BAU36" s="74"/>
      <c r="BAV36" s="72"/>
      <c r="BBC36" s="74"/>
      <c r="BBD36" s="72"/>
      <c r="BBK36" s="74"/>
      <c r="BBL36" s="72"/>
      <c r="BBS36" s="74"/>
      <c r="BBT36" s="72"/>
      <c r="BCA36" s="74"/>
      <c r="BCB36" s="72"/>
      <c r="BCI36" s="74"/>
      <c r="BCJ36" s="72"/>
      <c r="BCQ36" s="74"/>
      <c r="BCR36" s="72"/>
      <c r="BCY36" s="74"/>
      <c r="BCZ36" s="72"/>
      <c r="BDG36" s="74"/>
      <c r="BDH36" s="72"/>
      <c r="BDO36" s="74"/>
      <c r="BDP36" s="72"/>
      <c r="BDW36" s="74"/>
      <c r="BDX36" s="72"/>
      <c r="BEE36" s="74"/>
      <c r="BEF36" s="72"/>
      <c r="BEM36" s="74"/>
      <c r="BEN36" s="72"/>
      <c r="BEU36" s="74"/>
      <c r="BEV36" s="72"/>
      <c r="BFC36" s="74"/>
      <c r="BFD36" s="72"/>
      <c r="BFK36" s="74"/>
      <c r="BFL36" s="72"/>
      <c r="BFS36" s="74"/>
      <c r="BFT36" s="72"/>
      <c r="BGA36" s="74"/>
      <c r="BGB36" s="72"/>
      <c r="BGI36" s="74"/>
      <c r="BGJ36" s="72"/>
      <c r="BGQ36" s="74"/>
      <c r="BGR36" s="72"/>
      <c r="BGY36" s="74"/>
      <c r="BGZ36" s="72"/>
      <c r="BHG36" s="74"/>
      <c r="BHH36" s="72"/>
      <c r="BHO36" s="74"/>
      <c r="BHP36" s="72"/>
      <c r="BHW36" s="74"/>
      <c r="BHX36" s="72"/>
      <c r="BIE36" s="74"/>
      <c r="BIF36" s="72"/>
      <c r="BIM36" s="74"/>
      <c r="BIN36" s="72"/>
      <c r="BIU36" s="74"/>
      <c r="BIV36" s="72"/>
      <c r="BJC36" s="74"/>
      <c r="BJD36" s="72"/>
      <c r="BJK36" s="74"/>
      <c r="BJL36" s="72"/>
      <c r="BJS36" s="74"/>
      <c r="BJT36" s="72"/>
      <c r="BKA36" s="74"/>
      <c r="BKB36" s="72"/>
      <c r="BKI36" s="74"/>
      <c r="BKJ36" s="72"/>
      <c r="BKQ36" s="74"/>
      <c r="BKR36" s="72"/>
      <c r="BKY36" s="74"/>
      <c r="BKZ36" s="72"/>
      <c r="BLG36" s="74"/>
      <c r="BLH36" s="72"/>
      <c r="BLO36" s="74"/>
      <c r="BLP36" s="72"/>
      <c r="BLW36" s="74"/>
      <c r="BLX36" s="72"/>
      <c r="BME36" s="74"/>
      <c r="BMF36" s="72"/>
      <c r="BMM36" s="74"/>
      <c r="BMN36" s="72"/>
      <c r="BMU36" s="74"/>
      <c r="BMV36" s="72"/>
      <c r="BNC36" s="74"/>
      <c r="BND36" s="72"/>
      <c r="BNK36" s="74"/>
      <c r="BNL36" s="72"/>
      <c r="BNS36" s="74"/>
      <c r="BNT36" s="72"/>
      <c r="BOA36" s="74"/>
      <c r="BOB36" s="72"/>
      <c r="BOI36" s="74"/>
      <c r="BOJ36" s="72"/>
      <c r="BOQ36" s="74"/>
      <c r="BOR36" s="72"/>
      <c r="BOY36" s="74"/>
      <c r="BOZ36" s="72"/>
      <c r="BPG36" s="74"/>
      <c r="BPH36" s="72"/>
      <c r="BPO36" s="74"/>
      <c r="BPP36" s="72"/>
      <c r="BPW36" s="74"/>
      <c r="BPX36" s="72"/>
      <c r="BQE36" s="74"/>
      <c r="BQF36" s="72"/>
      <c r="BQM36" s="74"/>
      <c r="BQN36" s="72"/>
      <c r="BQU36" s="74"/>
      <c r="BQV36" s="72"/>
      <c r="BRC36" s="74"/>
      <c r="BRD36" s="72"/>
      <c r="BRK36" s="74"/>
      <c r="BRL36" s="72"/>
      <c r="BRS36" s="74"/>
      <c r="BRT36" s="72"/>
      <c r="BSA36" s="74"/>
      <c r="BSB36" s="72"/>
      <c r="BSI36" s="74"/>
      <c r="BSJ36" s="72"/>
      <c r="BSQ36" s="74"/>
      <c r="BSR36" s="72"/>
      <c r="BSY36" s="74"/>
      <c r="BSZ36" s="72"/>
      <c r="BTG36" s="74"/>
      <c r="BTH36" s="72"/>
      <c r="BTO36" s="74"/>
      <c r="BTP36" s="72"/>
      <c r="BTW36" s="74"/>
      <c r="BTX36" s="72"/>
      <c r="BUE36" s="74"/>
      <c r="BUF36" s="72"/>
      <c r="BUM36" s="74"/>
      <c r="BUN36" s="72"/>
      <c r="BUU36" s="74"/>
      <c r="BUV36" s="72"/>
      <c r="BVC36" s="74"/>
      <c r="BVD36" s="72"/>
      <c r="BVK36" s="74"/>
      <c r="BVL36" s="72"/>
      <c r="BVS36" s="74"/>
      <c r="BVT36" s="72"/>
      <c r="BWA36" s="74"/>
      <c r="BWB36" s="72"/>
      <c r="BWI36" s="74"/>
      <c r="BWJ36" s="72"/>
      <c r="BWQ36" s="74"/>
      <c r="BWR36" s="72"/>
      <c r="BWY36" s="74"/>
      <c r="BWZ36" s="72"/>
      <c r="BXG36" s="74"/>
      <c r="BXH36" s="72"/>
      <c r="BXO36" s="74"/>
      <c r="BXP36" s="72"/>
      <c r="BXW36" s="74"/>
      <c r="BXX36" s="72"/>
      <c r="BYE36" s="74"/>
      <c r="BYF36" s="72"/>
      <c r="BYM36" s="74"/>
      <c r="BYN36" s="72"/>
      <c r="BYU36" s="74"/>
      <c r="BYV36" s="72"/>
      <c r="BZC36" s="74"/>
      <c r="BZD36" s="72"/>
      <c r="BZK36" s="74"/>
      <c r="BZL36" s="72"/>
      <c r="BZS36" s="74"/>
      <c r="BZT36" s="72"/>
      <c r="CAA36" s="74"/>
      <c r="CAB36" s="72"/>
      <c r="CAI36" s="74"/>
      <c r="CAJ36" s="72"/>
      <c r="CAQ36" s="74"/>
      <c r="CAR36" s="72"/>
      <c r="CAY36" s="74"/>
      <c r="CAZ36" s="72"/>
      <c r="CBG36" s="74"/>
      <c r="CBH36" s="72"/>
      <c r="CBO36" s="74"/>
      <c r="CBP36" s="72"/>
      <c r="CBW36" s="74"/>
      <c r="CBX36" s="72"/>
      <c r="CCE36" s="74"/>
      <c r="CCF36" s="72"/>
      <c r="CCM36" s="74"/>
      <c r="CCN36" s="72"/>
      <c r="CCU36" s="74"/>
      <c r="CCV36" s="72"/>
      <c r="CDC36" s="74"/>
      <c r="CDD36" s="72"/>
      <c r="CDK36" s="74"/>
      <c r="CDL36" s="72"/>
      <c r="CDS36" s="74"/>
      <c r="CDT36" s="72"/>
      <c r="CEA36" s="74"/>
      <c r="CEB36" s="72"/>
      <c r="CEI36" s="74"/>
      <c r="CEJ36" s="72"/>
      <c r="CEQ36" s="74"/>
      <c r="CER36" s="72"/>
      <c r="CEY36" s="74"/>
      <c r="CEZ36" s="72"/>
      <c r="CFG36" s="74"/>
      <c r="CFH36" s="72"/>
      <c r="CFO36" s="74"/>
      <c r="CFP36" s="72"/>
      <c r="CFW36" s="74"/>
      <c r="CFX36" s="72"/>
      <c r="CGE36" s="74"/>
      <c r="CGF36" s="72"/>
      <c r="CGM36" s="74"/>
      <c r="CGN36" s="72"/>
      <c r="CGU36" s="74"/>
      <c r="CGV36" s="72"/>
      <c r="CHC36" s="74"/>
      <c r="CHD36" s="72"/>
      <c r="CHK36" s="74"/>
      <c r="CHL36" s="72"/>
      <c r="CHS36" s="74"/>
      <c r="CHT36" s="72"/>
      <c r="CIA36" s="74"/>
      <c r="CIB36" s="72"/>
      <c r="CII36" s="74"/>
      <c r="CIJ36" s="72"/>
      <c r="CIQ36" s="74"/>
      <c r="CIR36" s="72"/>
      <c r="CIY36" s="74"/>
      <c r="CIZ36" s="72"/>
      <c r="CJG36" s="74"/>
      <c r="CJH36" s="72"/>
      <c r="CJO36" s="74"/>
      <c r="CJP36" s="72"/>
      <c r="CJW36" s="74"/>
      <c r="CJX36" s="72"/>
      <c r="CKE36" s="74"/>
      <c r="CKF36" s="72"/>
      <c r="CKM36" s="74"/>
      <c r="CKN36" s="72"/>
      <c r="CKU36" s="74"/>
      <c r="CKV36" s="72"/>
      <c r="CLC36" s="74"/>
      <c r="CLD36" s="72"/>
      <c r="CLK36" s="74"/>
      <c r="CLL36" s="72"/>
      <c r="CLS36" s="74"/>
      <c r="CLT36" s="72"/>
      <c r="CMA36" s="74"/>
      <c r="CMB36" s="72"/>
      <c r="CMI36" s="74"/>
      <c r="CMJ36" s="72"/>
      <c r="CMQ36" s="74"/>
      <c r="CMR36" s="72"/>
      <c r="CMY36" s="74"/>
      <c r="CMZ36" s="72"/>
      <c r="CNG36" s="74"/>
      <c r="CNH36" s="72"/>
      <c r="CNO36" s="74"/>
      <c r="CNP36" s="72"/>
      <c r="CNW36" s="74"/>
      <c r="CNX36" s="72"/>
      <c r="COE36" s="74"/>
      <c r="COF36" s="72"/>
      <c r="COM36" s="74"/>
      <c r="CON36" s="72"/>
      <c r="COU36" s="74"/>
      <c r="COV36" s="72"/>
      <c r="CPC36" s="74"/>
      <c r="CPD36" s="72"/>
      <c r="CPK36" s="74"/>
      <c r="CPL36" s="72"/>
      <c r="CPS36" s="74"/>
      <c r="CPT36" s="72"/>
      <c r="CQA36" s="74"/>
      <c r="CQB36" s="72"/>
      <c r="CQI36" s="74"/>
      <c r="CQJ36" s="72"/>
      <c r="CQQ36" s="74"/>
      <c r="CQR36" s="72"/>
      <c r="CQY36" s="74"/>
      <c r="CQZ36" s="72"/>
      <c r="CRG36" s="74"/>
      <c r="CRH36" s="72"/>
      <c r="CRO36" s="74"/>
      <c r="CRP36" s="72"/>
      <c r="CRW36" s="74"/>
      <c r="CRX36" s="72"/>
      <c r="CSE36" s="74"/>
      <c r="CSF36" s="72"/>
      <c r="CSM36" s="74"/>
      <c r="CSN36" s="72"/>
      <c r="CSU36" s="74"/>
      <c r="CSV36" s="72"/>
      <c r="CTC36" s="74"/>
      <c r="CTD36" s="72"/>
      <c r="CTK36" s="74"/>
      <c r="CTL36" s="72"/>
      <c r="CTS36" s="74"/>
      <c r="CTT36" s="72"/>
      <c r="CUA36" s="74"/>
      <c r="CUB36" s="72"/>
      <c r="CUI36" s="74"/>
      <c r="CUJ36" s="72"/>
      <c r="CUQ36" s="74"/>
      <c r="CUR36" s="72"/>
      <c r="CUY36" s="74"/>
      <c r="CUZ36" s="72"/>
      <c r="CVG36" s="74"/>
      <c r="CVH36" s="72"/>
      <c r="CVO36" s="74"/>
      <c r="CVP36" s="72"/>
      <c r="CVW36" s="74"/>
      <c r="CVX36" s="72"/>
      <c r="CWE36" s="74"/>
      <c r="CWF36" s="72"/>
      <c r="CWM36" s="74"/>
      <c r="CWN36" s="72"/>
      <c r="CWU36" s="74"/>
      <c r="CWV36" s="72"/>
      <c r="CXC36" s="74"/>
      <c r="CXD36" s="72"/>
      <c r="CXK36" s="74"/>
      <c r="CXL36" s="72"/>
      <c r="CXS36" s="74"/>
      <c r="CXT36" s="72"/>
      <c r="CYA36" s="74"/>
      <c r="CYB36" s="72"/>
      <c r="CYI36" s="74"/>
      <c r="CYJ36" s="72"/>
      <c r="CYQ36" s="74"/>
      <c r="CYR36" s="72"/>
      <c r="CYY36" s="74"/>
      <c r="CYZ36" s="72"/>
      <c r="CZG36" s="74"/>
      <c r="CZH36" s="72"/>
      <c r="CZO36" s="74"/>
      <c r="CZP36" s="72"/>
      <c r="CZW36" s="74"/>
      <c r="CZX36" s="72"/>
      <c r="DAE36" s="74"/>
      <c r="DAF36" s="72"/>
      <c r="DAM36" s="74"/>
      <c r="DAN36" s="72"/>
      <c r="DAU36" s="74"/>
      <c r="DAV36" s="72"/>
      <c r="DBC36" s="74"/>
      <c r="DBD36" s="72"/>
      <c r="DBK36" s="74"/>
      <c r="DBL36" s="72"/>
      <c r="DBS36" s="74"/>
      <c r="DBT36" s="72"/>
      <c r="DCA36" s="74"/>
      <c r="DCB36" s="72"/>
      <c r="DCI36" s="74"/>
      <c r="DCJ36" s="72"/>
      <c r="DCQ36" s="74"/>
      <c r="DCR36" s="72"/>
      <c r="DCY36" s="74"/>
      <c r="DCZ36" s="72"/>
      <c r="DDG36" s="74"/>
      <c r="DDH36" s="72"/>
      <c r="DDO36" s="74"/>
      <c r="DDP36" s="72"/>
      <c r="DDW36" s="74"/>
      <c r="DDX36" s="72"/>
      <c r="DEE36" s="74"/>
      <c r="DEF36" s="72"/>
      <c r="DEM36" s="74"/>
      <c r="DEN36" s="72"/>
      <c r="DEU36" s="74"/>
      <c r="DEV36" s="72"/>
      <c r="DFC36" s="74"/>
      <c r="DFD36" s="72"/>
      <c r="DFK36" s="74"/>
      <c r="DFL36" s="72"/>
      <c r="DFS36" s="74"/>
      <c r="DFT36" s="72"/>
      <c r="DGA36" s="74"/>
      <c r="DGB36" s="72"/>
      <c r="DGI36" s="74"/>
      <c r="DGJ36" s="72"/>
      <c r="DGQ36" s="74"/>
      <c r="DGR36" s="72"/>
      <c r="DGY36" s="74"/>
      <c r="DGZ36" s="72"/>
      <c r="DHG36" s="74"/>
      <c r="DHH36" s="72"/>
      <c r="DHO36" s="74"/>
      <c r="DHP36" s="72"/>
      <c r="DHW36" s="74"/>
      <c r="DHX36" s="72"/>
      <c r="DIE36" s="74"/>
      <c r="DIF36" s="72"/>
      <c r="DIM36" s="74"/>
      <c r="DIN36" s="72"/>
      <c r="DIU36" s="74"/>
      <c r="DIV36" s="72"/>
      <c r="DJC36" s="74"/>
      <c r="DJD36" s="72"/>
      <c r="DJK36" s="74"/>
      <c r="DJL36" s="72"/>
      <c r="DJS36" s="74"/>
      <c r="DJT36" s="72"/>
      <c r="DKA36" s="74"/>
      <c r="DKB36" s="72"/>
      <c r="DKI36" s="74"/>
      <c r="DKJ36" s="72"/>
      <c r="DKQ36" s="74"/>
      <c r="DKR36" s="72"/>
      <c r="DKY36" s="74"/>
      <c r="DKZ36" s="72"/>
      <c r="DLG36" s="74"/>
      <c r="DLH36" s="72"/>
      <c r="DLO36" s="74"/>
      <c r="DLP36" s="72"/>
      <c r="DLW36" s="74"/>
      <c r="DLX36" s="72"/>
      <c r="DME36" s="74"/>
      <c r="DMF36" s="72"/>
      <c r="DMM36" s="74"/>
      <c r="DMN36" s="72"/>
      <c r="DMU36" s="74"/>
      <c r="DMV36" s="72"/>
      <c r="DNC36" s="74"/>
      <c r="DND36" s="72"/>
      <c r="DNK36" s="74"/>
      <c r="DNL36" s="72"/>
      <c r="DNS36" s="74"/>
      <c r="DNT36" s="72"/>
      <c r="DOA36" s="74"/>
      <c r="DOB36" s="72"/>
      <c r="DOI36" s="74"/>
      <c r="DOJ36" s="72"/>
      <c r="DOQ36" s="74"/>
      <c r="DOR36" s="72"/>
      <c r="DOY36" s="74"/>
      <c r="DOZ36" s="72"/>
      <c r="DPG36" s="74"/>
      <c r="DPH36" s="72"/>
      <c r="DPO36" s="74"/>
      <c r="DPP36" s="72"/>
      <c r="DPW36" s="74"/>
      <c r="DPX36" s="72"/>
      <c r="DQE36" s="74"/>
      <c r="DQF36" s="72"/>
      <c r="DQM36" s="74"/>
      <c r="DQN36" s="72"/>
      <c r="DQU36" s="74"/>
      <c r="DQV36" s="72"/>
      <c r="DRC36" s="74"/>
      <c r="DRD36" s="72"/>
      <c r="DRK36" s="74"/>
      <c r="DRL36" s="72"/>
      <c r="DRS36" s="74"/>
      <c r="DRT36" s="72"/>
      <c r="DSA36" s="74"/>
      <c r="DSB36" s="72"/>
      <c r="DSI36" s="74"/>
      <c r="DSJ36" s="72"/>
      <c r="DSQ36" s="74"/>
      <c r="DSR36" s="72"/>
      <c r="DSY36" s="74"/>
      <c r="DSZ36" s="72"/>
      <c r="DTG36" s="74"/>
      <c r="DTH36" s="72"/>
      <c r="DTO36" s="74"/>
      <c r="DTP36" s="72"/>
      <c r="DTW36" s="74"/>
      <c r="DTX36" s="72"/>
      <c r="DUE36" s="74"/>
      <c r="DUF36" s="72"/>
      <c r="DUM36" s="74"/>
      <c r="DUN36" s="72"/>
      <c r="DUU36" s="74"/>
      <c r="DUV36" s="72"/>
      <c r="DVC36" s="74"/>
      <c r="DVD36" s="72"/>
      <c r="DVK36" s="74"/>
      <c r="DVL36" s="72"/>
      <c r="DVS36" s="74"/>
      <c r="DVT36" s="72"/>
      <c r="DWA36" s="74"/>
      <c r="DWB36" s="72"/>
      <c r="DWI36" s="74"/>
      <c r="DWJ36" s="72"/>
      <c r="DWQ36" s="74"/>
      <c r="DWR36" s="72"/>
      <c r="DWY36" s="74"/>
      <c r="DWZ36" s="72"/>
      <c r="DXG36" s="74"/>
      <c r="DXH36" s="72"/>
      <c r="DXO36" s="74"/>
      <c r="DXP36" s="72"/>
      <c r="DXW36" s="74"/>
      <c r="DXX36" s="72"/>
      <c r="DYE36" s="74"/>
      <c r="DYF36" s="72"/>
      <c r="DYM36" s="74"/>
      <c r="DYN36" s="72"/>
      <c r="DYU36" s="74"/>
      <c r="DYV36" s="72"/>
      <c r="DZC36" s="74"/>
      <c r="DZD36" s="72"/>
      <c r="DZK36" s="74"/>
      <c r="DZL36" s="72"/>
      <c r="DZS36" s="74"/>
      <c r="DZT36" s="72"/>
      <c r="EAA36" s="74"/>
      <c r="EAB36" s="72"/>
      <c r="EAI36" s="74"/>
      <c r="EAJ36" s="72"/>
      <c r="EAQ36" s="74"/>
      <c r="EAR36" s="72"/>
      <c r="EAY36" s="74"/>
      <c r="EAZ36" s="72"/>
      <c r="EBG36" s="74"/>
      <c r="EBH36" s="72"/>
      <c r="EBO36" s="74"/>
      <c r="EBP36" s="72"/>
      <c r="EBW36" s="74"/>
      <c r="EBX36" s="72"/>
      <c r="ECE36" s="74"/>
      <c r="ECF36" s="72"/>
      <c r="ECM36" s="74"/>
      <c r="ECN36" s="72"/>
      <c r="ECU36" s="74"/>
      <c r="ECV36" s="72"/>
      <c r="EDC36" s="74"/>
      <c r="EDD36" s="72"/>
      <c r="EDK36" s="74"/>
      <c r="EDL36" s="72"/>
      <c r="EDS36" s="74"/>
      <c r="EDT36" s="72"/>
      <c r="EEA36" s="74"/>
      <c r="EEB36" s="72"/>
      <c r="EEI36" s="74"/>
      <c r="EEJ36" s="72"/>
      <c r="EEQ36" s="74"/>
      <c r="EER36" s="72"/>
      <c r="EEY36" s="74"/>
      <c r="EEZ36" s="72"/>
      <c r="EFG36" s="74"/>
      <c r="EFH36" s="72"/>
      <c r="EFO36" s="74"/>
      <c r="EFP36" s="72"/>
      <c r="EFW36" s="74"/>
      <c r="EFX36" s="72"/>
      <c r="EGE36" s="74"/>
      <c r="EGF36" s="72"/>
      <c r="EGM36" s="74"/>
      <c r="EGN36" s="72"/>
      <c r="EGU36" s="74"/>
      <c r="EGV36" s="72"/>
      <c r="EHC36" s="74"/>
      <c r="EHD36" s="72"/>
      <c r="EHK36" s="74"/>
      <c r="EHL36" s="72"/>
      <c r="EHS36" s="74"/>
      <c r="EHT36" s="72"/>
      <c r="EIA36" s="74"/>
      <c r="EIB36" s="72"/>
      <c r="EII36" s="74"/>
      <c r="EIJ36" s="72"/>
      <c r="EIQ36" s="74"/>
      <c r="EIR36" s="72"/>
      <c r="EIY36" s="74"/>
      <c r="EIZ36" s="72"/>
      <c r="EJG36" s="74"/>
      <c r="EJH36" s="72"/>
      <c r="EJO36" s="74"/>
      <c r="EJP36" s="72"/>
      <c r="EJW36" s="74"/>
      <c r="EJX36" s="72"/>
      <c r="EKE36" s="74"/>
      <c r="EKF36" s="72"/>
      <c r="EKM36" s="74"/>
      <c r="EKN36" s="72"/>
      <c r="EKU36" s="74"/>
      <c r="EKV36" s="72"/>
      <c r="ELC36" s="74"/>
      <c r="ELD36" s="72"/>
      <c r="ELK36" s="74"/>
      <c r="ELL36" s="72"/>
      <c r="ELS36" s="74"/>
      <c r="ELT36" s="72"/>
      <c r="EMA36" s="74"/>
      <c r="EMB36" s="72"/>
      <c r="EMI36" s="74"/>
      <c r="EMJ36" s="72"/>
      <c r="EMQ36" s="74"/>
      <c r="EMR36" s="72"/>
      <c r="EMY36" s="74"/>
      <c r="EMZ36" s="72"/>
      <c r="ENG36" s="74"/>
      <c r="ENH36" s="72"/>
      <c r="ENO36" s="74"/>
      <c r="ENP36" s="72"/>
      <c r="ENW36" s="74"/>
      <c r="ENX36" s="72"/>
      <c r="EOE36" s="74"/>
      <c r="EOF36" s="72"/>
      <c r="EOM36" s="74"/>
      <c r="EON36" s="72"/>
      <c r="EOU36" s="74"/>
      <c r="EOV36" s="72"/>
      <c r="EPC36" s="74"/>
      <c r="EPD36" s="72"/>
      <c r="EPK36" s="74"/>
      <c r="EPL36" s="72"/>
      <c r="EPS36" s="74"/>
      <c r="EPT36" s="72"/>
      <c r="EQA36" s="74"/>
      <c r="EQB36" s="72"/>
      <c r="EQI36" s="74"/>
      <c r="EQJ36" s="72"/>
      <c r="EQQ36" s="74"/>
      <c r="EQR36" s="72"/>
      <c r="EQY36" s="74"/>
      <c r="EQZ36" s="72"/>
      <c r="ERG36" s="74"/>
      <c r="ERH36" s="72"/>
      <c r="ERO36" s="74"/>
      <c r="ERP36" s="72"/>
      <c r="ERW36" s="74"/>
      <c r="ERX36" s="72"/>
      <c r="ESE36" s="74"/>
      <c r="ESF36" s="72"/>
      <c r="ESM36" s="74"/>
      <c r="ESN36" s="72"/>
      <c r="ESU36" s="74"/>
      <c r="ESV36" s="72"/>
      <c r="ETC36" s="74"/>
      <c r="ETD36" s="72"/>
      <c r="ETK36" s="74"/>
      <c r="ETL36" s="72"/>
      <c r="ETS36" s="74"/>
      <c r="ETT36" s="72"/>
      <c r="EUA36" s="74"/>
      <c r="EUB36" s="72"/>
      <c r="EUI36" s="74"/>
      <c r="EUJ36" s="72"/>
      <c r="EUQ36" s="74"/>
      <c r="EUR36" s="72"/>
      <c r="EUY36" s="74"/>
      <c r="EUZ36" s="72"/>
      <c r="EVG36" s="74"/>
      <c r="EVH36" s="72"/>
      <c r="EVO36" s="74"/>
      <c r="EVP36" s="72"/>
      <c r="EVW36" s="74"/>
      <c r="EVX36" s="72"/>
      <c r="EWE36" s="74"/>
      <c r="EWF36" s="72"/>
      <c r="EWM36" s="74"/>
      <c r="EWN36" s="72"/>
      <c r="EWU36" s="74"/>
      <c r="EWV36" s="72"/>
      <c r="EXC36" s="74"/>
      <c r="EXD36" s="72"/>
      <c r="EXK36" s="74"/>
      <c r="EXL36" s="72"/>
      <c r="EXS36" s="74"/>
      <c r="EXT36" s="72"/>
      <c r="EYA36" s="74"/>
      <c r="EYB36" s="72"/>
      <c r="EYI36" s="74"/>
      <c r="EYJ36" s="72"/>
      <c r="EYQ36" s="74"/>
      <c r="EYR36" s="72"/>
      <c r="EYY36" s="74"/>
      <c r="EYZ36" s="72"/>
      <c r="EZG36" s="74"/>
      <c r="EZH36" s="72"/>
      <c r="EZO36" s="74"/>
      <c r="EZP36" s="72"/>
      <c r="EZW36" s="74"/>
      <c r="EZX36" s="72"/>
      <c r="FAE36" s="74"/>
      <c r="FAF36" s="72"/>
      <c r="FAM36" s="74"/>
      <c r="FAN36" s="72"/>
      <c r="FAU36" s="74"/>
      <c r="FAV36" s="72"/>
      <c r="FBC36" s="74"/>
      <c r="FBD36" s="72"/>
      <c r="FBK36" s="74"/>
      <c r="FBL36" s="72"/>
      <c r="FBS36" s="74"/>
      <c r="FBT36" s="72"/>
      <c r="FCA36" s="74"/>
      <c r="FCB36" s="72"/>
      <c r="FCI36" s="74"/>
      <c r="FCJ36" s="72"/>
      <c r="FCQ36" s="74"/>
      <c r="FCR36" s="72"/>
      <c r="FCY36" s="74"/>
      <c r="FCZ36" s="72"/>
      <c r="FDG36" s="74"/>
      <c r="FDH36" s="72"/>
      <c r="FDO36" s="74"/>
      <c r="FDP36" s="72"/>
      <c r="FDW36" s="74"/>
      <c r="FDX36" s="72"/>
      <c r="FEE36" s="74"/>
      <c r="FEF36" s="72"/>
      <c r="FEM36" s="74"/>
      <c r="FEN36" s="72"/>
      <c r="FEU36" s="74"/>
      <c r="FEV36" s="72"/>
      <c r="FFC36" s="74"/>
      <c r="FFD36" s="72"/>
      <c r="FFK36" s="74"/>
      <c r="FFL36" s="72"/>
      <c r="FFS36" s="74"/>
      <c r="FFT36" s="72"/>
      <c r="FGA36" s="74"/>
      <c r="FGB36" s="72"/>
      <c r="FGI36" s="74"/>
      <c r="FGJ36" s="72"/>
      <c r="FGQ36" s="74"/>
      <c r="FGR36" s="72"/>
      <c r="FGY36" s="74"/>
      <c r="FGZ36" s="72"/>
      <c r="FHG36" s="74"/>
      <c r="FHH36" s="72"/>
      <c r="FHO36" s="74"/>
      <c r="FHP36" s="72"/>
      <c r="FHW36" s="74"/>
      <c r="FHX36" s="72"/>
      <c r="FIE36" s="74"/>
      <c r="FIF36" s="72"/>
      <c r="FIM36" s="74"/>
      <c r="FIN36" s="72"/>
      <c r="FIU36" s="74"/>
      <c r="FIV36" s="72"/>
      <c r="FJC36" s="74"/>
      <c r="FJD36" s="72"/>
      <c r="FJK36" s="74"/>
      <c r="FJL36" s="72"/>
      <c r="FJS36" s="74"/>
      <c r="FJT36" s="72"/>
      <c r="FKA36" s="74"/>
      <c r="FKB36" s="72"/>
      <c r="FKI36" s="74"/>
      <c r="FKJ36" s="72"/>
      <c r="FKQ36" s="74"/>
      <c r="FKR36" s="72"/>
      <c r="FKY36" s="74"/>
      <c r="FKZ36" s="72"/>
      <c r="FLG36" s="74"/>
      <c r="FLH36" s="72"/>
      <c r="FLO36" s="74"/>
      <c r="FLP36" s="72"/>
      <c r="FLW36" s="74"/>
      <c r="FLX36" s="72"/>
      <c r="FME36" s="74"/>
      <c r="FMF36" s="72"/>
      <c r="FMM36" s="74"/>
      <c r="FMN36" s="72"/>
      <c r="FMU36" s="74"/>
      <c r="FMV36" s="72"/>
      <c r="FNC36" s="74"/>
      <c r="FND36" s="72"/>
      <c r="FNK36" s="74"/>
      <c r="FNL36" s="72"/>
      <c r="FNS36" s="74"/>
      <c r="FNT36" s="72"/>
      <c r="FOA36" s="74"/>
      <c r="FOB36" s="72"/>
      <c r="FOI36" s="74"/>
      <c r="FOJ36" s="72"/>
      <c r="FOQ36" s="74"/>
      <c r="FOR36" s="72"/>
      <c r="FOY36" s="74"/>
      <c r="FOZ36" s="72"/>
      <c r="FPG36" s="74"/>
      <c r="FPH36" s="72"/>
      <c r="FPO36" s="74"/>
      <c r="FPP36" s="72"/>
      <c r="FPW36" s="74"/>
      <c r="FPX36" s="72"/>
      <c r="FQE36" s="74"/>
      <c r="FQF36" s="72"/>
      <c r="FQM36" s="74"/>
      <c r="FQN36" s="72"/>
      <c r="FQU36" s="74"/>
      <c r="FQV36" s="72"/>
      <c r="FRC36" s="74"/>
      <c r="FRD36" s="72"/>
      <c r="FRK36" s="74"/>
      <c r="FRL36" s="72"/>
      <c r="FRS36" s="74"/>
      <c r="FRT36" s="72"/>
      <c r="FSA36" s="74"/>
      <c r="FSB36" s="72"/>
      <c r="FSI36" s="74"/>
      <c r="FSJ36" s="72"/>
      <c r="FSQ36" s="74"/>
      <c r="FSR36" s="72"/>
      <c r="FSY36" s="74"/>
      <c r="FSZ36" s="72"/>
      <c r="FTG36" s="74"/>
      <c r="FTH36" s="72"/>
      <c r="FTO36" s="74"/>
      <c r="FTP36" s="72"/>
      <c r="FTW36" s="74"/>
      <c r="FTX36" s="72"/>
      <c r="FUE36" s="74"/>
      <c r="FUF36" s="72"/>
      <c r="FUM36" s="74"/>
      <c r="FUN36" s="72"/>
      <c r="FUU36" s="74"/>
      <c r="FUV36" s="72"/>
      <c r="FVC36" s="74"/>
      <c r="FVD36" s="72"/>
      <c r="FVK36" s="74"/>
      <c r="FVL36" s="72"/>
      <c r="FVS36" s="74"/>
      <c r="FVT36" s="72"/>
      <c r="FWA36" s="74"/>
      <c r="FWB36" s="72"/>
      <c r="FWI36" s="74"/>
      <c r="FWJ36" s="72"/>
      <c r="FWQ36" s="74"/>
      <c r="FWR36" s="72"/>
      <c r="FWY36" s="74"/>
      <c r="FWZ36" s="72"/>
      <c r="FXG36" s="74"/>
      <c r="FXH36" s="72"/>
      <c r="FXO36" s="74"/>
      <c r="FXP36" s="72"/>
      <c r="FXW36" s="74"/>
      <c r="FXX36" s="72"/>
      <c r="FYE36" s="74"/>
      <c r="FYF36" s="72"/>
      <c r="FYM36" s="74"/>
      <c r="FYN36" s="72"/>
      <c r="FYU36" s="74"/>
      <c r="FYV36" s="72"/>
      <c r="FZC36" s="74"/>
      <c r="FZD36" s="72"/>
      <c r="FZK36" s="74"/>
      <c r="FZL36" s="72"/>
      <c r="FZS36" s="74"/>
      <c r="FZT36" s="72"/>
      <c r="GAA36" s="74"/>
      <c r="GAB36" s="72"/>
      <c r="GAI36" s="74"/>
      <c r="GAJ36" s="72"/>
      <c r="GAQ36" s="74"/>
      <c r="GAR36" s="72"/>
      <c r="GAY36" s="74"/>
      <c r="GAZ36" s="72"/>
      <c r="GBG36" s="74"/>
      <c r="GBH36" s="72"/>
      <c r="GBO36" s="74"/>
      <c r="GBP36" s="72"/>
      <c r="GBW36" s="74"/>
      <c r="GBX36" s="72"/>
      <c r="GCE36" s="74"/>
      <c r="GCF36" s="72"/>
      <c r="GCM36" s="74"/>
      <c r="GCN36" s="72"/>
      <c r="GCU36" s="74"/>
      <c r="GCV36" s="72"/>
      <c r="GDC36" s="74"/>
      <c r="GDD36" s="72"/>
      <c r="GDK36" s="74"/>
      <c r="GDL36" s="72"/>
      <c r="GDS36" s="74"/>
      <c r="GDT36" s="72"/>
      <c r="GEA36" s="74"/>
      <c r="GEB36" s="72"/>
      <c r="GEI36" s="74"/>
      <c r="GEJ36" s="72"/>
      <c r="GEQ36" s="74"/>
      <c r="GER36" s="72"/>
      <c r="GEY36" s="74"/>
      <c r="GEZ36" s="72"/>
      <c r="GFG36" s="74"/>
      <c r="GFH36" s="72"/>
      <c r="GFO36" s="74"/>
      <c r="GFP36" s="72"/>
      <c r="GFW36" s="74"/>
      <c r="GFX36" s="72"/>
      <c r="GGE36" s="74"/>
      <c r="GGF36" s="72"/>
      <c r="GGM36" s="74"/>
      <c r="GGN36" s="72"/>
      <c r="GGU36" s="74"/>
      <c r="GGV36" s="72"/>
      <c r="GHC36" s="74"/>
      <c r="GHD36" s="72"/>
      <c r="GHK36" s="74"/>
      <c r="GHL36" s="72"/>
      <c r="GHS36" s="74"/>
      <c r="GHT36" s="72"/>
      <c r="GIA36" s="74"/>
      <c r="GIB36" s="72"/>
      <c r="GII36" s="74"/>
      <c r="GIJ36" s="72"/>
      <c r="GIQ36" s="74"/>
      <c r="GIR36" s="72"/>
      <c r="GIY36" s="74"/>
      <c r="GIZ36" s="72"/>
      <c r="GJG36" s="74"/>
      <c r="GJH36" s="72"/>
      <c r="GJO36" s="74"/>
      <c r="GJP36" s="72"/>
      <c r="GJW36" s="74"/>
      <c r="GJX36" s="72"/>
      <c r="GKE36" s="74"/>
      <c r="GKF36" s="72"/>
      <c r="GKM36" s="74"/>
      <c r="GKN36" s="72"/>
      <c r="GKU36" s="74"/>
      <c r="GKV36" s="72"/>
      <c r="GLC36" s="74"/>
      <c r="GLD36" s="72"/>
      <c r="GLK36" s="74"/>
      <c r="GLL36" s="72"/>
      <c r="GLS36" s="74"/>
      <c r="GLT36" s="72"/>
      <c r="GMA36" s="74"/>
      <c r="GMB36" s="72"/>
      <c r="GMI36" s="74"/>
      <c r="GMJ36" s="72"/>
      <c r="GMQ36" s="74"/>
      <c r="GMR36" s="72"/>
      <c r="GMY36" s="74"/>
      <c r="GMZ36" s="72"/>
      <c r="GNG36" s="74"/>
      <c r="GNH36" s="72"/>
      <c r="GNO36" s="74"/>
      <c r="GNP36" s="72"/>
      <c r="GNW36" s="74"/>
      <c r="GNX36" s="72"/>
      <c r="GOE36" s="74"/>
      <c r="GOF36" s="72"/>
      <c r="GOM36" s="74"/>
      <c r="GON36" s="72"/>
      <c r="GOU36" s="74"/>
      <c r="GOV36" s="72"/>
      <c r="GPC36" s="74"/>
      <c r="GPD36" s="72"/>
      <c r="GPK36" s="74"/>
      <c r="GPL36" s="72"/>
      <c r="GPS36" s="74"/>
      <c r="GPT36" s="72"/>
      <c r="GQA36" s="74"/>
      <c r="GQB36" s="72"/>
      <c r="GQI36" s="74"/>
      <c r="GQJ36" s="72"/>
      <c r="GQQ36" s="74"/>
      <c r="GQR36" s="72"/>
      <c r="GQY36" s="74"/>
      <c r="GQZ36" s="72"/>
      <c r="GRG36" s="74"/>
      <c r="GRH36" s="72"/>
      <c r="GRO36" s="74"/>
      <c r="GRP36" s="72"/>
      <c r="GRW36" s="74"/>
      <c r="GRX36" s="72"/>
      <c r="GSE36" s="74"/>
      <c r="GSF36" s="72"/>
      <c r="GSM36" s="74"/>
      <c r="GSN36" s="72"/>
      <c r="GSU36" s="74"/>
      <c r="GSV36" s="72"/>
      <c r="GTC36" s="74"/>
      <c r="GTD36" s="72"/>
      <c r="GTK36" s="74"/>
      <c r="GTL36" s="72"/>
      <c r="GTS36" s="74"/>
      <c r="GTT36" s="72"/>
      <c r="GUA36" s="74"/>
      <c r="GUB36" s="72"/>
      <c r="GUI36" s="74"/>
      <c r="GUJ36" s="72"/>
      <c r="GUQ36" s="74"/>
      <c r="GUR36" s="72"/>
      <c r="GUY36" s="74"/>
      <c r="GUZ36" s="72"/>
      <c r="GVG36" s="74"/>
      <c r="GVH36" s="72"/>
      <c r="GVO36" s="74"/>
      <c r="GVP36" s="72"/>
      <c r="GVW36" s="74"/>
      <c r="GVX36" s="72"/>
      <c r="GWE36" s="74"/>
      <c r="GWF36" s="72"/>
      <c r="GWM36" s="74"/>
      <c r="GWN36" s="72"/>
      <c r="GWU36" s="74"/>
      <c r="GWV36" s="72"/>
      <c r="GXC36" s="74"/>
      <c r="GXD36" s="72"/>
      <c r="GXK36" s="74"/>
      <c r="GXL36" s="72"/>
      <c r="GXS36" s="74"/>
      <c r="GXT36" s="72"/>
      <c r="GYA36" s="74"/>
      <c r="GYB36" s="72"/>
      <c r="GYI36" s="74"/>
      <c r="GYJ36" s="72"/>
      <c r="GYQ36" s="74"/>
      <c r="GYR36" s="72"/>
      <c r="GYY36" s="74"/>
      <c r="GYZ36" s="72"/>
      <c r="GZG36" s="74"/>
      <c r="GZH36" s="72"/>
      <c r="GZO36" s="74"/>
      <c r="GZP36" s="72"/>
      <c r="GZW36" s="74"/>
      <c r="GZX36" s="72"/>
      <c r="HAE36" s="74"/>
      <c r="HAF36" s="72"/>
      <c r="HAM36" s="74"/>
      <c r="HAN36" s="72"/>
      <c r="HAU36" s="74"/>
      <c r="HAV36" s="72"/>
      <c r="HBC36" s="74"/>
      <c r="HBD36" s="72"/>
      <c r="HBK36" s="74"/>
      <c r="HBL36" s="72"/>
      <c r="HBS36" s="74"/>
      <c r="HBT36" s="72"/>
      <c r="HCA36" s="74"/>
      <c r="HCB36" s="72"/>
      <c r="HCI36" s="74"/>
      <c r="HCJ36" s="72"/>
      <c r="HCQ36" s="74"/>
      <c r="HCR36" s="72"/>
      <c r="HCY36" s="74"/>
      <c r="HCZ36" s="72"/>
      <c r="HDG36" s="74"/>
      <c r="HDH36" s="72"/>
      <c r="HDO36" s="74"/>
      <c r="HDP36" s="72"/>
      <c r="HDW36" s="74"/>
      <c r="HDX36" s="72"/>
      <c r="HEE36" s="74"/>
      <c r="HEF36" s="72"/>
      <c r="HEM36" s="74"/>
      <c r="HEN36" s="72"/>
      <c r="HEU36" s="74"/>
      <c r="HEV36" s="72"/>
      <c r="HFC36" s="74"/>
      <c r="HFD36" s="72"/>
      <c r="HFK36" s="74"/>
      <c r="HFL36" s="72"/>
      <c r="HFS36" s="74"/>
      <c r="HFT36" s="72"/>
      <c r="HGA36" s="74"/>
      <c r="HGB36" s="72"/>
      <c r="HGI36" s="74"/>
      <c r="HGJ36" s="72"/>
      <c r="HGQ36" s="74"/>
      <c r="HGR36" s="72"/>
      <c r="HGY36" s="74"/>
      <c r="HGZ36" s="72"/>
      <c r="HHG36" s="74"/>
      <c r="HHH36" s="72"/>
      <c r="HHO36" s="74"/>
      <c r="HHP36" s="72"/>
      <c r="HHW36" s="74"/>
      <c r="HHX36" s="72"/>
      <c r="HIE36" s="74"/>
      <c r="HIF36" s="72"/>
      <c r="HIM36" s="74"/>
      <c r="HIN36" s="72"/>
      <c r="HIU36" s="74"/>
      <c r="HIV36" s="72"/>
      <c r="HJC36" s="74"/>
      <c r="HJD36" s="72"/>
      <c r="HJK36" s="74"/>
      <c r="HJL36" s="72"/>
      <c r="HJS36" s="74"/>
      <c r="HJT36" s="72"/>
      <c r="HKA36" s="74"/>
      <c r="HKB36" s="72"/>
      <c r="HKI36" s="74"/>
      <c r="HKJ36" s="72"/>
      <c r="HKQ36" s="74"/>
      <c r="HKR36" s="72"/>
      <c r="HKY36" s="74"/>
      <c r="HKZ36" s="72"/>
      <c r="HLG36" s="74"/>
      <c r="HLH36" s="72"/>
      <c r="HLO36" s="74"/>
      <c r="HLP36" s="72"/>
      <c r="HLW36" s="74"/>
      <c r="HLX36" s="72"/>
      <c r="HME36" s="74"/>
      <c r="HMF36" s="72"/>
      <c r="HMM36" s="74"/>
      <c r="HMN36" s="72"/>
      <c r="HMU36" s="74"/>
      <c r="HMV36" s="72"/>
      <c r="HNC36" s="74"/>
      <c r="HND36" s="72"/>
      <c r="HNK36" s="74"/>
      <c r="HNL36" s="72"/>
      <c r="HNS36" s="74"/>
      <c r="HNT36" s="72"/>
      <c r="HOA36" s="74"/>
      <c r="HOB36" s="72"/>
      <c r="HOI36" s="74"/>
      <c r="HOJ36" s="72"/>
      <c r="HOQ36" s="74"/>
      <c r="HOR36" s="72"/>
      <c r="HOY36" s="74"/>
      <c r="HOZ36" s="72"/>
      <c r="HPG36" s="74"/>
      <c r="HPH36" s="72"/>
      <c r="HPO36" s="74"/>
      <c r="HPP36" s="72"/>
      <c r="HPW36" s="74"/>
      <c r="HPX36" s="72"/>
      <c r="HQE36" s="74"/>
      <c r="HQF36" s="72"/>
      <c r="HQM36" s="74"/>
      <c r="HQN36" s="72"/>
      <c r="HQU36" s="74"/>
      <c r="HQV36" s="72"/>
      <c r="HRC36" s="74"/>
      <c r="HRD36" s="72"/>
      <c r="HRK36" s="74"/>
      <c r="HRL36" s="72"/>
      <c r="HRS36" s="74"/>
      <c r="HRT36" s="72"/>
      <c r="HSA36" s="74"/>
      <c r="HSB36" s="72"/>
      <c r="HSI36" s="74"/>
      <c r="HSJ36" s="72"/>
      <c r="HSQ36" s="74"/>
      <c r="HSR36" s="72"/>
      <c r="HSY36" s="74"/>
      <c r="HSZ36" s="72"/>
      <c r="HTG36" s="74"/>
      <c r="HTH36" s="72"/>
      <c r="HTO36" s="74"/>
      <c r="HTP36" s="72"/>
      <c r="HTW36" s="74"/>
      <c r="HTX36" s="72"/>
      <c r="HUE36" s="74"/>
      <c r="HUF36" s="72"/>
      <c r="HUM36" s="74"/>
      <c r="HUN36" s="72"/>
      <c r="HUU36" s="74"/>
      <c r="HUV36" s="72"/>
      <c r="HVC36" s="74"/>
      <c r="HVD36" s="72"/>
      <c r="HVK36" s="74"/>
      <c r="HVL36" s="72"/>
      <c r="HVS36" s="74"/>
      <c r="HVT36" s="72"/>
      <c r="HWA36" s="74"/>
      <c r="HWB36" s="72"/>
      <c r="HWI36" s="74"/>
      <c r="HWJ36" s="72"/>
      <c r="HWQ36" s="74"/>
      <c r="HWR36" s="72"/>
      <c r="HWY36" s="74"/>
      <c r="HWZ36" s="72"/>
      <c r="HXG36" s="74"/>
      <c r="HXH36" s="72"/>
      <c r="HXO36" s="74"/>
      <c r="HXP36" s="72"/>
      <c r="HXW36" s="74"/>
      <c r="HXX36" s="72"/>
      <c r="HYE36" s="74"/>
      <c r="HYF36" s="72"/>
      <c r="HYM36" s="74"/>
      <c r="HYN36" s="72"/>
      <c r="HYU36" s="74"/>
      <c r="HYV36" s="72"/>
      <c r="HZC36" s="74"/>
      <c r="HZD36" s="72"/>
      <c r="HZK36" s="74"/>
      <c r="HZL36" s="72"/>
      <c r="HZS36" s="74"/>
      <c r="HZT36" s="72"/>
      <c r="IAA36" s="74"/>
      <c r="IAB36" s="72"/>
      <c r="IAI36" s="74"/>
      <c r="IAJ36" s="72"/>
      <c r="IAQ36" s="74"/>
      <c r="IAR36" s="72"/>
      <c r="IAY36" s="74"/>
      <c r="IAZ36" s="72"/>
      <c r="IBG36" s="74"/>
      <c r="IBH36" s="72"/>
      <c r="IBO36" s="74"/>
      <c r="IBP36" s="72"/>
      <c r="IBW36" s="74"/>
      <c r="IBX36" s="72"/>
      <c r="ICE36" s="74"/>
      <c r="ICF36" s="72"/>
      <c r="ICM36" s="74"/>
      <c r="ICN36" s="72"/>
      <c r="ICU36" s="74"/>
      <c r="ICV36" s="72"/>
      <c r="IDC36" s="74"/>
      <c r="IDD36" s="72"/>
      <c r="IDK36" s="74"/>
      <c r="IDL36" s="72"/>
      <c r="IDS36" s="74"/>
      <c r="IDT36" s="72"/>
      <c r="IEA36" s="74"/>
      <c r="IEB36" s="72"/>
      <c r="IEI36" s="74"/>
      <c r="IEJ36" s="72"/>
      <c r="IEQ36" s="74"/>
      <c r="IER36" s="72"/>
      <c r="IEY36" s="74"/>
      <c r="IEZ36" s="72"/>
      <c r="IFG36" s="74"/>
      <c r="IFH36" s="72"/>
      <c r="IFO36" s="74"/>
      <c r="IFP36" s="72"/>
      <c r="IFW36" s="74"/>
      <c r="IFX36" s="72"/>
      <c r="IGE36" s="74"/>
      <c r="IGF36" s="72"/>
      <c r="IGM36" s="74"/>
      <c r="IGN36" s="72"/>
      <c r="IGU36" s="74"/>
      <c r="IGV36" s="72"/>
      <c r="IHC36" s="74"/>
      <c r="IHD36" s="72"/>
      <c r="IHK36" s="74"/>
      <c r="IHL36" s="72"/>
      <c r="IHS36" s="74"/>
      <c r="IHT36" s="72"/>
      <c r="IIA36" s="74"/>
      <c r="IIB36" s="72"/>
      <c r="III36" s="74"/>
      <c r="IIJ36" s="72"/>
      <c r="IIQ36" s="74"/>
      <c r="IIR36" s="72"/>
      <c r="IIY36" s="74"/>
      <c r="IIZ36" s="72"/>
      <c r="IJG36" s="74"/>
      <c r="IJH36" s="72"/>
      <c r="IJO36" s="74"/>
      <c r="IJP36" s="72"/>
      <c r="IJW36" s="74"/>
      <c r="IJX36" s="72"/>
      <c r="IKE36" s="74"/>
      <c r="IKF36" s="72"/>
      <c r="IKM36" s="74"/>
      <c r="IKN36" s="72"/>
      <c r="IKU36" s="74"/>
      <c r="IKV36" s="72"/>
      <c r="ILC36" s="74"/>
      <c r="ILD36" s="72"/>
      <c r="ILK36" s="74"/>
      <c r="ILL36" s="72"/>
      <c r="ILS36" s="74"/>
      <c r="ILT36" s="72"/>
      <c r="IMA36" s="74"/>
      <c r="IMB36" s="72"/>
      <c r="IMI36" s="74"/>
      <c r="IMJ36" s="72"/>
      <c r="IMQ36" s="74"/>
      <c r="IMR36" s="72"/>
      <c r="IMY36" s="74"/>
      <c r="IMZ36" s="72"/>
      <c r="ING36" s="74"/>
      <c r="INH36" s="72"/>
      <c r="INO36" s="74"/>
      <c r="INP36" s="72"/>
      <c r="INW36" s="74"/>
      <c r="INX36" s="72"/>
      <c r="IOE36" s="74"/>
      <c r="IOF36" s="72"/>
      <c r="IOM36" s="74"/>
      <c r="ION36" s="72"/>
      <c r="IOU36" s="74"/>
      <c r="IOV36" s="72"/>
      <c r="IPC36" s="74"/>
      <c r="IPD36" s="72"/>
      <c r="IPK36" s="74"/>
      <c r="IPL36" s="72"/>
      <c r="IPS36" s="74"/>
      <c r="IPT36" s="72"/>
      <c r="IQA36" s="74"/>
      <c r="IQB36" s="72"/>
      <c r="IQI36" s="74"/>
      <c r="IQJ36" s="72"/>
      <c r="IQQ36" s="74"/>
      <c r="IQR36" s="72"/>
      <c r="IQY36" s="74"/>
      <c r="IQZ36" s="72"/>
      <c r="IRG36" s="74"/>
      <c r="IRH36" s="72"/>
      <c r="IRO36" s="74"/>
      <c r="IRP36" s="72"/>
      <c r="IRW36" s="74"/>
      <c r="IRX36" s="72"/>
      <c r="ISE36" s="74"/>
      <c r="ISF36" s="72"/>
      <c r="ISM36" s="74"/>
      <c r="ISN36" s="72"/>
      <c r="ISU36" s="74"/>
      <c r="ISV36" s="72"/>
      <c r="ITC36" s="74"/>
      <c r="ITD36" s="72"/>
      <c r="ITK36" s="74"/>
      <c r="ITL36" s="72"/>
      <c r="ITS36" s="74"/>
      <c r="ITT36" s="72"/>
      <c r="IUA36" s="74"/>
      <c r="IUB36" s="72"/>
      <c r="IUI36" s="74"/>
      <c r="IUJ36" s="72"/>
      <c r="IUQ36" s="74"/>
      <c r="IUR36" s="72"/>
      <c r="IUY36" s="74"/>
      <c r="IUZ36" s="72"/>
      <c r="IVG36" s="74"/>
      <c r="IVH36" s="72"/>
      <c r="IVO36" s="74"/>
      <c r="IVP36" s="72"/>
      <c r="IVW36" s="74"/>
      <c r="IVX36" s="72"/>
      <c r="IWE36" s="74"/>
      <c r="IWF36" s="72"/>
      <c r="IWM36" s="74"/>
      <c r="IWN36" s="72"/>
      <c r="IWU36" s="74"/>
      <c r="IWV36" s="72"/>
      <c r="IXC36" s="74"/>
      <c r="IXD36" s="72"/>
      <c r="IXK36" s="74"/>
      <c r="IXL36" s="72"/>
      <c r="IXS36" s="74"/>
      <c r="IXT36" s="72"/>
      <c r="IYA36" s="74"/>
      <c r="IYB36" s="72"/>
      <c r="IYI36" s="74"/>
      <c r="IYJ36" s="72"/>
      <c r="IYQ36" s="74"/>
      <c r="IYR36" s="72"/>
      <c r="IYY36" s="74"/>
      <c r="IYZ36" s="72"/>
      <c r="IZG36" s="74"/>
      <c r="IZH36" s="72"/>
      <c r="IZO36" s="74"/>
      <c r="IZP36" s="72"/>
      <c r="IZW36" s="74"/>
      <c r="IZX36" s="72"/>
      <c r="JAE36" s="74"/>
      <c r="JAF36" s="72"/>
      <c r="JAM36" s="74"/>
      <c r="JAN36" s="72"/>
      <c r="JAU36" s="74"/>
      <c r="JAV36" s="72"/>
      <c r="JBC36" s="74"/>
      <c r="JBD36" s="72"/>
      <c r="JBK36" s="74"/>
      <c r="JBL36" s="72"/>
      <c r="JBS36" s="74"/>
      <c r="JBT36" s="72"/>
      <c r="JCA36" s="74"/>
      <c r="JCB36" s="72"/>
      <c r="JCI36" s="74"/>
      <c r="JCJ36" s="72"/>
      <c r="JCQ36" s="74"/>
      <c r="JCR36" s="72"/>
      <c r="JCY36" s="74"/>
      <c r="JCZ36" s="72"/>
      <c r="JDG36" s="74"/>
      <c r="JDH36" s="72"/>
      <c r="JDO36" s="74"/>
      <c r="JDP36" s="72"/>
      <c r="JDW36" s="74"/>
      <c r="JDX36" s="72"/>
      <c r="JEE36" s="74"/>
      <c r="JEF36" s="72"/>
      <c r="JEM36" s="74"/>
      <c r="JEN36" s="72"/>
      <c r="JEU36" s="74"/>
      <c r="JEV36" s="72"/>
      <c r="JFC36" s="74"/>
      <c r="JFD36" s="72"/>
      <c r="JFK36" s="74"/>
      <c r="JFL36" s="72"/>
      <c r="JFS36" s="74"/>
      <c r="JFT36" s="72"/>
      <c r="JGA36" s="74"/>
      <c r="JGB36" s="72"/>
      <c r="JGI36" s="74"/>
      <c r="JGJ36" s="72"/>
      <c r="JGQ36" s="74"/>
      <c r="JGR36" s="72"/>
      <c r="JGY36" s="74"/>
      <c r="JGZ36" s="72"/>
      <c r="JHG36" s="74"/>
      <c r="JHH36" s="72"/>
      <c r="JHO36" s="74"/>
      <c r="JHP36" s="72"/>
      <c r="JHW36" s="74"/>
      <c r="JHX36" s="72"/>
      <c r="JIE36" s="74"/>
      <c r="JIF36" s="72"/>
      <c r="JIM36" s="74"/>
      <c r="JIN36" s="72"/>
      <c r="JIU36" s="74"/>
      <c r="JIV36" s="72"/>
      <c r="JJC36" s="74"/>
      <c r="JJD36" s="72"/>
      <c r="JJK36" s="74"/>
      <c r="JJL36" s="72"/>
      <c r="JJS36" s="74"/>
      <c r="JJT36" s="72"/>
      <c r="JKA36" s="74"/>
      <c r="JKB36" s="72"/>
      <c r="JKI36" s="74"/>
      <c r="JKJ36" s="72"/>
      <c r="JKQ36" s="74"/>
      <c r="JKR36" s="72"/>
      <c r="JKY36" s="74"/>
      <c r="JKZ36" s="72"/>
      <c r="JLG36" s="74"/>
      <c r="JLH36" s="72"/>
      <c r="JLO36" s="74"/>
      <c r="JLP36" s="72"/>
      <c r="JLW36" s="74"/>
      <c r="JLX36" s="72"/>
      <c r="JME36" s="74"/>
      <c r="JMF36" s="72"/>
      <c r="JMM36" s="74"/>
      <c r="JMN36" s="72"/>
      <c r="JMU36" s="74"/>
      <c r="JMV36" s="72"/>
      <c r="JNC36" s="74"/>
      <c r="JND36" s="72"/>
      <c r="JNK36" s="74"/>
      <c r="JNL36" s="72"/>
      <c r="JNS36" s="74"/>
      <c r="JNT36" s="72"/>
      <c r="JOA36" s="74"/>
      <c r="JOB36" s="72"/>
      <c r="JOI36" s="74"/>
      <c r="JOJ36" s="72"/>
      <c r="JOQ36" s="74"/>
      <c r="JOR36" s="72"/>
      <c r="JOY36" s="74"/>
      <c r="JOZ36" s="72"/>
      <c r="JPG36" s="74"/>
      <c r="JPH36" s="72"/>
      <c r="JPO36" s="74"/>
      <c r="JPP36" s="72"/>
      <c r="JPW36" s="74"/>
      <c r="JPX36" s="72"/>
      <c r="JQE36" s="74"/>
      <c r="JQF36" s="72"/>
      <c r="JQM36" s="74"/>
      <c r="JQN36" s="72"/>
      <c r="JQU36" s="74"/>
      <c r="JQV36" s="72"/>
      <c r="JRC36" s="74"/>
      <c r="JRD36" s="72"/>
      <c r="JRK36" s="74"/>
      <c r="JRL36" s="72"/>
      <c r="JRS36" s="74"/>
      <c r="JRT36" s="72"/>
      <c r="JSA36" s="74"/>
      <c r="JSB36" s="72"/>
      <c r="JSI36" s="74"/>
      <c r="JSJ36" s="72"/>
      <c r="JSQ36" s="74"/>
      <c r="JSR36" s="72"/>
      <c r="JSY36" s="74"/>
      <c r="JSZ36" s="72"/>
      <c r="JTG36" s="74"/>
      <c r="JTH36" s="72"/>
      <c r="JTO36" s="74"/>
      <c r="JTP36" s="72"/>
      <c r="JTW36" s="74"/>
      <c r="JTX36" s="72"/>
      <c r="JUE36" s="74"/>
      <c r="JUF36" s="72"/>
      <c r="JUM36" s="74"/>
      <c r="JUN36" s="72"/>
      <c r="JUU36" s="74"/>
      <c r="JUV36" s="72"/>
      <c r="JVC36" s="74"/>
      <c r="JVD36" s="72"/>
      <c r="JVK36" s="74"/>
      <c r="JVL36" s="72"/>
      <c r="JVS36" s="74"/>
      <c r="JVT36" s="72"/>
      <c r="JWA36" s="74"/>
      <c r="JWB36" s="72"/>
      <c r="JWI36" s="74"/>
      <c r="JWJ36" s="72"/>
      <c r="JWQ36" s="74"/>
      <c r="JWR36" s="72"/>
      <c r="JWY36" s="74"/>
      <c r="JWZ36" s="72"/>
      <c r="JXG36" s="74"/>
      <c r="JXH36" s="72"/>
      <c r="JXO36" s="74"/>
      <c r="JXP36" s="72"/>
      <c r="JXW36" s="74"/>
      <c r="JXX36" s="72"/>
      <c r="JYE36" s="74"/>
      <c r="JYF36" s="72"/>
      <c r="JYM36" s="74"/>
      <c r="JYN36" s="72"/>
      <c r="JYU36" s="74"/>
      <c r="JYV36" s="72"/>
      <c r="JZC36" s="74"/>
      <c r="JZD36" s="72"/>
      <c r="JZK36" s="74"/>
      <c r="JZL36" s="72"/>
      <c r="JZS36" s="74"/>
      <c r="JZT36" s="72"/>
      <c r="KAA36" s="74"/>
      <c r="KAB36" s="72"/>
      <c r="KAI36" s="74"/>
      <c r="KAJ36" s="72"/>
      <c r="KAQ36" s="74"/>
      <c r="KAR36" s="72"/>
      <c r="KAY36" s="74"/>
      <c r="KAZ36" s="72"/>
      <c r="KBG36" s="74"/>
      <c r="KBH36" s="72"/>
      <c r="KBO36" s="74"/>
      <c r="KBP36" s="72"/>
      <c r="KBW36" s="74"/>
      <c r="KBX36" s="72"/>
      <c r="KCE36" s="74"/>
      <c r="KCF36" s="72"/>
      <c r="KCM36" s="74"/>
      <c r="KCN36" s="72"/>
      <c r="KCU36" s="74"/>
      <c r="KCV36" s="72"/>
      <c r="KDC36" s="74"/>
      <c r="KDD36" s="72"/>
      <c r="KDK36" s="74"/>
      <c r="KDL36" s="72"/>
      <c r="KDS36" s="74"/>
      <c r="KDT36" s="72"/>
      <c r="KEA36" s="74"/>
      <c r="KEB36" s="72"/>
      <c r="KEI36" s="74"/>
      <c r="KEJ36" s="72"/>
      <c r="KEQ36" s="74"/>
      <c r="KER36" s="72"/>
      <c r="KEY36" s="74"/>
      <c r="KEZ36" s="72"/>
      <c r="KFG36" s="74"/>
      <c r="KFH36" s="72"/>
      <c r="KFO36" s="74"/>
      <c r="KFP36" s="72"/>
      <c r="KFW36" s="74"/>
      <c r="KFX36" s="72"/>
      <c r="KGE36" s="74"/>
      <c r="KGF36" s="72"/>
      <c r="KGM36" s="74"/>
      <c r="KGN36" s="72"/>
      <c r="KGU36" s="74"/>
      <c r="KGV36" s="72"/>
      <c r="KHC36" s="74"/>
      <c r="KHD36" s="72"/>
      <c r="KHK36" s="74"/>
      <c r="KHL36" s="72"/>
      <c r="KHS36" s="74"/>
      <c r="KHT36" s="72"/>
      <c r="KIA36" s="74"/>
      <c r="KIB36" s="72"/>
      <c r="KII36" s="74"/>
      <c r="KIJ36" s="72"/>
      <c r="KIQ36" s="74"/>
      <c r="KIR36" s="72"/>
      <c r="KIY36" s="74"/>
      <c r="KIZ36" s="72"/>
      <c r="KJG36" s="74"/>
      <c r="KJH36" s="72"/>
      <c r="KJO36" s="74"/>
      <c r="KJP36" s="72"/>
      <c r="KJW36" s="74"/>
      <c r="KJX36" s="72"/>
      <c r="KKE36" s="74"/>
      <c r="KKF36" s="72"/>
      <c r="KKM36" s="74"/>
      <c r="KKN36" s="72"/>
      <c r="KKU36" s="74"/>
      <c r="KKV36" s="72"/>
      <c r="KLC36" s="74"/>
      <c r="KLD36" s="72"/>
      <c r="KLK36" s="74"/>
      <c r="KLL36" s="72"/>
      <c r="KLS36" s="74"/>
      <c r="KLT36" s="72"/>
      <c r="KMA36" s="74"/>
      <c r="KMB36" s="72"/>
      <c r="KMI36" s="74"/>
      <c r="KMJ36" s="72"/>
      <c r="KMQ36" s="74"/>
      <c r="KMR36" s="72"/>
      <c r="KMY36" s="74"/>
      <c r="KMZ36" s="72"/>
      <c r="KNG36" s="74"/>
      <c r="KNH36" s="72"/>
      <c r="KNO36" s="74"/>
      <c r="KNP36" s="72"/>
      <c r="KNW36" s="74"/>
      <c r="KNX36" s="72"/>
      <c r="KOE36" s="74"/>
      <c r="KOF36" s="72"/>
      <c r="KOM36" s="74"/>
      <c r="KON36" s="72"/>
      <c r="KOU36" s="74"/>
      <c r="KOV36" s="72"/>
      <c r="KPC36" s="74"/>
      <c r="KPD36" s="72"/>
      <c r="KPK36" s="74"/>
      <c r="KPL36" s="72"/>
      <c r="KPS36" s="74"/>
      <c r="KPT36" s="72"/>
      <c r="KQA36" s="74"/>
      <c r="KQB36" s="72"/>
      <c r="KQI36" s="74"/>
      <c r="KQJ36" s="72"/>
      <c r="KQQ36" s="74"/>
      <c r="KQR36" s="72"/>
      <c r="KQY36" s="74"/>
      <c r="KQZ36" s="72"/>
      <c r="KRG36" s="74"/>
      <c r="KRH36" s="72"/>
      <c r="KRO36" s="74"/>
      <c r="KRP36" s="72"/>
      <c r="KRW36" s="74"/>
      <c r="KRX36" s="72"/>
      <c r="KSE36" s="74"/>
      <c r="KSF36" s="72"/>
      <c r="KSM36" s="74"/>
      <c r="KSN36" s="72"/>
      <c r="KSU36" s="74"/>
      <c r="KSV36" s="72"/>
      <c r="KTC36" s="74"/>
      <c r="KTD36" s="72"/>
      <c r="KTK36" s="74"/>
      <c r="KTL36" s="72"/>
      <c r="KTS36" s="74"/>
      <c r="KTT36" s="72"/>
      <c r="KUA36" s="74"/>
      <c r="KUB36" s="72"/>
      <c r="KUI36" s="74"/>
      <c r="KUJ36" s="72"/>
      <c r="KUQ36" s="74"/>
      <c r="KUR36" s="72"/>
      <c r="KUY36" s="74"/>
      <c r="KUZ36" s="72"/>
      <c r="KVG36" s="74"/>
      <c r="KVH36" s="72"/>
      <c r="KVO36" s="74"/>
      <c r="KVP36" s="72"/>
      <c r="KVW36" s="74"/>
      <c r="KVX36" s="72"/>
      <c r="KWE36" s="74"/>
      <c r="KWF36" s="72"/>
      <c r="KWM36" s="74"/>
      <c r="KWN36" s="72"/>
      <c r="KWU36" s="74"/>
      <c r="KWV36" s="72"/>
      <c r="KXC36" s="74"/>
      <c r="KXD36" s="72"/>
      <c r="KXK36" s="74"/>
      <c r="KXL36" s="72"/>
      <c r="KXS36" s="74"/>
      <c r="KXT36" s="72"/>
      <c r="KYA36" s="74"/>
      <c r="KYB36" s="72"/>
      <c r="KYI36" s="74"/>
      <c r="KYJ36" s="72"/>
      <c r="KYQ36" s="74"/>
      <c r="KYR36" s="72"/>
      <c r="KYY36" s="74"/>
      <c r="KYZ36" s="72"/>
      <c r="KZG36" s="74"/>
      <c r="KZH36" s="72"/>
      <c r="KZO36" s="74"/>
      <c r="KZP36" s="72"/>
      <c r="KZW36" s="74"/>
      <c r="KZX36" s="72"/>
      <c r="LAE36" s="74"/>
      <c r="LAF36" s="72"/>
      <c r="LAM36" s="74"/>
      <c r="LAN36" s="72"/>
      <c r="LAU36" s="74"/>
      <c r="LAV36" s="72"/>
      <c r="LBC36" s="74"/>
      <c r="LBD36" s="72"/>
      <c r="LBK36" s="74"/>
      <c r="LBL36" s="72"/>
      <c r="LBS36" s="74"/>
      <c r="LBT36" s="72"/>
      <c r="LCA36" s="74"/>
      <c r="LCB36" s="72"/>
      <c r="LCI36" s="74"/>
      <c r="LCJ36" s="72"/>
      <c r="LCQ36" s="74"/>
      <c r="LCR36" s="72"/>
      <c r="LCY36" s="74"/>
      <c r="LCZ36" s="72"/>
      <c r="LDG36" s="74"/>
      <c r="LDH36" s="72"/>
      <c r="LDO36" s="74"/>
      <c r="LDP36" s="72"/>
      <c r="LDW36" s="74"/>
      <c r="LDX36" s="72"/>
      <c r="LEE36" s="74"/>
      <c r="LEF36" s="72"/>
      <c r="LEM36" s="74"/>
      <c r="LEN36" s="72"/>
      <c r="LEU36" s="74"/>
      <c r="LEV36" s="72"/>
      <c r="LFC36" s="74"/>
      <c r="LFD36" s="72"/>
      <c r="LFK36" s="74"/>
      <c r="LFL36" s="72"/>
      <c r="LFS36" s="74"/>
      <c r="LFT36" s="72"/>
      <c r="LGA36" s="74"/>
      <c r="LGB36" s="72"/>
      <c r="LGI36" s="74"/>
      <c r="LGJ36" s="72"/>
      <c r="LGQ36" s="74"/>
      <c r="LGR36" s="72"/>
      <c r="LGY36" s="74"/>
      <c r="LGZ36" s="72"/>
      <c r="LHG36" s="74"/>
      <c r="LHH36" s="72"/>
      <c r="LHO36" s="74"/>
      <c r="LHP36" s="72"/>
      <c r="LHW36" s="74"/>
      <c r="LHX36" s="72"/>
      <c r="LIE36" s="74"/>
      <c r="LIF36" s="72"/>
      <c r="LIM36" s="74"/>
      <c r="LIN36" s="72"/>
      <c r="LIU36" s="74"/>
      <c r="LIV36" s="72"/>
      <c r="LJC36" s="74"/>
      <c r="LJD36" s="72"/>
      <c r="LJK36" s="74"/>
      <c r="LJL36" s="72"/>
      <c r="LJS36" s="74"/>
      <c r="LJT36" s="72"/>
      <c r="LKA36" s="74"/>
      <c r="LKB36" s="72"/>
      <c r="LKI36" s="74"/>
      <c r="LKJ36" s="72"/>
      <c r="LKQ36" s="74"/>
      <c r="LKR36" s="72"/>
      <c r="LKY36" s="74"/>
      <c r="LKZ36" s="72"/>
      <c r="LLG36" s="74"/>
      <c r="LLH36" s="72"/>
      <c r="LLO36" s="74"/>
      <c r="LLP36" s="72"/>
      <c r="LLW36" s="74"/>
      <c r="LLX36" s="72"/>
      <c r="LME36" s="74"/>
      <c r="LMF36" s="72"/>
      <c r="LMM36" s="74"/>
      <c r="LMN36" s="72"/>
      <c r="LMU36" s="74"/>
      <c r="LMV36" s="72"/>
      <c r="LNC36" s="74"/>
      <c r="LND36" s="72"/>
      <c r="LNK36" s="74"/>
      <c r="LNL36" s="72"/>
      <c r="LNS36" s="74"/>
      <c r="LNT36" s="72"/>
      <c r="LOA36" s="74"/>
      <c r="LOB36" s="72"/>
      <c r="LOI36" s="74"/>
      <c r="LOJ36" s="72"/>
      <c r="LOQ36" s="74"/>
      <c r="LOR36" s="72"/>
      <c r="LOY36" s="74"/>
      <c r="LOZ36" s="72"/>
      <c r="LPG36" s="74"/>
      <c r="LPH36" s="72"/>
      <c r="LPO36" s="74"/>
      <c r="LPP36" s="72"/>
      <c r="LPW36" s="74"/>
      <c r="LPX36" s="72"/>
      <c r="LQE36" s="74"/>
      <c r="LQF36" s="72"/>
      <c r="LQM36" s="74"/>
      <c r="LQN36" s="72"/>
      <c r="LQU36" s="74"/>
      <c r="LQV36" s="72"/>
      <c r="LRC36" s="74"/>
      <c r="LRD36" s="72"/>
      <c r="LRK36" s="74"/>
      <c r="LRL36" s="72"/>
      <c r="LRS36" s="74"/>
      <c r="LRT36" s="72"/>
      <c r="LSA36" s="74"/>
      <c r="LSB36" s="72"/>
      <c r="LSI36" s="74"/>
      <c r="LSJ36" s="72"/>
      <c r="LSQ36" s="74"/>
      <c r="LSR36" s="72"/>
      <c r="LSY36" s="74"/>
      <c r="LSZ36" s="72"/>
      <c r="LTG36" s="74"/>
      <c r="LTH36" s="72"/>
      <c r="LTO36" s="74"/>
      <c r="LTP36" s="72"/>
      <c r="LTW36" s="74"/>
      <c r="LTX36" s="72"/>
      <c r="LUE36" s="74"/>
      <c r="LUF36" s="72"/>
      <c r="LUM36" s="74"/>
      <c r="LUN36" s="72"/>
      <c r="LUU36" s="74"/>
      <c r="LUV36" s="72"/>
      <c r="LVC36" s="74"/>
      <c r="LVD36" s="72"/>
      <c r="LVK36" s="74"/>
      <c r="LVL36" s="72"/>
      <c r="LVS36" s="74"/>
      <c r="LVT36" s="72"/>
      <c r="LWA36" s="74"/>
      <c r="LWB36" s="72"/>
      <c r="LWI36" s="74"/>
      <c r="LWJ36" s="72"/>
      <c r="LWQ36" s="74"/>
      <c r="LWR36" s="72"/>
      <c r="LWY36" s="74"/>
      <c r="LWZ36" s="72"/>
      <c r="LXG36" s="74"/>
      <c r="LXH36" s="72"/>
      <c r="LXO36" s="74"/>
      <c r="LXP36" s="72"/>
      <c r="LXW36" s="74"/>
      <c r="LXX36" s="72"/>
      <c r="LYE36" s="74"/>
      <c r="LYF36" s="72"/>
      <c r="LYM36" s="74"/>
      <c r="LYN36" s="72"/>
      <c r="LYU36" s="74"/>
      <c r="LYV36" s="72"/>
      <c r="LZC36" s="74"/>
      <c r="LZD36" s="72"/>
      <c r="LZK36" s="74"/>
      <c r="LZL36" s="72"/>
      <c r="LZS36" s="74"/>
      <c r="LZT36" s="72"/>
      <c r="MAA36" s="74"/>
      <c r="MAB36" s="72"/>
      <c r="MAI36" s="74"/>
      <c r="MAJ36" s="72"/>
      <c r="MAQ36" s="74"/>
      <c r="MAR36" s="72"/>
      <c r="MAY36" s="74"/>
      <c r="MAZ36" s="72"/>
      <c r="MBG36" s="74"/>
      <c r="MBH36" s="72"/>
      <c r="MBO36" s="74"/>
      <c r="MBP36" s="72"/>
      <c r="MBW36" s="74"/>
      <c r="MBX36" s="72"/>
      <c r="MCE36" s="74"/>
      <c r="MCF36" s="72"/>
      <c r="MCM36" s="74"/>
      <c r="MCN36" s="72"/>
      <c r="MCU36" s="74"/>
      <c r="MCV36" s="72"/>
      <c r="MDC36" s="74"/>
      <c r="MDD36" s="72"/>
      <c r="MDK36" s="74"/>
      <c r="MDL36" s="72"/>
      <c r="MDS36" s="74"/>
      <c r="MDT36" s="72"/>
      <c r="MEA36" s="74"/>
      <c r="MEB36" s="72"/>
      <c r="MEI36" s="74"/>
      <c r="MEJ36" s="72"/>
      <c r="MEQ36" s="74"/>
      <c r="MER36" s="72"/>
      <c r="MEY36" s="74"/>
      <c r="MEZ36" s="72"/>
      <c r="MFG36" s="74"/>
      <c r="MFH36" s="72"/>
      <c r="MFO36" s="74"/>
      <c r="MFP36" s="72"/>
      <c r="MFW36" s="74"/>
      <c r="MFX36" s="72"/>
      <c r="MGE36" s="74"/>
      <c r="MGF36" s="72"/>
      <c r="MGM36" s="74"/>
      <c r="MGN36" s="72"/>
      <c r="MGU36" s="74"/>
      <c r="MGV36" s="72"/>
      <c r="MHC36" s="74"/>
      <c r="MHD36" s="72"/>
      <c r="MHK36" s="74"/>
      <c r="MHL36" s="72"/>
      <c r="MHS36" s="74"/>
      <c r="MHT36" s="72"/>
      <c r="MIA36" s="74"/>
      <c r="MIB36" s="72"/>
      <c r="MII36" s="74"/>
      <c r="MIJ36" s="72"/>
      <c r="MIQ36" s="74"/>
      <c r="MIR36" s="72"/>
      <c r="MIY36" s="74"/>
      <c r="MIZ36" s="72"/>
      <c r="MJG36" s="74"/>
      <c r="MJH36" s="72"/>
      <c r="MJO36" s="74"/>
      <c r="MJP36" s="72"/>
      <c r="MJW36" s="74"/>
      <c r="MJX36" s="72"/>
      <c r="MKE36" s="74"/>
      <c r="MKF36" s="72"/>
      <c r="MKM36" s="74"/>
      <c r="MKN36" s="72"/>
      <c r="MKU36" s="74"/>
      <c r="MKV36" s="72"/>
      <c r="MLC36" s="74"/>
      <c r="MLD36" s="72"/>
      <c r="MLK36" s="74"/>
      <c r="MLL36" s="72"/>
      <c r="MLS36" s="74"/>
      <c r="MLT36" s="72"/>
      <c r="MMA36" s="74"/>
      <c r="MMB36" s="72"/>
      <c r="MMI36" s="74"/>
      <c r="MMJ36" s="72"/>
      <c r="MMQ36" s="74"/>
      <c r="MMR36" s="72"/>
      <c r="MMY36" s="74"/>
      <c r="MMZ36" s="72"/>
      <c r="MNG36" s="74"/>
      <c r="MNH36" s="72"/>
      <c r="MNO36" s="74"/>
      <c r="MNP36" s="72"/>
      <c r="MNW36" s="74"/>
      <c r="MNX36" s="72"/>
      <c r="MOE36" s="74"/>
      <c r="MOF36" s="72"/>
      <c r="MOM36" s="74"/>
      <c r="MON36" s="72"/>
      <c r="MOU36" s="74"/>
      <c r="MOV36" s="72"/>
      <c r="MPC36" s="74"/>
      <c r="MPD36" s="72"/>
      <c r="MPK36" s="74"/>
      <c r="MPL36" s="72"/>
      <c r="MPS36" s="74"/>
      <c r="MPT36" s="72"/>
      <c r="MQA36" s="74"/>
      <c r="MQB36" s="72"/>
      <c r="MQI36" s="74"/>
      <c r="MQJ36" s="72"/>
      <c r="MQQ36" s="74"/>
      <c r="MQR36" s="72"/>
      <c r="MQY36" s="74"/>
      <c r="MQZ36" s="72"/>
      <c r="MRG36" s="74"/>
      <c r="MRH36" s="72"/>
      <c r="MRO36" s="74"/>
      <c r="MRP36" s="72"/>
      <c r="MRW36" s="74"/>
      <c r="MRX36" s="72"/>
      <c r="MSE36" s="74"/>
      <c r="MSF36" s="72"/>
      <c r="MSM36" s="74"/>
      <c r="MSN36" s="72"/>
      <c r="MSU36" s="74"/>
      <c r="MSV36" s="72"/>
      <c r="MTC36" s="74"/>
      <c r="MTD36" s="72"/>
      <c r="MTK36" s="74"/>
      <c r="MTL36" s="72"/>
      <c r="MTS36" s="74"/>
      <c r="MTT36" s="72"/>
      <c r="MUA36" s="74"/>
      <c r="MUB36" s="72"/>
      <c r="MUI36" s="74"/>
      <c r="MUJ36" s="72"/>
      <c r="MUQ36" s="74"/>
      <c r="MUR36" s="72"/>
      <c r="MUY36" s="74"/>
      <c r="MUZ36" s="72"/>
      <c r="MVG36" s="74"/>
      <c r="MVH36" s="72"/>
      <c r="MVO36" s="74"/>
      <c r="MVP36" s="72"/>
      <c r="MVW36" s="74"/>
      <c r="MVX36" s="72"/>
      <c r="MWE36" s="74"/>
      <c r="MWF36" s="72"/>
      <c r="MWM36" s="74"/>
      <c r="MWN36" s="72"/>
      <c r="MWU36" s="74"/>
      <c r="MWV36" s="72"/>
      <c r="MXC36" s="74"/>
      <c r="MXD36" s="72"/>
      <c r="MXK36" s="74"/>
      <c r="MXL36" s="72"/>
      <c r="MXS36" s="74"/>
      <c r="MXT36" s="72"/>
      <c r="MYA36" s="74"/>
      <c r="MYB36" s="72"/>
      <c r="MYI36" s="74"/>
      <c r="MYJ36" s="72"/>
      <c r="MYQ36" s="74"/>
      <c r="MYR36" s="72"/>
      <c r="MYY36" s="74"/>
      <c r="MYZ36" s="72"/>
      <c r="MZG36" s="74"/>
      <c r="MZH36" s="72"/>
      <c r="MZO36" s="74"/>
      <c r="MZP36" s="72"/>
      <c r="MZW36" s="74"/>
      <c r="MZX36" s="72"/>
      <c r="NAE36" s="74"/>
      <c r="NAF36" s="72"/>
      <c r="NAM36" s="74"/>
      <c r="NAN36" s="72"/>
      <c r="NAU36" s="74"/>
      <c r="NAV36" s="72"/>
      <c r="NBC36" s="74"/>
      <c r="NBD36" s="72"/>
      <c r="NBK36" s="74"/>
      <c r="NBL36" s="72"/>
      <c r="NBS36" s="74"/>
      <c r="NBT36" s="72"/>
      <c r="NCA36" s="74"/>
      <c r="NCB36" s="72"/>
      <c r="NCI36" s="74"/>
      <c r="NCJ36" s="72"/>
      <c r="NCQ36" s="74"/>
      <c r="NCR36" s="72"/>
      <c r="NCY36" s="74"/>
      <c r="NCZ36" s="72"/>
      <c r="NDG36" s="74"/>
      <c r="NDH36" s="72"/>
      <c r="NDO36" s="74"/>
      <c r="NDP36" s="72"/>
      <c r="NDW36" s="74"/>
      <c r="NDX36" s="72"/>
      <c r="NEE36" s="74"/>
      <c r="NEF36" s="72"/>
      <c r="NEM36" s="74"/>
      <c r="NEN36" s="72"/>
      <c r="NEU36" s="74"/>
      <c r="NEV36" s="72"/>
      <c r="NFC36" s="74"/>
      <c r="NFD36" s="72"/>
      <c r="NFK36" s="74"/>
      <c r="NFL36" s="72"/>
      <c r="NFS36" s="74"/>
      <c r="NFT36" s="72"/>
      <c r="NGA36" s="74"/>
      <c r="NGB36" s="72"/>
      <c r="NGI36" s="74"/>
      <c r="NGJ36" s="72"/>
      <c r="NGQ36" s="74"/>
      <c r="NGR36" s="72"/>
      <c r="NGY36" s="74"/>
      <c r="NGZ36" s="72"/>
      <c r="NHG36" s="74"/>
      <c r="NHH36" s="72"/>
      <c r="NHO36" s="74"/>
      <c r="NHP36" s="72"/>
      <c r="NHW36" s="74"/>
      <c r="NHX36" s="72"/>
      <c r="NIE36" s="74"/>
      <c r="NIF36" s="72"/>
      <c r="NIM36" s="74"/>
      <c r="NIN36" s="72"/>
      <c r="NIU36" s="74"/>
      <c r="NIV36" s="72"/>
      <c r="NJC36" s="74"/>
      <c r="NJD36" s="72"/>
      <c r="NJK36" s="74"/>
      <c r="NJL36" s="72"/>
      <c r="NJS36" s="74"/>
      <c r="NJT36" s="72"/>
      <c r="NKA36" s="74"/>
      <c r="NKB36" s="72"/>
      <c r="NKI36" s="74"/>
      <c r="NKJ36" s="72"/>
      <c r="NKQ36" s="74"/>
      <c r="NKR36" s="72"/>
      <c r="NKY36" s="74"/>
      <c r="NKZ36" s="72"/>
      <c r="NLG36" s="74"/>
      <c r="NLH36" s="72"/>
      <c r="NLO36" s="74"/>
      <c r="NLP36" s="72"/>
      <c r="NLW36" s="74"/>
      <c r="NLX36" s="72"/>
      <c r="NME36" s="74"/>
      <c r="NMF36" s="72"/>
      <c r="NMM36" s="74"/>
      <c r="NMN36" s="72"/>
      <c r="NMU36" s="74"/>
      <c r="NMV36" s="72"/>
      <c r="NNC36" s="74"/>
      <c r="NND36" s="72"/>
      <c r="NNK36" s="74"/>
      <c r="NNL36" s="72"/>
      <c r="NNS36" s="74"/>
      <c r="NNT36" s="72"/>
      <c r="NOA36" s="74"/>
      <c r="NOB36" s="72"/>
      <c r="NOI36" s="74"/>
      <c r="NOJ36" s="72"/>
      <c r="NOQ36" s="74"/>
      <c r="NOR36" s="72"/>
      <c r="NOY36" s="74"/>
      <c r="NOZ36" s="72"/>
      <c r="NPG36" s="74"/>
      <c r="NPH36" s="72"/>
      <c r="NPO36" s="74"/>
      <c r="NPP36" s="72"/>
      <c r="NPW36" s="74"/>
      <c r="NPX36" s="72"/>
      <c r="NQE36" s="74"/>
      <c r="NQF36" s="72"/>
      <c r="NQM36" s="74"/>
      <c r="NQN36" s="72"/>
      <c r="NQU36" s="74"/>
      <c r="NQV36" s="72"/>
      <c r="NRC36" s="74"/>
      <c r="NRD36" s="72"/>
      <c r="NRK36" s="74"/>
      <c r="NRL36" s="72"/>
      <c r="NRS36" s="74"/>
      <c r="NRT36" s="72"/>
      <c r="NSA36" s="74"/>
      <c r="NSB36" s="72"/>
      <c r="NSI36" s="74"/>
      <c r="NSJ36" s="72"/>
      <c r="NSQ36" s="74"/>
      <c r="NSR36" s="72"/>
      <c r="NSY36" s="74"/>
      <c r="NSZ36" s="72"/>
      <c r="NTG36" s="74"/>
      <c r="NTH36" s="72"/>
      <c r="NTO36" s="74"/>
      <c r="NTP36" s="72"/>
      <c r="NTW36" s="74"/>
      <c r="NTX36" s="72"/>
      <c r="NUE36" s="74"/>
      <c r="NUF36" s="72"/>
      <c r="NUM36" s="74"/>
      <c r="NUN36" s="72"/>
      <c r="NUU36" s="74"/>
      <c r="NUV36" s="72"/>
      <c r="NVC36" s="74"/>
      <c r="NVD36" s="72"/>
      <c r="NVK36" s="74"/>
      <c r="NVL36" s="72"/>
      <c r="NVS36" s="74"/>
      <c r="NVT36" s="72"/>
      <c r="NWA36" s="74"/>
      <c r="NWB36" s="72"/>
      <c r="NWI36" s="74"/>
      <c r="NWJ36" s="72"/>
      <c r="NWQ36" s="74"/>
      <c r="NWR36" s="72"/>
      <c r="NWY36" s="74"/>
      <c r="NWZ36" s="72"/>
      <c r="NXG36" s="74"/>
      <c r="NXH36" s="72"/>
      <c r="NXO36" s="74"/>
      <c r="NXP36" s="72"/>
      <c r="NXW36" s="74"/>
      <c r="NXX36" s="72"/>
      <c r="NYE36" s="74"/>
      <c r="NYF36" s="72"/>
      <c r="NYM36" s="74"/>
      <c r="NYN36" s="72"/>
      <c r="NYU36" s="74"/>
      <c r="NYV36" s="72"/>
      <c r="NZC36" s="74"/>
      <c r="NZD36" s="72"/>
      <c r="NZK36" s="74"/>
      <c r="NZL36" s="72"/>
      <c r="NZS36" s="74"/>
      <c r="NZT36" s="72"/>
      <c r="OAA36" s="74"/>
      <c r="OAB36" s="72"/>
      <c r="OAI36" s="74"/>
      <c r="OAJ36" s="72"/>
      <c r="OAQ36" s="74"/>
      <c r="OAR36" s="72"/>
      <c r="OAY36" s="74"/>
      <c r="OAZ36" s="72"/>
      <c r="OBG36" s="74"/>
      <c r="OBH36" s="72"/>
      <c r="OBO36" s="74"/>
      <c r="OBP36" s="72"/>
      <c r="OBW36" s="74"/>
      <c r="OBX36" s="72"/>
      <c r="OCE36" s="74"/>
      <c r="OCF36" s="72"/>
      <c r="OCM36" s="74"/>
      <c r="OCN36" s="72"/>
      <c r="OCU36" s="74"/>
      <c r="OCV36" s="72"/>
      <c r="ODC36" s="74"/>
      <c r="ODD36" s="72"/>
      <c r="ODK36" s="74"/>
      <c r="ODL36" s="72"/>
      <c r="ODS36" s="74"/>
      <c r="ODT36" s="72"/>
      <c r="OEA36" s="74"/>
      <c r="OEB36" s="72"/>
      <c r="OEI36" s="74"/>
      <c r="OEJ36" s="72"/>
      <c r="OEQ36" s="74"/>
      <c r="OER36" s="72"/>
      <c r="OEY36" s="74"/>
      <c r="OEZ36" s="72"/>
      <c r="OFG36" s="74"/>
      <c r="OFH36" s="72"/>
      <c r="OFO36" s="74"/>
      <c r="OFP36" s="72"/>
      <c r="OFW36" s="74"/>
      <c r="OFX36" s="72"/>
      <c r="OGE36" s="74"/>
      <c r="OGF36" s="72"/>
      <c r="OGM36" s="74"/>
      <c r="OGN36" s="72"/>
      <c r="OGU36" s="74"/>
      <c r="OGV36" s="72"/>
      <c r="OHC36" s="74"/>
      <c r="OHD36" s="72"/>
      <c r="OHK36" s="74"/>
      <c r="OHL36" s="72"/>
      <c r="OHS36" s="74"/>
      <c r="OHT36" s="72"/>
      <c r="OIA36" s="74"/>
      <c r="OIB36" s="72"/>
      <c r="OII36" s="74"/>
      <c r="OIJ36" s="72"/>
      <c r="OIQ36" s="74"/>
      <c r="OIR36" s="72"/>
      <c r="OIY36" s="74"/>
      <c r="OIZ36" s="72"/>
      <c r="OJG36" s="74"/>
      <c r="OJH36" s="72"/>
      <c r="OJO36" s="74"/>
      <c r="OJP36" s="72"/>
      <c r="OJW36" s="74"/>
      <c r="OJX36" s="72"/>
      <c r="OKE36" s="74"/>
      <c r="OKF36" s="72"/>
      <c r="OKM36" s="74"/>
      <c r="OKN36" s="72"/>
      <c r="OKU36" s="74"/>
      <c r="OKV36" s="72"/>
      <c r="OLC36" s="74"/>
      <c r="OLD36" s="72"/>
      <c r="OLK36" s="74"/>
      <c r="OLL36" s="72"/>
      <c r="OLS36" s="74"/>
      <c r="OLT36" s="72"/>
      <c r="OMA36" s="74"/>
      <c r="OMB36" s="72"/>
      <c r="OMI36" s="74"/>
      <c r="OMJ36" s="72"/>
      <c r="OMQ36" s="74"/>
      <c r="OMR36" s="72"/>
      <c r="OMY36" s="74"/>
      <c r="OMZ36" s="72"/>
      <c r="ONG36" s="74"/>
      <c r="ONH36" s="72"/>
      <c r="ONO36" s="74"/>
      <c r="ONP36" s="72"/>
      <c r="ONW36" s="74"/>
      <c r="ONX36" s="72"/>
      <c r="OOE36" s="74"/>
      <c r="OOF36" s="72"/>
      <c r="OOM36" s="74"/>
      <c r="OON36" s="72"/>
      <c r="OOU36" s="74"/>
      <c r="OOV36" s="72"/>
      <c r="OPC36" s="74"/>
      <c r="OPD36" s="72"/>
      <c r="OPK36" s="74"/>
      <c r="OPL36" s="72"/>
      <c r="OPS36" s="74"/>
      <c r="OPT36" s="72"/>
      <c r="OQA36" s="74"/>
      <c r="OQB36" s="72"/>
      <c r="OQI36" s="74"/>
      <c r="OQJ36" s="72"/>
      <c r="OQQ36" s="74"/>
      <c r="OQR36" s="72"/>
      <c r="OQY36" s="74"/>
      <c r="OQZ36" s="72"/>
      <c r="ORG36" s="74"/>
      <c r="ORH36" s="72"/>
      <c r="ORO36" s="74"/>
      <c r="ORP36" s="72"/>
      <c r="ORW36" s="74"/>
      <c r="ORX36" s="72"/>
      <c r="OSE36" s="74"/>
      <c r="OSF36" s="72"/>
      <c r="OSM36" s="74"/>
      <c r="OSN36" s="72"/>
      <c r="OSU36" s="74"/>
      <c r="OSV36" s="72"/>
      <c r="OTC36" s="74"/>
      <c r="OTD36" s="72"/>
      <c r="OTK36" s="74"/>
      <c r="OTL36" s="72"/>
      <c r="OTS36" s="74"/>
      <c r="OTT36" s="72"/>
      <c r="OUA36" s="74"/>
      <c r="OUB36" s="72"/>
      <c r="OUI36" s="74"/>
      <c r="OUJ36" s="72"/>
      <c r="OUQ36" s="74"/>
      <c r="OUR36" s="72"/>
      <c r="OUY36" s="74"/>
      <c r="OUZ36" s="72"/>
      <c r="OVG36" s="74"/>
      <c r="OVH36" s="72"/>
      <c r="OVO36" s="74"/>
      <c r="OVP36" s="72"/>
      <c r="OVW36" s="74"/>
      <c r="OVX36" s="72"/>
      <c r="OWE36" s="74"/>
      <c r="OWF36" s="72"/>
      <c r="OWM36" s="74"/>
      <c r="OWN36" s="72"/>
      <c r="OWU36" s="74"/>
      <c r="OWV36" s="72"/>
      <c r="OXC36" s="74"/>
      <c r="OXD36" s="72"/>
      <c r="OXK36" s="74"/>
      <c r="OXL36" s="72"/>
      <c r="OXS36" s="74"/>
      <c r="OXT36" s="72"/>
      <c r="OYA36" s="74"/>
      <c r="OYB36" s="72"/>
      <c r="OYI36" s="74"/>
      <c r="OYJ36" s="72"/>
      <c r="OYQ36" s="74"/>
      <c r="OYR36" s="72"/>
      <c r="OYY36" s="74"/>
      <c r="OYZ36" s="72"/>
      <c r="OZG36" s="74"/>
      <c r="OZH36" s="72"/>
      <c r="OZO36" s="74"/>
      <c r="OZP36" s="72"/>
      <c r="OZW36" s="74"/>
      <c r="OZX36" s="72"/>
      <c r="PAE36" s="74"/>
      <c r="PAF36" s="72"/>
      <c r="PAM36" s="74"/>
      <c r="PAN36" s="72"/>
      <c r="PAU36" s="74"/>
      <c r="PAV36" s="72"/>
      <c r="PBC36" s="74"/>
      <c r="PBD36" s="72"/>
      <c r="PBK36" s="74"/>
      <c r="PBL36" s="72"/>
      <c r="PBS36" s="74"/>
      <c r="PBT36" s="72"/>
      <c r="PCA36" s="74"/>
      <c r="PCB36" s="72"/>
      <c r="PCI36" s="74"/>
      <c r="PCJ36" s="72"/>
      <c r="PCQ36" s="74"/>
      <c r="PCR36" s="72"/>
      <c r="PCY36" s="74"/>
      <c r="PCZ36" s="72"/>
      <c r="PDG36" s="74"/>
      <c r="PDH36" s="72"/>
      <c r="PDO36" s="74"/>
      <c r="PDP36" s="72"/>
      <c r="PDW36" s="74"/>
      <c r="PDX36" s="72"/>
      <c r="PEE36" s="74"/>
      <c r="PEF36" s="72"/>
      <c r="PEM36" s="74"/>
      <c r="PEN36" s="72"/>
      <c r="PEU36" s="74"/>
      <c r="PEV36" s="72"/>
      <c r="PFC36" s="74"/>
      <c r="PFD36" s="72"/>
      <c r="PFK36" s="74"/>
      <c r="PFL36" s="72"/>
      <c r="PFS36" s="74"/>
      <c r="PFT36" s="72"/>
      <c r="PGA36" s="74"/>
      <c r="PGB36" s="72"/>
      <c r="PGI36" s="74"/>
      <c r="PGJ36" s="72"/>
      <c r="PGQ36" s="74"/>
      <c r="PGR36" s="72"/>
      <c r="PGY36" s="74"/>
      <c r="PGZ36" s="72"/>
      <c r="PHG36" s="74"/>
      <c r="PHH36" s="72"/>
      <c r="PHO36" s="74"/>
      <c r="PHP36" s="72"/>
      <c r="PHW36" s="74"/>
      <c r="PHX36" s="72"/>
      <c r="PIE36" s="74"/>
      <c r="PIF36" s="72"/>
      <c r="PIM36" s="74"/>
      <c r="PIN36" s="72"/>
      <c r="PIU36" s="74"/>
      <c r="PIV36" s="72"/>
      <c r="PJC36" s="74"/>
      <c r="PJD36" s="72"/>
      <c r="PJK36" s="74"/>
      <c r="PJL36" s="72"/>
      <c r="PJS36" s="74"/>
      <c r="PJT36" s="72"/>
      <c r="PKA36" s="74"/>
      <c r="PKB36" s="72"/>
      <c r="PKI36" s="74"/>
      <c r="PKJ36" s="72"/>
      <c r="PKQ36" s="74"/>
      <c r="PKR36" s="72"/>
      <c r="PKY36" s="74"/>
      <c r="PKZ36" s="72"/>
      <c r="PLG36" s="74"/>
      <c r="PLH36" s="72"/>
      <c r="PLO36" s="74"/>
      <c r="PLP36" s="72"/>
      <c r="PLW36" s="74"/>
      <c r="PLX36" s="72"/>
      <c r="PME36" s="74"/>
      <c r="PMF36" s="72"/>
      <c r="PMM36" s="74"/>
      <c r="PMN36" s="72"/>
      <c r="PMU36" s="74"/>
      <c r="PMV36" s="72"/>
      <c r="PNC36" s="74"/>
      <c r="PND36" s="72"/>
      <c r="PNK36" s="74"/>
      <c r="PNL36" s="72"/>
      <c r="PNS36" s="74"/>
      <c r="PNT36" s="72"/>
      <c r="POA36" s="74"/>
      <c r="POB36" s="72"/>
      <c r="POI36" s="74"/>
      <c r="POJ36" s="72"/>
      <c r="POQ36" s="74"/>
      <c r="POR36" s="72"/>
      <c r="POY36" s="74"/>
      <c r="POZ36" s="72"/>
      <c r="PPG36" s="74"/>
      <c r="PPH36" s="72"/>
      <c r="PPO36" s="74"/>
      <c r="PPP36" s="72"/>
      <c r="PPW36" s="74"/>
      <c r="PPX36" s="72"/>
      <c r="PQE36" s="74"/>
      <c r="PQF36" s="72"/>
      <c r="PQM36" s="74"/>
      <c r="PQN36" s="72"/>
      <c r="PQU36" s="74"/>
      <c r="PQV36" s="72"/>
      <c r="PRC36" s="74"/>
      <c r="PRD36" s="72"/>
      <c r="PRK36" s="74"/>
      <c r="PRL36" s="72"/>
      <c r="PRS36" s="74"/>
      <c r="PRT36" s="72"/>
      <c r="PSA36" s="74"/>
      <c r="PSB36" s="72"/>
      <c r="PSI36" s="74"/>
      <c r="PSJ36" s="72"/>
      <c r="PSQ36" s="74"/>
      <c r="PSR36" s="72"/>
      <c r="PSY36" s="74"/>
      <c r="PSZ36" s="72"/>
      <c r="PTG36" s="74"/>
      <c r="PTH36" s="72"/>
      <c r="PTO36" s="74"/>
      <c r="PTP36" s="72"/>
      <c r="PTW36" s="74"/>
      <c r="PTX36" s="72"/>
      <c r="PUE36" s="74"/>
      <c r="PUF36" s="72"/>
      <c r="PUM36" s="74"/>
      <c r="PUN36" s="72"/>
      <c r="PUU36" s="74"/>
      <c r="PUV36" s="72"/>
      <c r="PVC36" s="74"/>
      <c r="PVD36" s="72"/>
      <c r="PVK36" s="74"/>
      <c r="PVL36" s="72"/>
      <c r="PVS36" s="74"/>
      <c r="PVT36" s="72"/>
      <c r="PWA36" s="74"/>
      <c r="PWB36" s="72"/>
      <c r="PWI36" s="74"/>
      <c r="PWJ36" s="72"/>
      <c r="PWQ36" s="74"/>
      <c r="PWR36" s="72"/>
      <c r="PWY36" s="74"/>
      <c r="PWZ36" s="72"/>
      <c r="PXG36" s="74"/>
      <c r="PXH36" s="72"/>
      <c r="PXO36" s="74"/>
      <c r="PXP36" s="72"/>
      <c r="PXW36" s="74"/>
      <c r="PXX36" s="72"/>
      <c r="PYE36" s="74"/>
      <c r="PYF36" s="72"/>
      <c r="PYM36" s="74"/>
      <c r="PYN36" s="72"/>
      <c r="PYU36" s="74"/>
      <c r="PYV36" s="72"/>
      <c r="PZC36" s="74"/>
      <c r="PZD36" s="72"/>
      <c r="PZK36" s="74"/>
      <c r="PZL36" s="72"/>
      <c r="PZS36" s="74"/>
      <c r="PZT36" s="72"/>
      <c r="QAA36" s="74"/>
      <c r="QAB36" s="72"/>
      <c r="QAI36" s="74"/>
      <c r="QAJ36" s="72"/>
      <c r="QAQ36" s="74"/>
      <c r="QAR36" s="72"/>
      <c r="QAY36" s="74"/>
      <c r="QAZ36" s="72"/>
      <c r="QBG36" s="74"/>
      <c r="QBH36" s="72"/>
      <c r="QBO36" s="74"/>
      <c r="QBP36" s="72"/>
      <c r="QBW36" s="74"/>
      <c r="QBX36" s="72"/>
      <c r="QCE36" s="74"/>
      <c r="QCF36" s="72"/>
      <c r="QCM36" s="74"/>
      <c r="QCN36" s="72"/>
      <c r="QCU36" s="74"/>
      <c r="QCV36" s="72"/>
      <c r="QDC36" s="74"/>
      <c r="QDD36" s="72"/>
      <c r="QDK36" s="74"/>
      <c r="QDL36" s="72"/>
      <c r="QDS36" s="74"/>
      <c r="QDT36" s="72"/>
      <c r="QEA36" s="74"/>
      <c r="QEB36" s="72"/>
      <c r="QEI36" s="74"/>
      <c r="QEJ36" s="72"/>
      <c r="QEQ36" s="74"/>
      <c r="QER36" s="72"/>
      <c r="QEY36" s="74"/>
      <c r="QEZ36" s="72"/>
      <c r="QFG36" s="74"/>
      <c r="QFH36" s="72"/>
      <c r="QFO36" s="74"/>
      <c r="QFP36" s="72"/>
      <c r="QFW36" s="74"/>
      <c r="QFX36" s="72"/>
      <c r="QGE36" s="74"/>
      <c r="QGF36" s="72"/>
      <c r="QGM36" s="74"/>
      <c r="QGN36" s="72"/>
      <c r="QGU36" s="74"/>
      <c r="QGV36" s="72"/>
      <c r="QHC36" s="74"/>
      <c r="QHD36" s="72"/>
      <c r="QHK36" s="74"/>
      <c r="QHL36" s="72"/>
      <c r="QHS36" s="74"/>
      <c r="QHT36" s="72"/>
      <c r="QIA36" s="74"/>
      <c r="QIB36" s="72"/>
      <c r="QII36" s="74"/>
      <c r="QIJ36" s="72"/>
      <c r="QIQ36" s="74"/>
      <c r="QIR36" s="72"/>
      <c r="QIY36" s="74"/>
      <c r="QIZ36" s="72"/>
      <c r="QJG36" s="74"/>
      <c r="QJH36" s="72"/>
      <c r="QJO36" s="74"/>
      <c r="QJP36" s="72"/>
      <c r="QJW36" s="74"/>
      <c r="QJX36" s="72"/>
      <c r="QKE36" s="74"/>
      <c r="QKF36" s="72"/>
      <c r="QKM36" s="74"/>
      <c r="QKN36" s="72"/>
      <c r="QKU36" s="74"/>
      <c r="QKV36" s="72"/>
      <c r="QLC36" s="74"/>
      <c r="QLD36" s="72"/>
      <c r="QLK36" s="74"/>
      <c r="QLL36" s="72"/>
      <c r="QLS36" s="74"/>
      <c r="QLT36" s="72"/>
      <c r="QMA36" s="74"/>
      <c r="QMB36" s="72"/>
      <c r="QMI36" s="74"/>
      <c r="QMJ36" s="72"/>
      <c r="QMQ36" s="74"/>
      <c r="QMR36" s="72"/>
      <c r="QMY36" s="74"/>
      <c r="QMZ36" s="72"/>
      <c r="QNG36" s="74"/>
      <c r="QNH36" s="72"/>
      <c r="QNO36" s="74"/>
      <c r="QNP36" s="72"/>
      <c r="QNW36" s="74"/>
      <c r="QNX36" s="72"/>
      <c r="QOE36" s="74"/>
      <c r="QOF36" s="72"/>
      <c r="QOM36" s="74"/>
      <c r="QON36" s="72"/>
      <c r="QOU36" s="74"/>
      <c r="QOV36" s="72"/>
      <c r="QPC36" s="74"/>
      <c r="QPD36" s="72"/>
      <c r="QPK36" s="74"/>
      <c r="QPL36" s="72"/>
      <c r="QPS36" s="74"/>
      <c r="QPT36" s="72"/>
      <c r="QQA36" s="74"/>
      <c r="QQB36" s="72"/>
      <c r="QQI36" s="74"/>
      <c r="QQJ36" s="72"/>
      <c r="QQQ36" s="74"/>
      <c r="QQR36" s="72"/>
      <c r="QQY36" s="74"/>
      <c r="QQZ36" s="72"/>
      <c r="QRG36" s="74"/>
      <c r="QRH36" s="72"/>
      <c r="QRO36" s="74"/>
      <c r="QRP36" s="72"/>
      <c r="QRW36" s="74"/>
      <c r="QRX36" s="72"/>
      <c r="QSE36" s="74"/>
      <c r="QSF36" s="72"/>
      <c r="QSM36" s="74"/>
      <c r="QSN36" s="72"/>
      <c r="QSU36" s="74"/>
      <c r="QSV36" s="72"/>
      <c r="QTC36" s="74"/>
      <c r="QTD36" s="72"/>
      <c r="QTK36" s="74"/>
      <c r="QTL36" s="72"/>
      <c r="QTS36" s="74"/>
      <c r="QTT36" s="72"/>
      <c r="QUA36" s="74"/>
      <c r="QUB36" s="72"/>
      <c r="QUI36" s="74"/>
      <c r="QUJ36" s="72"/>
      <c r="QUQ36" s="74"/>
      <c r="QUR36" s="72"/>
      <c r="QUY36" s="74"/>
      <c r="QUZ36" s="72"/>
      <c r="QVG36" s="74"/>
      <c r="QVH36" s="72"/>
      <c r="QVO36" s="74"/>
      <c r="QVP36" s="72"/>
      <c r="QVW36" s="74"/>
      <c r="QVX36" s="72"/>
      <c r="QWE36" s="74"/>
      <c r="QWF36" s="72"/>
      <c r="QWM36" s="74"/>
      <c r="QWN36" s="72"/>
      <c r="QWU36" s="74"/>
      <c r="QWV36" s="72"/>
      <c r="QXC36" s="74"/>
      <c r="QXD36" s="72"/>
      <c r="QXK36" s="74"/>
      <c r="QXL36" s="72"/>
      <c r="QXS36" s="74"/>
      <c r="QXT36" s="72"/>
      <c r="QYA36" s="74"/>
      <c r="QYB36" s="72"/>
      <c r="QYI36" s="74"/>
      <c r="QYJ36" s="72"/>
      <c r="QYQ36" s="74"/>
      <c r="QYR36" s="72"/>
      <c r="QYY36" s="74"/>
      <c r="QYZ36" s="72"/>
      <c r="QZG36" s="74"/>
      <c r="QZH36" s="72"/>
      <c r="QZO36" s="74"/>
      <c r="QZP36" s="72"/>
      <c r="QZW36" s="74"/>
      <c r="QZX36" s="72"/>
      <c r="RAE36" s="74"/>
      <c r="RAF36" s="72"/>
      <c r="RAM36" s="74"/>
      <c r="RAN36" s="72"/>
      <c r="RAU36" s="74"/>
      <c r="RAV36" s="72"/>
      <c r="RBC36" s="74"/>
      <c r="RBD36" s="72"/>
      <c r="RBK36" s="74"/>
      <c r="RBL36" s="72"/>
      <c r="RBS36" s="74"/>
      <c r="RBT36" s="72"/>
      <c r="RCA36" s="74"/>
      <c r="RCB36" s="72"/>
      <c r="RCI36" s="74"/>
      <c r="RCJ36" s="72"/>
      <c r="RCQ36" s="74"/>
      <c r="RCR36" s="72"/>
      <c r="RCY36" s="74"/>
      <c r="RCZ36" s="72"/>
      <c r="RDG36" s="74"/>
      <c r="RDH36" s="72"/>
      <c r="RDO36" s="74"/>
      <c r="RDP36" s="72"/>
      <c r="RDW36" s="74"/>
      <c r="RDX36" s="72"/>
      <c r="REE36" s="74"/>
      <c r="REF36" s="72"/>
      <c r="REM36" s="74"/>
      <c r="REN36" s="72"/>
      <c r="REU36" s="74"/>
      <c r="REV36" s="72"/>
      <c r="RFC36" s="74"/>
      <c r="RFD36" s="72"/>
      <c r="RFK36" s="74"/>
      <c r="RFL36" s="72"/>
      <c r="RFS36" s="74"/>
      <c r="RFT36" s="72"/>
      <c r="RGA36" s="74"/>
      <c r="RGB36" s="72"/>
      <c r="RGI36" s="74"/>
      <c r="RGJ36" s="72"/>
      <c r="RGQ36" s="74"/>
      <c r="RGR36" s="72"/>
      <c r="RGY36" s="74"/>
      <c r="RGZ36" s="72"/>
      <c r="RHG36" s="74"/>
      <c r="RHH36" s="72"/>
      <c r="RHO36" s="74"/>
      <c r="RHP36" s="72"/>
      <c r="RHW36" s="74"/>
      <c r="RHX36" s="72"/>
      <c r="RIE36" s="74"/>
      <c r="RIF36" s="72"/>
      <c r="RIM36" s="74"/>
      <c r="RIN36" s="72"/>
      <c r="RIU36" s="74"/>
      <c r="RIV36" s="72"/>
      <c r="RJC36" s="74"/>
      <c r="RJD36" s="72"/>
      <c r="RJK36" s="74"/>
      <c r="RJL36" s="72"/>
      <c r="RJS36" s="74"/>
      <c r="RJT36" s="72"/>
      <c r="RKA36" s="74"/>
      <c r="RKB36" s="72"/>
      <c r="RKI36" s="74"/>
      <c r="RKJ36" s="72"/>
      <c r="RKQ36" s="74"/>
      <c r="RKR36" s="72"/>
      <c r="RKY36" s="74"/>
      <c r="RKZ36" s="72"/>
      <c r="RLG36" s="74"/>
      <c r="RLH36" s="72"/>
      <c r="RLO36" s="74"/>
      <c r="RLP36" s="72"/>
      <c r="RLW36" s="74"/>
      <c r="RLX36" s="72"/>
      <c r="RME36" s="74"/>
      <c r="RMF36" s="72"/>
      <c r="RMM36" s="74"/>
      <c r="RMN36" s="72"/>
      <c r="RMU36" s="74"/>
      <c r="RMV36" s="72"/>
      <c r="RNC36" s="74"/>
      <c r="RND36" s="72"/>
      <c r="RNK36" s="74"/>
      <c r="RNL36" s="72"/>
      <c r="RNS36" s="74"/>
      <c r="RNT36" s="72"/>
      <c r="ROA36" s="74"/>
      <c r="ROB36" s="72"/>
      <c r="ROI36" s="74"/>
      <c r="ROJ36" s="72"/>
      <c r="ROQ36" s="74"/>
      <c r="ROR36" s="72"/>
      <c r="ROY36" s="74"/>
      <c r="ROZ36" s="72"/>
      <c r="RPG36" s="74"/>
      <c r="RPH36" s="72"/>
      <c r="RPO36" s="74"/>
      <c r="RPP36" s="72"/>
      <c r="RPW36" s="74"/>
      <c r="RPX36" s="72"/>
      <c r="RQE36" s="74"/>
      <c r="RQF36" s="72"/>
      <c r="RQM36" s="74"/>
      <c r="RQN36" s="72"/>
      <c r="RQU36" s="74"/>
      <c r="RQV36" s="72"/>
      <c r="RRC36" s="74"/>
      <c r="RRD36" s="72"/>
      <c r="RRK36" s="74"/>
      <c r="RRL36" s="72"/>
      <c r="RRS36" s="74"/>
      <c r="RRT36" s="72"/>
      <c r="RSA36" s="74"/>
      <c r="RSB36" s="72"/>
      <c r="RSI36" s="74"/>
      <c r="RSJ36" s="72"/>
      <c r="RSQ36" s="74"/>
      <c r="RSR36" s="72"/>
      <c r="RSY36" s="74"/>
      <c r="RSZ36" s="72"/>
      <c r="RTG36" s="74"/>
      <c r="RTH36" s="72"/>
      <c r="RTO36" s="74"/>
      <c r="RTP36" s="72"/>
      <c r="RTW36" s="74"/>
      <c r="RTX36" s="72"/>
      <c r="RUE36" s="74"/>
      <c r="RUF36" s="72"/>
      <c r="RUM36" s="74"/>
      <c r="RUN36" s="72"/>
      <c r="RUU36" s="74"/>
      <c r="RUV36" s="72"/>
      <c r="RVC36" s="74"/>
      <c r="RVD36" s="72"/>
      <c r="RVK36" s="74"/>
      <c r="RVL36" s="72"/>
      <c r="RVS36" s="74"/>
      <c r="RVT36" s="72"/>
      <c r="RWA36" s="74"/>
      <c r="RWB36" s="72"/>
      <c r="RWI36" s="74"/>
      <c r="RWJ36" s="72"/>
      <c r="RWQ36" s="74"/>
      <c r="RWR36" s="72"/>
      <c r="RWY36" s="74"/>
      <c r="RWZ36" s="72"/>
      <c r="RXG36" s="74"/>
      <c r="RXH36" s="72"/>
      <c r="RXO36" s="74"/>
      <c r="RXP36" s="72"/>
      <c r="RXW36" s="74"/>
      <c r="RXX36" s="72"/>
      <c r="RYE36" s="74"/>
      <c r="RYF36" s="72"/>
      <c r="RYM36" s="74"/>
      <c r="RYN36" s="72"/>
      <c r="RYU36" s="74"/>
      <c r="RYV36" s="72"/>
      <c r="RZC36" s="74"/>
      <c r="RZD36" s="72"/>
      <c r="RZK36" s="74"/>
      <c r="RZL36" s="72"/>
      <c r="RZS36" s="74"/>
      <c r="RZT36" s="72"/>
      <c r="SAA36" s="74"/>
      <c r="SAB36" s="72"/>
      <c r="SAI36" s="74"/>
      <c r="SAJ36" s="72"/>
      <c r="SAQ36" s="74"/>
      <c r="SAR36" s="72"/>
      <c r="SAY36" s="74"/>
      <c r="SAZ36" s="72"/>
      <c r="SBG36" s="74"/>
      <c r="SBH36" s="72"/>
      <c r="SBO36" s="74"/>
      <c r="SBP36" s="72"/>
      <c r="SBW36" s="74"/>
      <c r="SBX36" s="72"/>
      <c r="SCE36" s="74"/>
      <c r="SCF36" s="72"/>
      <c r="SCM36" s="74"/>
      <c r="SCN36" s="72"/>
      <c r="SCU36" s="74"/>
      <c r="SCV36" s="72"/>
      <c r="SDC36" s="74"/>
      <c r="SDD36" s="72"/>
      <c r="SDK36" s="74"/>
      <c r="SDL36" s="72"/>
      <c r="SDS36" s="74"/>
      <c r="SDT36" s="72"/>
      <c r="SEA36" s="74"/>
      <c r="SEB36" s="72"/>
      <c r="SEI36" s="74"/>
      <c r="SEJ36" s="72"/>
      <c r="SEQ36" s="74"/>
      <c r="SER36" s="72"/>
      <c r="SEY36" s="74"/>
      <c r="SEZ36" s="72"/>
      <c r="SFG36" s="74"/>
      <c r="SFH36" s="72"/>
      <c r="SFO36" s="74"/>
      <c r="SFP36" s="72"/>
      <c r="SFW36" s="74"/>
      <c r="SFX36" s="72"/>
      <c r="SGE36" s="74"/>
      <c r="SGF36" s="72"/>
      <c r="SGM36" s="74"/>
      <c r="SGN36" s="72"/>
      <c r="SGU36" s="74"/>
      <c r="SGV36" s="72"/>
      <c r="SHC36" s="74"/>
      <c r="SHD36" s="72"/>
      <c r="SHK36" s="74"/>
      <c r="SHL36" s="72"/>
      <c r="SHS36" s="74"/>
      <c r="SHT36" s="72"/>
      <c r="SIA36" s="74"/>
      <c r="SIB36" s="72"/>
      <c r="SII36" s="74"/>
      <c r="SIJ36" s="72"/>
      <c r="SIQ36" s="74"/>
      <c r="SIR36" s="72"/>
      <c r="SIY36" s="74"/>
      <c r="SIZ36" s="72"/>
      <c r="SJG36" s="74"/>
      <c r="SJH36" s="72"/>
      <c r="SJO36" s="74"/>
      <c r="SJP36" s="72"/>
      <c r="SJW36" s="74"/>
      <c r="SJX36" s="72"/>
      <c r="SKE36" s="74"/>
      <c r="SKF36" s="72"/>
      <c r="SKM36" s="74"/>
      <c r="SKN36" s="72"/>
      <c r="SKU36" s="74"/>
      <c r="SKV36" s="72"/>
      <c r="SLC36" s="74"/>
      <c r="SLD36" s="72"/>
      <c r="SLK36" s="74"/>
      <c r="SLL36" s="72"/>
      <c r="SLS36" s="74"/>
      <c r="SLT36" s="72"/>
      <c r="SMA36" s="74"/>
      <c r="SMB36" s="72"/>
      <c r="SMI36" s="74"/>
      <c r="SMJ36" s="72"/>
      <c r="SMQ36" s="74"/>
      <c r="SMR36" s="72"/>
      <c r="SMY36" s="74"/>
      <c r="SMZ36" s="72"/>
      <c r="SNG36" s="74"/>
      <c r="SNH36" s="72"/>
      <c r="SNO36" s="74"/>
      <c r="SNP36" s="72"/>
      <c r="SNW36" s="74"/>
      <c r="SNX36" s="72"/>
      <c r="SOE36" s="74"/>
      <c r="SOF36" s="72"/>
      <c r="SOM36" s="74"/>
      <c r="SON36" s="72"/>
      <c r="SOU36" s="74"/>
      <c r="SOV36" s="72"/>
      <c r="SPC36" s="74"/>
      <c r="SPD36" s="72"/>
      <c r="SPK36" s="74"/>
      <c r="SPL36" s="72"/>
      <c r="SPS36" s="74"/>
      <c r="SPT36" s="72"/>
      <c r="SQA36" s="74"/>
      <c r="SQB36" s="72"/>
      <c r="SQI36" s="74"/>
      <c r="SQJ36" s="72"/>
      <c r="SQQ36" s="74"/>
      <c r="SQR36" s="72"/>
      <c r="SQY36" s="74"/>
      <c r="SQZ36" s="72"/>
      <c r="SRG36" s="74"/>
      <c r="SRH36" s="72"/>
      <c r="SRO36" s="74"/>
      <c r="SRP36" s="72"/>
      <c r="SRW36" s="74"/>
      <c r="SRX36" s="72"/>
      <c r="SSE36" s="74"/>
      <c r="SSF36" s="72"/>
      <c r="SSM36" s="74"/>
      <c r="SSN36" s="72"/>
      <c r="SSU36" s="74"/>
      <c r="SSV36" s="72"/>
      <c r="STC36" s="74"/>
      <c r="STD36" s="72"/>
      <c r="STK36" s="74"/>
      <c r="STL36" s="72"/>
      <c r="STS36" s="74"/>
      <c r="STT36" s="72"/>
      <c r="SUA36" s="74"/>
      <c r="SUB36" s="72"/>
      <c r="SUI36" s="74"/>
      <c r="SUJ36" s="72"/>
      <c r="SUQ36" s="74"/>
      <c r="SUR36" s="72"/>
      <c r="SUY36" s="74"/>
      <c r="SUZ36" s="72"/>
      <c r="SVG36" s="74"/>
      <c r="SVH36" s="72"/>
      <c r="SVO36" s="74"/>
      <c r="SVP36" s="72"/>
      <c r="SVW36" s="74"/>
      <c r="SVX36" s="72"/>
      <c r="SWE36" s="74"/>
      <c r="SWF36" s="72"/>
      <c r="SWM36" s="74"/>
      <c r="SWN36" s="72"/>
      <c r="SWU36" s="74"/>
      <c r="SWV36" s="72"/>
      <c r="SXC36" s="74"/>
      <c r="SXD36" s="72"/>
      <c r="SXK36" s="74"/>
      <c r="SXL36" s="72"/>
      <c r="SXS36" s="74"/>
      <c r="SXT36" s="72"/>
      <c r="SYA36" s="74"/>
      <c r="SYB36" s="72"/>
      <c r="SYI36" s="74"/>
      <c r="SYJ36" s="72"/>
      <c r="SYQ36" s="74"/>
      <c r="SYR36" s="72"/>
      <c r="SYY36" s="74"/>
      <c r="SYZ36" s="72"/>
      <c r="SZG36" s="74"/>
      <c r="SZH36" s="72"/>
      <c r="SZO36" s="74"/>
      <c r="SZP36" s="72"/>
      <c r="SZW36" s="74"/>
      <c r="SZX36" s="72"/>
      <c r="TAE36" s="74"/>
      <c r="TAF36" s="72"/>
      <c r="TAM36" s="74"/>
      <c r="TAN36" s="72"/>
      <c r="TAU36" s="74"/>
      <c r="TAV36" s="72"/>
      <c r="TBC36" s="74"/>
      <c r="TBD36" s="72"/>
      <c r="TBK36" s="74"/>
      <c r="TBL36" s="72"/>
      <c r="TBS36" s="74"/>
      <c r="TBT36" s="72"/>
      <c r="TCA36" s="74"/>
      <c r="TCB36" s="72"/>
      <c r="TCI36" s="74"/>
      <c r="TCJ36" s="72"/>
      <c r="TCQ36" s="74"/>
      <c r="TCR36" s="72"/>
      <c r="TCY36" s="74"/>
      <c r="TCZ36" s="72"/>
      <c r="TDG36" s="74"/>
      <c r="TDH36" s="72"/>
      <c r="TDO36" s="74"/>
      <c r="TDP36" s="72"/>
      <c r="TDW36" s="74"/>
      <c r="TDX36" s="72"/>
      <c r="TEE36" s="74"/>
      <c r="TEF36" s="72"/>
      <c r="TEM36" s="74"/>
      <c r="TEN36" s="72"/>
      <c r="TEU36" s="74"/>
      <c r="TEV36" s="72"/>
      <c r="TFC36" s="74"/>
      <c r="TFD36" s="72"/>
      <c r="TFK36" s="74"/>
      <c r="TFL36" s="72"/>
      <c r="TFS36" s="74"/>
      <c r="TFT36" s="72"/>
      <c r="TGA36" s="74"/>
      <c r="TGB36" s="72"/>
      <c r="TGI36" s="74"/>
      <c r="TGJ36" s="72"/>
      <c r="TGQ36" s="74"/>
      <c r="TGR36" s="72"/>
      <c r="TGY36" s="74"/>
      <c r="TGZ36" s="72"/>
      <c r="THG36" s="74"/>
      <c r="THH36" s="72"/>
      <c r="THO36" s="74"/>
      <c r="THP36" s="72"/>
      <c r="THW36" s="74"/>
      <c r="THX36" s="72"/>
      <c r="TIE36" s="74"/>
      <c r="TIF36" s="72"/>
      <c r="TIM36" s="74"/>
      <c r="TIN36" s="72"/>
      <c r="TIU36" s="74"/>
      <c r="TIV36" s="72"/>
      <c r="TJC36" s="74"/>
      <c r="TJD36" s="72"/>
      <c r="TJK36" s="74"/>
      <c r="TJL36" s="72"/>
      <c r="TJS36" s="74"/>
      <c r="TJT36" s="72"/>
      <c r="TKA36" s="74"/>
      <c r="TKB36" s="72"/>
      <c r="TKI36" s="74"/>
      <c r="TKJ36" s="72"/>
      <c r="TKQ36" s="74"/>
      <c r="TKR36" s="72"/>
      <c r="TKY36" s="74"/>
      <c r="TKZ36" s="72"/>
      <c r="TLG36" s="74"/>
      <c r="TLH36" s="72"/>
      <c r="TLO36" s="74"/>
      <c r="TLP36" s="72"/>
      <c r="TLW36" s="74"/>
      <c r="TLX36" s="72"/>
      <c r="TME36" s="74"/>
      <c r="TMF36" s="72"/>
      <c r="TMM36" s="74"/>
      <c r="TMN36" s="72"/>
      <c r="TMU36" s="74"/>
      <c r="TMV36" s="72"/>
      <c r="TNC36" s="74"/>
      <c r="TND36" s="72"/>
      <c r="TNK36" s="74"/>
      <c r="TNL36" s="72"/>
      <c r="TNS36" s="74"/>
      <c r="TNT36" s="72"/>
      <c r="TOA36" s="74"/>
      <c r="TOB36" s="72"/>
      <c r="TOI36" s="74"/>
      <c r="TOJ36" s="72"/>
      <c r="TOQ36" s="74"/>
      <c r="TOR36" s="72"/>
      <c r="TOY36" s="74"/>
      <c r="TOZ36" s="72"/>
      <c r="TPG36" s="74"/>
      <c r="TPH36" s="72"/>
      <c r="TPO36" s="74"/>
      <c r="TPP36" s="72"/>
      <c r="TPW36" s="74"/>
      <c r="TPX36" s="72"/>
      <c r="TQE36" s="74"/>
      <c r="TQF36" s="72"/>
      <c r="TQM36" s="74"/>
      <c r="TQN36" s="72"/>
      <c r="TQU36" s="74"/>
      <c r="TQV36" s="72"/>
      <c r="TRC36" s="74"/>
      <c r="TRD36" s="72"/>
      <c r="TRK36" s="74"/>
      <c r="TRL36" s="72"/>
      <c r="TRS36" s="74"/>
      <c r="TRT36" s="72"/>
      <c r="TSA36" s="74"/>
      <c r="TSB36" s="72"/>
      <c r="TSI36" s="74"/>
      <c r="TSJ36" s="72"/>
      <c r="TSQ36" s="74"/>
      <c r="TSR36" s="72"/>
      <c r="TSY36" s="74"/>
      <c r="TSZ36" s="72"/>
      <c r="TTG36" s="74"/>
      <c r="TTH36" s="72"/>
      <c r="TTO36" s="74"/>
      <c r="TTP36" s="72"/>
      <c r="TTW36" s="74"/>
      <c r="TTX36" s="72"/>
      <c r="TUE36" s="74"/>
      <c r="TUF36" s="72"/>
      <c r="TUM36" s="74"/>
      <c r="TUN36" s="72"/>
      <c r="TUU36" s="74"/>
      <c r="TUV36" s="72"/>
      <c r="TVC36" s="74"/>
      <c r="TVD36" s="72"/>
      <c r="TVK36" s="74"/>
      <c r="TVL36" s="72"/>
      <c r="TVS36" s="74"/>
      <c r="TVT36" s="72"/>
      <c r="TWA36" s="74"/>
      <c r="TWB36" s="72"/>
      <c r="TWI36" s="74"/>
      <c r="TWJ36" s="72"/>
      <c r="TWQ36" s="74"/>
      <c r="TWR36" s="72"/>
      <c r="TWY36" s="74"/>
      <c r="TWZ36" s="72"/>
      <c r="TXG36" s="74"/>
      <c r="TXH36" s="72"/>
      <c r="TXO36" s="74"/>
      <c r="TXP36" s="72"/>
      <c r="TXW36" s="74"/>
      <c r="TXX36" s="72"/>
      <c r="TYE36" s="74"/>
      <c r="TYF36" s="72"/>
      <c r="TYM36" s="74"/>
      <c r="TYN36" s="72"/>
      <c r="TYU36" s="74"/>
      <c r="TYV36" s="72"/>
      <c r="TZC36" s="74"/>
      <c r="TZD36" s="72"/>
      <c r="TZK36" s="74"/>
      <c r="TZL36" s="72"/>
      <c r="TZS36" s="74"/>
      <c r="TZT36" s="72"/>
      <c r="UAA36" s="74"/>
      <c r="UAB36" s="72"/>
      <c r="UAI36" s="74"/>
      <c r="UAJ36" s="72"/>
      <c r="UAQ36" s="74"/>
      <c r="UAR36" s="72"/>
      <c r="UAY36" s="74"/>
      <c r="UAZ36" s="72"/>
      <c r="UBG36" s="74"/>
      <c r="UBH36" s="72"/>
      <c r="UBO36" s="74"/>
      <c r="UBP36" s="72"/>
      <c r="UBW36" s="74"/>
      <c r="UBX36" s="72"/>
      <c r="UCE36" s="74"/>
      <c r="UCF36" s="72"/>
      <c r="UCM36" s="74"/>
      <c r="UCN36" s="72"/>
      <c r="UCU36" s="74"/>
      <c r="UCV36" s="72"/>
      <c r="UDC36" s="74"/>
      <c r="UDD36" s="72"/>
      <c r="UDK36" s="74"/>
      <c r="UDL36" s="72"/>
      <c r="UDS36" s="74"/>
      <c r="UDT36" s="72"/>
      <c r="UEA36" s="74"/>
      <c r="UEB36" s="72"/>
      <c r="UEI36" s="74"/>
      <c r="UEJ36" s="72"/>
      <c r="UEQ36" s="74"/>
      <c r="UER36" s="72"/>
      <c r="UEY36" s="74"/>
      <c r="UEZ36" s="72"/>
      <c r="UFG36" s="74"/>
      <c r="UFH36" s="72"/>
      <c r="UFO36" s="74"/>
      <c r="UFP36" s="72"/>
      <c r="UFW36" s="74"/>
      <c r="UFX36" s="72"/>
      <c r="UGE36" s="74"/>
      <c r="UGF36" s="72"/>
      <c r="UGM36" s="74"/>
      <c r="UGN36" s="72"/>
      <c r="UGU36" s="74"/>
      <c r="UGV36" s="72"/>
      <c r="UHC36" s="74"/>
      <c r="UHD36" s="72"/>
      <c r="UHK36" s="74"/>
      <c r="UHL36" s="72"/>
      <c r="UHS36" s="74"/>
      <c r="UHT36" s="72"/>
      <c r="UIA36" s="74"/>
      <c r="UIB36" s="72"/>
      <c r="UII36" s="74"/>
      <c r="UIJ36" s="72"/>
      <c r="UIQ36" s="74"/>
      <c r="UIR36" s="72"/>
      <c r="UIY36" s="74"/>
      <c r="UIZ36" s="72"/>
      <c r="UJG36" s="74"/>
      <c r="UJH36" s="72"/>
      <c r="UJO36" s="74"/>
      <c r="UJP36" s="72"/>
      <c r="UJW36" s="74"/>
      <c r="UJX36" s="72"/>
      <c r="UKE36" s="74"/>
      <c r="UKF36" s="72"/>
      <c r="UKM36" s="74"/>
      <c r="UKN36" s="72"/>
      <c r="UKU36" s="74"/>
      <c r="UKV36" s="72"/>
      <c r="ULC36" s="74"/>
      <c r="ULD36" s="72"/>
      <c r="ULK36" s="74"/>
      <c r="ULL36" s="72"/>
      <c r="ULS36" s="74"/>
      <c r="ULT36" s="72"/>
      <c r="UMA36" s="74"/>
      <c r="UMB36" s="72"/>
      <c r="UMI36" s="74"/>
      <c r="UMJ36" s="72"/>
      <c r="UMQ36" s="74"/>
      <c r="UMR36" s="72"/>
      <c r="UMY36" s="74"/>
      <c r="UMZ36" s="72"/>
      <c r="UNG36" s="74"/>
      <c r="UNH36" s="72"/>
      <c r="UNO36" s="74"/>
      <c r="UNP36" s="72"/>
      <c r="UNW36" s="74"/>
      <c r="UNX36" s="72"/>
      <c r="UOE36" s="74"/>
      <c r="UOF36" s="72"/>
      <c r="UOM36" s="74"/>
      <c r="UON36" s="72"/>
      <c r="UOU36" s="74"/>
      <c r="UOV36" s="72"/>
      <c r="UPC36" s="74"/>
      <c r="UPD36" s="72"/>
      <c r="UPK36" s="74"/>
      <c r="UPL36" s="72"/>
      <c r="UPS36" s="74"/>
      <c r="UPT36" s="72"/>
      <c r="UQA36" s="74"/>
      <c r="UQB36" s="72"/>
      <c r="UQI36" s="74"/>
      <c r="UQJ36" s="72"/>
      <c r="UQQ36" s="74"/>
      <c r="UQR36" s="72"/>
      <c r="UQY36" s="74"/>
      <c r="UQZ36" s="72"/>
      <c r="URG36" s="74"/>
      <c r="URH36" s="72"/>
      <c r="URO36" s="74"/>
      <c r="URP36" s="72"/>
      <c r="URW36" s="74"/>
      <c r="URX36" s="72"/>
      <c r="USE36" s="74"/>
      <c r="USF36" s="72"/>
      <c r="USM36" s="74"/>
      <c r="USN36" s="72"/>
      <c r="USU36" s="74"/>
      <c r="USV36" s="72"/>
      <c r="UTC36" s="74"/>
      <c r="UTD36" s="72"/>
      <c r="UTK36" s="74"/>
      <c r="UTL36" s="72"/>
      <c r="UTS36" s="74"/>
      <c r="UTT36" s="72"/>
      <c r="UUA36" s="74"/>
      <c r="UUB36" s="72"/>
      <c r="UUI36" s="74"/>
      <c r="UUJ36" s="72"/>
      <c r="UUQ36" s="74"/>
      <c r="UUR36" s="72"/>
      <c r="UUY36" s="74"/>
      <c r="UUZ36" s="72"/>
      <c r="UVG36" s="74"/>
      <c r="UVH36" s="72"/>
      <c r="UVO36" s="74"/>
      <c r="UVP36" s="72"/>
      <c r="UVW36" s="74"/>
      <c r="UVX36" s="72"/>
      <c r="UWE36" s="74"/>
      <c r="UWF36" s="72"/>
      <c r="UWM36" s="74"/>
      <c r="UWN36" s="72"/>
      <c r="UWU36" s="74"/>
      <c r="UWV36" s="72"/>
      <c r="UXC36" s="74"/>
      <c r="UXD36" s="72"/>
      <c r="UXK36" s="74"/>
      <c r="UXL36" s="72"/>
      <c r="UXS36" s="74"/>
      <c r="UXT36" s="72"/>
      <c r="UYA36" s="74"/>
      <c r="UYB36" s="72"/>
      <c r="UYI36" s="74"/>
      <c r="UYJ36" s="72"/>
      <c r="UYQ36" s="74"/>
      <c r="UYR36" s="72"/>
      <c r="UYY36" s="74"/>
      <c r="UYZ36" s="72"/>
      <c r="UZG36" s="74"/>
      <c r="UZH36" s="72"/>
      <c r="UZO36" s="74"/>
      <c r="UZP36" s="72"/>
      <c r="UZW36" s="74"/>
      <c r="UZX36" s="72"/>
      <c r="VAE36" s="74"/>
      <c r="VAF36" s="72"/>
      <c r="VAM36" s="74"/>
      <c r="VAN36" s="72"/>
      <c r="VAU36" s="74"/>
      <c r="VAV36" s="72"/>
      <c r="VBC36" s="74"/>
      <c r="VBD36" s="72"/>
      <c r="VBK36" s="74"/>
      <c r="VBL36" s="72"/>
      <c r="VBS36" s="74"/>
      <c r="VBT36" s="72"/>
      <c r="VCA36" s="74"/>
      <c r="VCB36" s="72"/>
      <c r="VCI36" s="74"/>
      <c r="VCJ36" s="72"/>
      <c r="VCQ36" s="74"/>
      <c r="VCR36" s="72"/>
      <c r="VCY36" s="74"/>
      <c r="VCZ36" s="72"/>
      <c r="VDG36" s="74"/>
      <c r="VDH36" s="72"/>
      <c r="VDO36" s="74"/>
      <c r="VDP36" s="72"/>
      <c r="VDW36" s="74"/>
      <c r="VDX36" s="72"/>
      <c r="VEE36" s="74"/>
      <c r="VEF36" s="72"/>
      <c r="VEM36" s="74"/>
      <c r="VEN36" s="72"/>
      <c r="VEU36" s="74"/>
      <c r="VEV36" s="72"/>
      <c r="VFC36" s="74"/>
      <c r="VFD36" s="72"/>
      <c r="VFK36" s="74"/>
      <c r="VFL36" s="72"/>
      <c r="VFS36" s="74"/>
      <c r="VFT36" s="72"/>
      <c r="VGA36" s="74"/>
      <c r="VGB36" s="72"/>
      <c r="VGI36" s="74"/>
      <c r="VGJ36" s="72"/>
      <c r="VGQ36" s="74"/>
      <c r="VGR36" s="72"/>
      <c r="VGY36" s="74"/>
      <c r="VGZ36" s="72"/>
      <c r="VHG36" s="74"/>
      <c r="VHH36" s="72"/>
      <c r="VHO36" s="74"/>
      <c r="VHP36" s="72"/>
      <c r="VHW36" s="74"/>
      <c r="VHX36" s="72"/>
      <c r="VIE36" s="74"/>
      <c r="VIF36" s="72"/>
      <c r="VIM36" s="74"/>
      <c r="VIN36" s="72"/>
      <c r="VIU36" s="74"/>
      <c r="VIV36" s="72"/>
      <c r="VJC36" s="74"/>
      <c r="VJD36" s="72"/>
      <c r="VJK36" s="74"/>
      <c r="VJL36" s="72"/>
      <c r="VJS36" s="74"/>
      <c r="VJT36" s="72"/>
      <c r="VKA36" s="74"/>
      <c r="VKB36" s="72"/>
      <c r="VKI36" s="74"/>
      <c r="VKJ36" s="72"/>
      <c r="VKQ36" s="74"/>
      <c r="VKR36" s="72"/>
      <c r="VKY36" s="74"/>
      <c r="VKZ36" s="72"/>
      <c r="VLG36" s="74"/>
      <c r="VLH36" s="72"/>
      <c r="VLO36" s="74"/>
      <c r="VLP36" s="72"/>
      <c r="VLW36" s="74"/>
      <c r="VLX36" s="72"/>
      <c r="VME36" s="74"/>
      <c r="VMF36" s="72"/>
      <c r="VMM36" s="74"/>
      <c r="VMN36" s="72"/>
      <c r="VMU36" s="74"/>
      <c r="VMV36" s="72"/>
      <c r="VNC36" s="74"/>
      <c r="VND36" s="72"/>
      <c r="VNK36" s="74"/>
      <c r="VNL36" s="72"/>
      <c r="VNS36" s="74"/>
      <c r="VNT36" s="72"/>
      <c r="VOA36" s="74"/>
      <c r="VOB36" s="72"/>
      <c r="VOI36" s="74"/>
      <c r="VOJ36" s="72"/>
      <c r="VOQ36" s="74"/>
      <c r="VOR36" s="72"/>
      <c r="VOY36" s="74"/>
      <c r="VOZ36" s="72"/>
      <c r="VPG36" s="74"/>
      <c r="VPH36" s="72"/>
      <c r="VPO36" s="74"/>
      <c r="VPP36" s="72"/>
      <c r="VPW36" s="74"/>
      <c r="VPX36" s="72"/>
      <c r="VQE36" s="74"/>
      <c r="VQF36" s="72"/>
      <c r="VQM36" s="74"/>
      <c r="VQN36" s="72"/>
      <c r="VQU36" s="74"/>
      <c r="VQV36" s="72"/>
      <c r="VRC36" s="74"/>
      <c r="VRD36" s="72"/>
      <c r="VRK36" s="74"/>
      <c r="VRL36" s="72"/>
      <c r="VRS36" s="74"/>
      <c r="VRT36" s="72"/>
      <c r="VSA36" s="74"/>
      <c r="VSB36" s="72"/>
      <c r="VSI36" s="74"/>
      <c r="VSJ36" s="72"/>
      <c r="VSQ36" s="74"/>
      <c r="VSR36" s="72"/>
      <c r="VSY36" s="74"/>
      <c r="VSZ36" s="72"/>
      <c r="VTG36" s="74"/>
      <c r="VTH36" s="72"/>
      <c r="VTO36" s="74"/>
      <c r="VTP36" s="72"/>
      <c r="VTW36" s="74"/>
      <c r="VTX36" s="72"/>
      <c r="VUE36" s="74"/>
      <c r="VUF36" s="72"/>
      <c r="VUM36" s="74"/>
      <c r="VUN36" s="72"/>
      <c r="VUU36" s="74"/>
      <c r="VUV36" s="72"/>
      <c r="VVC36" s="74"/>
      <c r="VVD36" s="72"/>
      <c r="VVK36" s="74"/>
      <c r="VVL36" s="72"/>
      <c r="VVS36" s="74"/>
      <c r="VVT36" s="72"/>
      <c r="VWA36" s="74"/>
      <c r="VWB36" s="72"/>
      <c r="VWI36" s="74"/>
      <c r="VWJ36" s="72"/>
      <c r="VWQ36" s="74"/>
      <c r="VWR36" s="72"/>
      <c r="VWY36" s="74"/>
      <c r="VWZ36" s="72"/>
      <c r="VXG36" s="74"/>
      <c r="VXH36" s="72"/>
      <c r="VXO36" s="74"/>
      <c r="VXP36" s="72"/>
      <c r="VXW36" s="74"/>
      <c r="VXX36" s="72"/>
      <c r="VYE36" s="74"/>
      <c r="VYF36" s="72"/>
      <c r="VYM36" s="74"/>
      <c r="VYN36" s="72"/>
      <c r="VYU36" s="74"/>
      <c r="VYV36" s="72"/>
      <c r="VZC36" s="74"/>
      <c r="VZD36" s="72"/>
      <c r="VZK36" s="74"/>
      <c r="VZL36" s="72"/>
      <c r="VZS36" s="74"/>
      <c r="VZT36" s="72"/>
      <c r="WAA36" s="74"/>
      <c r="WAB36" s="72"/>
      <c r="WAI36" s="74"/>
      <c r="WAJ36" s="72"/>
      <c r="WAQ36" s="74"/>
      <c r="WAR36" s="72"/>
      <c r="WAY36" s="74"/>
      <c r="WAZ36" s="72"/>
      <c r="WBG36" s="74"/>
      <c r="WBH36" s="72"/>
      <c r="WBO36" s="74"/>
      <c r="WBP36" s="72"/>
      <c r="WBW36" s="74"/>
      <c r="WBX36" s="72"/>
      <c r="WCE36" s="74"/>
      <c r="WCF36" s="72"/>
      <c r="WCM36" s="74"/>
      <c r="WCN36" s="72"/>
      <c r="WCU36" s="74"/>
      <c r="WCV36" s="72"/>
      <c r="WDC36" s="74"/>
      <c r="WDD36" s="72"/>
      <c r="WDK36" s="74"/>
      <c r="WDL36" s="72"/>
      <c r="WDS36" s="74"/>
      <c r="WDT36" s="72"/>
      <c r="WEA36" s="74"/>
      <c r="WEB36" s="72"/>
      <c r="WEI36" s="74"/>
      <c r="WEJ36" s="72"/>
      <c r="WEQ36" s="74"/>
      <c r="WER36" s="72"/>
      <c r="WEY36" s="74"/>
      <c r="WEZ36" s="72"/>
      <c r="WFG36" s="74"/>
      <c r="WFH36" s="72"/>
      <c r="WFO36" s="74"/>
      <c r="WFP36" s="72"/>
      <c r="WFW36" s="74"/>
      <c r="WFX36" s="72"/>
      <c r="WGE36" s="74"/>
      <c r="WGF36" s="72"/>
      <c r="WGM36" s="74"/>
      <c r="WGN36" s="72"/>
      <c r="WGU36" s="74"/>
      <c r="WGV36" s="72"/>
      <c r="WHC36" s="74"/>
      <c r="WHD36" s="72"/>
      <c r="WHK36" s="74"/>
      <c r="WHL36" s="72"/>
      <c r="WHS36" s="74"/>
      <c r="WHT36" s="72"/>
      <c r="WIA36" s="74"/>
      <c r="WIB36" s="72"/>
      <c r="WII36" s="74"/>
      <c r="WIJ36" s="72"/>
      <c r="WIQ36" s="74"/>
      <c r="WIR36" s="72"/>
      <c r="WIY36" s="74"/>
      <c r="WIZ36" s="72"/>
      <c r="WJG36" s="74"/>
      <c r="WJH36" s="72"/>
      <c r="WJO36" s="74"/>
      <c r="WJP36" s="72"/>
      <c r="WJW36" s="74"/>
      <c r="WJX36" s="72"/>
      <c r="WKE36" s="74"/>
      <c r="WKF36" s="72"/>
      <c r="WKM36" s="74"/>
      <c r="WKN36" s="72"/>
      <c r="WKU36" s="74"/>
      <c r="WKV36" s="72"/>
      <c r="WLC36" s="74"/>
      <c r="WLD36" s="72"/>
      <c r="WLK36" s="74"/>
      <c r="WLL36" s="72"/>
      <c r="WLS36" s="74"/>
      <c r="WLT36" s="72"/>
      <c r="WMA36" s="74"/>
      <c r="WMB36" s="72"/>
      <c r="WMI36" s="74"/>
      <c r="WMJ36" s="72"/>
      <c r="WMQ36" s="74"/>
      <c r="WMR36" s="72"/>
      <c r="WMY36" s="74"/>
      <c r="WMZ36" s="72"/>
      <c r="WNG36" s="74"/>
      <c r="WNH36" s="72"/>
      <c r="WNO36" s="74"/>
      <c r="WNP36" s="72"/>
      <c r="WNW36" s="74"/>
      <c r="WNX36" s="72"/>
      <c r="WOE36" s="74"/>
      <c r="WOF36" s="72"/>
      <c r="WOM36" s="74"/>
      <c r="WON36" s="72"/>
      <c r="WOU36" s="74"/>
      <c r="WOV36" s="72"/>
      <c r="WPC36" s="74"/>
      <c r="WPD36" s="72"/>
      <c r="WPK36" s="74"/>
      <c r="WPL36" s="72"/>
      <c r="WPS36" s="74"/>
      <c r="WPT36" s="72"/>
      <c r="WQA36" s="74"/>
      <c r="WQB36" s="72"/>
      <c r="WQI36" s="74"/>
      <c r="WQJ36" s="72"/>
      <c r="WQQ36" s="74"/>
      <c r="WQR36" s="72"/>
      <c r="WQY36" s="74"/>
      <c r="WQZ36" s="72"/>
      <c r="WRG36" s="74"/>
      <c r="WRH36" s="72"/>
      <c r="WRO36" s="74"/>
      <c r="WRP36" s="72"/>
      <c r="WRW36" s="74"/>
      <c r="WRX36" s="72"/>
      <c r="WSE36" s="74"/>
      <c r="WSF36" s="72"/>
      <c r="WSM36" s="74"/>
      <c r="WSN36" s="72"/>
      <c r="WSU36" s="74"/>
      <c r="WSV36" s="72"/>
      <c r="WTC36" s="74"/>
      <c r="WTD36" s="72"/>
      <c r="WTK36" s="74"/>
      <c r="WTL36" s="72"/>
      <c r="WTS36" s="74"/>
      <c r="WTT36" s="72"/>
      <c r="WUA36" s="74"/>
      <c r="WUB36" s="72"/>
      <c r="WUI36" s="74"/>
      <c r="WUJ36" s="72"/>
      <c r="WUQ36" s="74"/>
      <c r="WUR36" s="72"/>
      <c r="WUY36" s="74"/>
      <c r="WUZ36" s="72"/>
      <c r="WVG36" s="74"/>
      <c r="WVH36" s="72"/>
      <c r="WVO36" s="74"/>
      <c r="WVP36" s="72"/>
      <c r="WVW36" s="74"/>
      <c r="WVX36" s="72"/>
      <c r="WWE36" s="74"/>
      <c r="WWF36" s="72"/>
      <c r="WWM36" s="74"/>
      <c r="WWN36" s="72"/>
      <c r="WWU36" s="74"/>
      <c r="WWV36" s="72"/>
      <c r="WXC36" s="74"/>
      <c r="WXD36" s="72"/>
      <c r="WXK36" s="74"/>
      <c r="WXL36" s="72"/>
      <c r="WXS36" s="74"/>
      <c r="WXT36" s="72"/>
      <c r="WYA36" s="74"/>
      <c r="WYB36" s="72"/>
      <c r="WYI36" s="74"/>
      <c r="WYJ36" s="72"/>
      <c r="WYQ36" s="74"/>
      <c r="WYR36" s="72"/>
      <c r="WYY36" s="74"/>
      <c r="WYZ36" s="72"/>
      <c r="WZG36" s="74"/>
      <c r="WZH36" s="72"/>
      <c r="WZO36" s="74"/>
      <c r="WZP36" s="72"/>
      <c r="WZW36" s="74"/>
      <c r="WZX36" s="72"/>
      <c r="XAE36" s="74"/>
      <c r="XAF36" s="72"/>
      <c r="XAM36" s="74"/>
      <c r="XAN36" s="72"/>
      <c r="XAU36" s="74"/>
      <c r="XAV36" s="72"/>
      <c r="XBC36" s="74"/>
      <c r="XBD36" s="72"/>
      <c r="XBK36" s="74"/>
      <c r="XBL36" s="72"/>
      <c r="XBS36" s="74"/>
      <c r="XBT36" s="72"/>
      <c r="XCA36" s="74"/>
      <c r="XCB36" s="72"/>
      <c r="XCI36" s="74"/>
      <c r="XCJ36" s="72"/>
      <c r="XCQ36" s="74"/>
      <c r="XCR36" s="72"/>
      <c r="XCY36" s="74"/>
      <c r="XCZ36" s="72"/>
      <c r="XDG36" s="74"/>
      <c r="XDH36" s="72"/>
      <c r="XDO36" s="74"/>
      <c r="XDP36" s="72"/>
      <c r="XDW36" s="74"/>
      <c r="XDX36" s="72"/>
      <c r="XEE36" s="74"/>
      <c r="XEF36" s="72"/>
      <c r="XEM36" s="74"/>
      <c r="XEN36" s="72"/>
      <c r="XEU36" s="74"/>
      <c r="XEV36" s="72"/>
      <c r="XFC36" s="74"/>
      <c r="XFD36" s="72"/>
    </row>
    <row r="37" spans="1:1024 1031:2048 2055:3072 3079:4096 4103:5120 5127:6144 6151:7168 7175:8192 8199:9216 9223:10240 10247:11264 11271:12288 12295:13312 13319:14336 14343:15360 15367:16384" ht="15" customHeight="1" thickBot="1">
      <c r="B37" s="59" t="s">
        <v>240</v>
      </c>
      <c r="C37" s="176">
        <f t="shared" ref="C37:N37" si="23">SUM(C38:C39)</f>
        <v>1414</v>
      </c>
      <c r="D37" s="155">
        <f>SUM(E37:H37)</f>
        <v>6096.5763999999999</v>
      </c>
      <c r="E37" s="176">
        <f t="shared" si="23"/>
        <v>1926</v>
      </c>
      <c r="F37" s="176">
        <f t="shared" si="23"/>
        <v>1483</v>
      </c>
      <c r="G37" s="176">
        <f t="shared" si="23"/>
        <v>1534.5763999999999</v>
      </c>
      <c r="H37" s="176">
        <f t="shared" si="23"/>
        <v>1153</v>
      </c>
      <c r="I37" s="176">
        <f t="shared" si="23"/>
        <v>5028.1000000000004</v>
      </c>
      <c r="J37" s="176">
        <f t="shared" si="23"/>
        <v>1312</v>
      </c>
      <c r="K37" s="176">
        <f t="shared" si="23"/>
        <v>1494.5</v>
      </c>
      <c r="L37" s="176">
        <f t="shared" si="23"/>
        <v>1593.5</v>
      </c>
      <c r="M37" s="176">
        <f t="shared" si="23"/>
        <v>627.1</v>
      </c>
      <c r="N37" s="155">
        <f t="shared" si="23"/>
        <v>4811.3302003999997</v>
      </c>
      <c r="O37" s="155">
        <f t="shared" ref="O37:AA37" si="24">SUM(O38:O39)</f>
        <v>956.88400000000001</v>
      </c>
      <c r="P37" s="155">
        <f t="shared" si="24"/>
        <v>1216.5260799999999</v>
      </c>
      <c r="Q37" s="155">
        <f t="shared" si="24"/>
        <v>1579.5059604</v>
      </c>
      <c r="R37" s="155">
        <f t="shared" si="24"/>
        <v>1058.41416</v>
      </c>
      <c r="S37" s="155">
        <f t="shared" si="24"/>
        <v>4281.8838399999986</v>
      </c>
      <c r="T37" s="155">
        <f>SUM(T38:T39)</f>
        <v>994.83075999999994</v>
      </c>
      <c r="U37" s="155">
        <f t="shared" si="24"/>
        <v>949.94983999999988</v>
      </c>
      <c r="V37" s="155">
        <f t="shared" si="24"/>
        <v>1421.6562399999998</v>
      </c>
      <c r="W37" s="155">
        <f t="shared" si="24"/>
        <v>915.44699999999989</v>
      </c>
      <c r="X37" s="155">
        <f t="shared" si="24"/>
        <v>3764</v>
      </c>
      <c r="Y37" s="155">
        <f t="shared" si="24"/>
        <v>1624</v>
      </c>
      <c r="Z37" s="155">
        <f t="shared" si="24"/>
        <v>2140</v>
      </c>
      <c r="AA37" s="155">
        <f t="shared" si="24"/>
        <v>3248</v>
      </c>
      <c r="AC37" s="179">
        <f t="shared" ref="AC37:AC46" si="25">X37-Y37-Z37</f>
        <v>0</v>
      </c>
      <c r="AD37" s="179">
        <f t="shared" ref="AD37:AD46" si="26">W37+V37+U37+T37-S37</f>
        <v>0</v>
      </c>
      <c r="AF37" s="156"/>
      <c r="AG37" s="156"/>
    </row>
    <row r="38" spans="1:1024 1031:2048 2055:3072 3079:4096 4103:5120 5127:6144 6151:7168 7175:8192 8199:9216 9223:10240 10247:11264 11271:12288 12295:13312 13319:14336 14343:15360 15367:16384" ht="15" customHeight="1" thickBot="1">
      <c r="B38" s="59" t="s">
        <v>241</v>
      </c>
      <c r="C38" s="176">
        <v>1044</v>
      </c>
      <c r="D38" s="176">
        <f t="shared" ref="D38:D48" si="27">SUM(E38:H38)</f>
        <v>4493</v>
      </c>
      <c r="E38" s="176">
        <v>1170</v>
      </c>
      <c r="F38" s="176">
        <v>1025</v>
      </c>
      <c r="G38" s="176">
        <v>1251</v>
      </c>
      <c r="H38" s="176">
        <v>1047</v>
      </c>
      <c r="I38" s="176">
        <f>SUM(J38:M38)+1</f>
        <v>4535.5</v>
      </c>
      <c r="J38" s="176">
        <f>963+159</f>
        <v>1122</v>
      </c>
      <c r="K38" s="176">
        <f>1160+277</f>
        <v>1437</v>
      </c>
      <c r="L38" s="176">
        <f>1593.5-L39</f>
        <v>1414</v>
      </c>
      <c r="M38" s="176">
        <f>433.5+128</f>
        <v>561.5</v>
      </c>
      <c r="N38" s="176">
        <f>SUM(O38:R38)</f>
        <v>4426.8340004000001</v>
      </c>
      <c r="O38" s="176">
        <f>880.45</f>
        <v>880.45</v>
      </c>
      <c r="P38" s="176">
        <v>1075.4928799999998</v>
      </c>
      <c r="Q38" s="176">
        <v>1505.9771604</v>
      </c>
      <c r="R38" s="176">
        <v>964.91396000000009</v>
      </c>
      <c r="S38" s="176">
        <v>3863.9912399999989</v>
      </c>
      <c r="T38" s="176">
        <v>851.56315999999993</v>
      </c>
      <c r="U38" s="176">
        <v>873.5290399999999</v>
      </c>
      <c r="V38" s="176">
        <v>1310.0872399999998</v>
      </c>
      <c r="W38" s="176">
        <v>828.81179999999995</v>
      </c>
      <c r="X38" s="176">
        <v>3591</v>
      </c>
      <c r="Y38" s="176">
        <v>1547</v>
      </c>
      <c r="Z38" s="176">
        <v>2044</v>
      </c>
      <c r="AA38" s="176">
        <v>3085</v>
      </c>
      <c r="AC38" s="179">
        <f t="shared" si="25"/>
        <v>0</v>
      </c>
      <c r="AD38" s="179">
        <f t="shared" si="26"/>
        <v>0</v>
      </c>
      <c r="AF38" s="156"/>
      <c r="AG38" s="156"/>
    </row>
    <row r="39" spans="1:1024 1031:2048 2055:3072 3079:4096 4103:5120 5127:6144 6151:7168 7175:8192 8199:9216 9223:10240 10247:11264 11271:12288 12295:13312 13319:14336 14343:15360 15367:16384" ht="15" customHeight="1" thickBot="1">
      <c r="B39" s="59" t="s">
        <v>128</v>
      </c>
      <c r="C39" s="176">
        <v>370</v>
      </c>
      <c r="D39" s="176">
        <f t="shared" si="27"/>
        <v>1603.5763999999999</v>
      </c>
      <c r="E39" s="176">
        <v>756</v>
      </c>
      <c r="F39" s="176">
        <v>458</v>
      </c>
      <c r="G39" s="176">
        <v>283.57639999999998</v>
      </c>
      <c r="H39" s="176">
        <v>106</v>
      </c>
      <c r="I39" s="176">
        <f>SUM(J39:M39)</f>
        <v>492.6</v>
      </c>
      <c r="J39" s="176">
        <v>190</v>
      </c>
      <c r="K39" s="176">
        <f>57.5</f>
        <v>57.5</v>
      </c>
      <c r="L39" s="176">
        <v>179.5</v>
      </c>
      <c r="M39" s="176">
        <v>65.599999999999994</v>
      </c>
      <c r="N39" s="176">
        <f>SUM(O39:R39)</f>
        <v>384.49619999999999</v>
      </c>
      <c r="O39" s="176">
        <v>76.433999999999997</v>
      </c>
      <c r="P39" s="176">
        <v>141.03319999999999</v>
      </c>
      <c r="Q39" s="176">
        <v>73.528800000000004</v>
      </c>
      <c r="R39" s="176">
        <v>93.500200000000007</v>
      </c>
      <c r="S39" s="176">
        <v>417.89259999999996</v>
      </c>
      <c r="T39" s="176">
        <v>143.26760000000002</v>
      </c>
      <c r="U39" s="176">
        <v>76.4208</v>
      </c>
      <c r="V39" s="176">
        <v>111.569</v>
      </c>
      <c r="W39" s="176">
        <v>86.635199999999998</v>
      </c>
      <c r="X39" s="176">
        <v>173</v>
      </c>
      <c r="Y39" s="176">
        <v>77</v>
      </c>
      <c r="Z39" s="176">
        <v>96</v>
      </c>
      <c r="AA39" s="176">
        <v>163</v>
      </c>
      <c r="AC39" s="179">
        <f t="shared" si="25"/>
        <v>0</v>
      </c>
      <c r="AD39" s="179">
        <f t="shared" si="26"/>
        <v>0</v>
      </c>
      <c r="AF39" s="156"/>
      <c r="AG39" s="156"/>
    </row>
    <row r="40" spans="1:1024 1031:2048 2055:3072 3079:4096 4103:5120 5127:6144 6151:7168 7175:8192 8199:9216 9223:10240 10247:11264 11271:12288 12295:13312 13319:14336 14343:15360 15367:16384" ht="15" customHeight="1" thickBot="1">
      <c r="B40" s="59" t="s">
        <v>132</v>
      </c>
      <c r="C40" s="176">
        <f t="shared" ref="C40:N40" si="28">SUM(C41:C42)</f>
        <v>56.539000000000001</v>
      </c>
      <c r="D40" s="176">
        <f t="shared" si="27"/>
        <v>270.3</v>
      </c>
      <c r="E40" s="176">
        <f t="shared" si="28"/>
        <v>71</v>
      </c>
      <c r="F40" s="176">
        <f t="shared" si="28"/>
        <v>73.5</v>
      </c>
      <c r="G40" s="176">
        <f t="shared" si="28"/>
        <v>61.8</v>
      </c>
      <c r="H40" s="176">
        <f t="shared" si="28"/>
        <v>64</v>
      </c>
      <c r="I40" s="176">
        <f t="shared" si="28"/>
        <v>243.3</v>
      </c>
      <c r="J40" s="176">
        <f t="shared" si="28"/>
        <v>73</v>
      </c>
      <c r="K40" s="176">
        <f t="shared" si="28"/>
        <v>72.5</v>
      </c>
      <c r="L40" s="176">
        <f t="shared" si="28"/>
        <v>53.8</v>
      </c>
      <c r="M40" s="176">
        <f t="shared" si="28"/>
        <v>44</v>
      </c>
      <c r="N40" s="155">
        <f t="shared" si="28"/>
        <v>254.14570700000002</v>
      </c>
      <c r="O40" s="155">
        <f t="shared" ref="O40:AA40" si="29">SUM(O41:O42)</f>
        <v>71.077656000000005</v>
      </c>
      <c r="P40" s="155">
        <f t="shared" si="29"/>
        <v>55.468051000000003</v>
      </c>
      <c r="Q40" s="155">
        <f t="shared" si="29"/>
        <v>59.599999999999994</v>
      </c>
      <c r="R40" s="155">
        <f t="shared" si="29"/>
        <v>68</v>
      </c>
      <c r="S40" s="155">
        <f t="shared" si="29"/>
        <v>237.19257199999998</v>
      </c>
      <c r="T40" s="155">
        <f>SUM(T41:T42)</f>
        <v>66.863084000000001</v>
      </c>
      <c r="U40" s="155">
        <f t="shared" si="29"/>
        <v>54.754115999999989</v>
      </c>
      <c r="V40" s="155">
        <f t="shared" si="29"/>
        <v>61.634293999999997</v>
      </c>
      <c r="W40" s="155">
        <f t="shared" si="29"/>
        <v>53.941077999999997</v>
      </c>
      <c r="X40" s="155">
        <f t="shared" si="29"/>
        <v>286</v>
      </c>
      <c r="Y40" s="155">
        <f t="shared" si="29"/>
        <v>126</v>
      </c>
      <c r="Z40" s="155">
        <f t="shared" si="29"/>
        <v>160</v>
      </c>
      <c r="AA40" s="155">
        <f t="shared" si="29"/>
        <v>277</v>
      </c>
      <c r="AC40" s="179">
        <f t="shared" si="25"/>
        <v>0</v>
      </c>
      <c r="AD40" s="179">
        <f t="shared" si="26"/>
        <v>0</v>
      </c>
      <c r="AF40" s="156"/>
      <c r="AG40" s="156"/>
    </row>
    <row r="41" spans="1:1024 1031:2048 2055:3072 3079:4096 4103:5120 5127:6144 6151:7168 7175:8192 8199:9216 9223:10240 10247:11264 11271:12288 12295:13312 13319:14336 14343:15360 15367:16384" ht="15" customHeight="1" thickBot="1">
      <c r="B41" s="201" t="s">
        <v>17</v>
      </c>
      <c r="C41" s="176">
        <v>28.018999999999998</v>
      </c>
      <c r="D41" s="176">
        <f t="shared" si="27"/>
        <v>94</v>
      </c>
      <c r="E41" s="176">
        <v>23</v>
      </c>
      <c r="F41" s="176">
        <v>22</v>
      </c>
      <c r="G41" s="176">
        <v>25</v>
      </c>
      <c r="H41" s="176">
        <v>24</v>
      </c>
      <c r="I41" s="176">
        <f>SUM(J41:M41)</f>
        <v>90.9</v>
      </c>
      <c r="J41" s="176">
        <v>23</v>
      </c>
      <c r="K41" s="176">
        <v>22.5</v>
      </c>
      <c r="L41" s="176">
        <v>25.4</v>
      </c>
      <c r="M41" s="176">
        <v>20</v>
      </c>
      <c r="N41" s="155">
        <f t="shared" ref="N41:N46" si="30">SUM(O41:R41)</f>
        <v>103.237667</v>
      </c>
      <c r="O41" s="155">
        <v>27.519531000000001</v>
      </c>
      <c r="P41" s="155">
        <v>23.918136000000001</v>
      </c>
      <c r="Q41" s="155">
        <v>22.799999999999997</v>
      </c>
      <c r="R41" s="155">
        <v>29</v>
      </c>
      <c r="S41" s="155">
        <v>96.829112999999992</v>
      </c>
      <c r="T41" s="155">
        <v>24.943783</v>
      </c>
      <c r="U41" s="155">
        <v>21.081252999999997</v>
      </c>
      <c r="V41" s="155">
        <v>30.399229999999999</v>
      </c>
      <c r="W41" s="155">
        <v>20.404846999999997</v>
      </c>
      <c r="X41" s="155">
        <v>170</v>
      </c>
      <c r="Y41" s="155">
        <v>108</v>
      </c>
      <c r="Z41" s="155">
        <v>62</v>
      </c>
      <c r="AA41" s="155">
        <v>166</v>
      </c>
      <c r="AC41" s="179">
        <f t="shared" si="25"/>
        <v>0</v>
      </c>
      <c r="AD41" s="179">
        <f t="shared" si="26"/>
        <v>0</v>
      </c>
      <c r="AF41" s="156"/>
      <c r="AG41" s="156"/>
    </row>
    <row r="42" spans="1:1024 1031:2048 2055:3072 3079:4096 4103:5120 5127:6144 6151:7168 7175:8192 8199:9216 9223:10240 10247:11264 11271:12288 12295:13312 13319:14336 14343:15360 15367:16384" ht="15" customHeight="1" thickBot="1">
      <c r="B42" s="201" t="s">
        <v>18</v>
      </c>
      <c r="C42" s="176">
        <v>28.52</v>
      </c>
      <c r="D42" s="176">
        <f t="shared" si="27"/>
        <v>176.3</v>
      </c>
      <c r="E42" s="176">
        <v>48</v>
      </c>
      <c r="F42" s="176">
        <v>51.5</v>
      </c>
      <c r="G42" s="176">
        <v>36.799999999999997</v>
      </c>
      <c r="H42" s="176">
        <v>40</v>
      </c>
      <c r="I42" s="176">
        <f>SUM(J42:M42)</f>
        <v>152.4</v>
      </c>
      <c r="J42" s="176">
        <v>50</v>
      </c>
      <c r="K42" s="176">
        <v>50</v>
      </c>
      <c r="L42" s="176">
        <v>28.4</v>
      </c>
      <c r="M42" s="176">
        <v>24</v>
      </c>
      <c r="N42" s="155">
        <f t="shared" si="30"/>
        <v>150.90804</v>
      </c>
      <c r="O42" s="155">
        <v>43.558125000000004</v>
      </c>
      <c r="P42" s="155">
        <v>31.549914999999999</v>
      </c>
      <c r="Q42" s="155">
        <v>36.799999999999997</v>
      </c>
      <c r="R42" s="155">
        <v>39</v>
      </c>
      <c r="S42" s="155">
        <v>140.36345900000001</v>
      </c>
      <c r="T42" s="155">
        <v>41.919300999999997</v>
      </c>
      <c r="U42" s="155">
        <v>33.672862999999992</v>
      </c>
      <c r="V42" s="155">
        <v>31.235064000000001</v>
      </c>
      <c r="W42" s="155">
        <v>33.536231000000001</v>
      </c>
      <c r="X42" s="155">
        <v>116</v>
      </c>
      <c r="Y42" s="155">
        <v>18</v>
      </c>
      <c r="Z42" s="155">
        <v>98</v>
      </c>
      <c r="AA42" s="155">
        <v>111</v>
      </c>
      <c r="AC42" s="179">
        <f t="shared" si="25"/>
        <v>0</v>
      </c>
      <c r="AD42" s="179">
        <f t="shared" si="26"/>
        <v>0</v>
      </c>
      <c r="AF42" s="156"/>
      <c r="AG42" s="156"/>
    </row>
    <row r="43" spans="1:1024 1031:2048 2055:3072 3079:4096 4103:5120 5127:6144 6151:7168 7175:8192 8199:9216 9223:10240 10247:11264 11271:12288 12295:13312 13319:14336 14343:15360 15367:16384" ht="15" customHeight="1" thickBot="1">
      <c r="B43" s="59" t="s">
        <v>244</v>
      </c>
      <c r="C43" s="176">
        <v>9.9600000000000009</v>
      </c>
      <c r="D43" s="176">
        <f t="shared" si="27"/>
        <v>81.206909999999993</v>
      </c>
      <c r="E43" s="176">
        <v>1.1599999999999999</v>
      </c>
      <c r="F43" s="176">
        <v>41.087230000000005</v>
      </c>
      <c r="G43" s="176">
        <v>26.959679999999999</v>
      </c>
      <c r="H43" s="176">
        <v>12</v>
      </c>
      <c r="I43" s="176">
        <f>SUM(J43:M43)</f>
        <v>31</v>
      </c>
      <c r="J43" s="176">
        <v>0</v>
      </c>
      <c r="K43" s="176">
        <f>31-L43-M43</f>
        <v>13</v>
      </c>
      <c r="L43" s="176">
        <v>14</v>
      </c>
      <c r="M43" s="176">
        <v>4</v>
      </c>
      <c r="N43" s="155">
        <f t="shared" si="30"/>
        <v>53.760064999999997</v>
      </c>
      <c r="O43" s="155">
        <v>0</v>
      </c>
      <c r="P43" s="155">
        <v>21.06635</v>
      </c>
      <c r="Q43" s="155">
        <v>20.982959999999999</v>
      </c>
      <c r="R43" s="155">
        <v>11.710755000000001</v>
      </c>
      <c r="S43" s="155">
        <v>50.84772599999998</v>
      </c>
      <c r="T43" s="155">
        <v>0</v>
      </c>
      <c r="U43" s="155">
        <v>20.100014999999992</v>
      </c>
      <c r="V43" s="155">
        <v>22.43891099999999</v>
      </c>
      <c r="W43" s="155">
        <v>8.3087999999999997</v>
      </c>
      <c r="X43" s="155">
        <v>67</v>
      </c>
      <c r="Y43" s="155">
        <v>31</v>
      </c>
      <c r="Z43" s="155">
        <v>36</v>
      </c>
      <c r="AA43" s="155">
        <v>61</v>
      </c>
      <c r="AC43" s="179">
        <f t="shared" si="25"/>
        <v>0</v>
      </c>
      <c r="AD43" s="179">
        <f t="shared" si="26"/>
        <v>0</v>
      </c>
      <c r="AF43" s="156"/>
      <c r="AG43" s="156"/>
    </row>
    <row r="44" spans="1:1024 1031:2048 2055:3072 3079:4096 4103:5120 5127:6144 6151:7168 7175:8192 8199:9216 9223:10240 10247:11264 11271:12288 12295:13312 13319:14336 14343:15360 15367:16384" ht="15" customHeight="1" thickBot="1">
      <c r="B44" s="59" t="s">
        <v>245</v>
      </c>
      <c r="C44" s="176">
        <v>35.01</v>
      </c>
      <c r="D44" s="176">
        <f t="shared" si="27"/>
        <v>328.3</v>
      </c>
      <c r="E44" s="176">
        <v>113.3</v>
      </c>
      <c r="F44" s="176">
        <v>24</v>
      </c>
      <c r="G44" s="176">
        <v>62</v>
      </c>
      <c r="H44" s="176">
        <v>129</v>
      </c>
      <c r="I44" s="176">
        <f>SUM(J44:M44)-2</f>
        <v>242</v>
      </c>
      <c r="J44" s="176">
        <v>54</v>
      </c>
      <c r="K44" s="176">
        <v>57</v>
      </c>
      <c r="L44" s="176">
        <v>2</v>
      </c>
      <c r="M44" s="176">
        <v>131</v>
      </c>
      <c r="N44" s="155">
        <f t="shared" si="30"/>
        <v>179</v>
      </c>
      <c r="O44" s="155">
        <v>66</v>
      </c>
      <c r="P44" s="155">
        <v>20</v>
      </c>
      <c r="Q44" s="155">
        <v>90</v>
      </c>
      <c r="R44" s="155">
        <v>3</v>
      </c>
      <c r="S44" s="155">
        <v>25.5</v>
      </c>
      <c r="T44" s="155">
        <v>0</v>
      </c>
      <c r="U44" s="155">
        <v>20</v>
      </c>
      <c r="V44" s="155">
        <v>5.5</v>
      </c>
      <c r="W44" s="155">
        <v>0</v>
      </c>
      <c r="X44" s="155">
        <v>0</v>
      </c>
      <c r="Y44" s="155">
        <v>0</v>
      </c>
      <c r="Z44" s="155">
        <v>0</v>
      </c>
      <c r="AA44" s="155">
        <v>0</v>
      </c>
      <c r="AC44" s="179">
        <f t="shared" si="25"/>
        <v>0</v>
      </c>
      <c r="AD44" s="179">
        <f t="shared" si="26"/>
        <v>0</v>
      </c>
      <c r="AF44" s="156"/>
      <c r="AG44" s="156"/>
    </row>
    <row r="45" spans="1:1024 1031:2048 2055:3072 3079:4096 4103:5120 5127:6144 6151:7168 7175:8192 8199:9216 9223:10240 10247:11264 11271:12288 12295:13312 13319:14336 14343:15360 15367:16384" ht="15" customHeight="1" thickBot="1">
      <c r="B45" s="59" t="s">
        <v>246</v>
      </c>
      <c r="C45" s="176">
        <v>35.01</v>
      </c>
      <c r="D45" s="176">
        <f t="shared" si="27"/>
        <v>254.63195999999999</v>
      </c>
      <c r="E45" s="176">
        <v>40.631960000000007</v>
      </c>
      <c r="F45" s="176">
        <v>88</v>
      </c>
      <c r="G45" s="176">
        <v>78</v>
      </c>
      <c r="H45" s="176">
        <v>48</v>
      </c>
      <c r="I45" s="176">
        <f>SUM(J45:M45)</f>
        <v>252</v>
      </c>
      <c r="J45" s="176">
        <v>52</v>
      </c>
      <c r="K45" s="176">
        <v>87</v>
      </c>
      <c r="L45" s="176">
        <v>70</v>
      </c>
      <c r="M45" s="176">
        <v>43</v>
      </c>
      <c r="N45" s="155">
        <f t="shared" si="30"/>
        <v>190.19897000000003</v>
      </c>
      <c r="O45" s="155">
        <v>24.507300000000001</v>
      </c>
      <c r="P45" s="155">
        <v>56.808670000000006</v>
      </c>
      <c r="Q45" s="155">
        <v>77.400000000000006</v>
      </c>
      <c r="R45" s="155">
        <v>31.483000000000001</v>
      </c>
      <c r="S45" s="155">
        <v>39.64579999999998</v>
      </c>
      <c r="T45" s="155">
        <v>26</v>
      </c>
      <c r="U45" s="155">
        <f>14.01048-5</f>
        <v>9.0104799999999994</v>
      </c>
      <c r="V45" s="155">
        <v>4.5623800000000001</v>
      </c>
      <c r="W45" s="155">
        <v>0</v>
      </c>
      <c r="X45" s="155">
        <v>0</v>
      </c>
      <c r="Y45" s="155">
        <v>0</v>
      </c>
      <c r="Z45" s="155">
        <v>0</v>
      </c>
      <c r="AA45" s="155">
        <v>0</v>
      </c>
      <c r="AC45" s="179">
        <f t="shared" si="25"/>
        <v>0</v>
      </c>
      <c r="AD45" s="179">
        <f t="shared" si="26"/>
        <v>-7.2939999999981353E-2</v>
      </c>
      <c r="AF45" s="156"/>
      <c r="AG45" s="156"/>
    </row>
    <row r="46" spans="1:1024 1031:2048 2055:3072 3079:4096 4103:5120 5127:6144 6151:7168 7175:8192 8199:9216 9223:10240 10247:11264 11271:12288 12295:13312 13319:14336 14343:15360 15367:16384" ht="15" customHeight="1" thickBot="1">
      <c r="B46" s="59" t="s">
        <v>349</v>
      </c>
      <c r="C46" s="176">
        <v>1</v>
      </c>
      <c r="D46" s="176">
        <f t="shared" si="27"/>
        <v>27.95</v>
      </c>
      <c r="E46" s="176">
        <v>9.9499999999999993</v>
      </c>
      <c r="F46" s="176">
        <v>8</v>
      </c>
      <c r="G46" s="176">
        <v>7</v>
      </c>
      <c r="H46" s="176">
        <v>3</v>
      </c>
      <c r="I46" s="176">
        <f>SUM(J46:M46)-1</f>
        <v>53</v>
      </c>
      <c r="J46" s="176">
        <v>1</v>
      </c>
      <c r="K46" s="176">
        <v>10</v>
      </c>
      <c r="L46" s="176">
        <v>12</v>
      </c>
      <c r="M46" s="176">
        <v>31</v>
      </c>
      <c r="N46" s="155">
        <f t="shared" si="30"/>
        <v>130.59200000000001</v>
      </c>
      <c r="O46" s="155">
        <v>47.238999999999997</v>
      </c>
      <c r="P46" s="155">
        <v>34.917000000000002</v>
      </c>
      <c r="Q46" s="155">
        <v>43.552999999999997</v>
      </c>
      <c r="R46" s="155">
        <v>4.883</v>
      </c>
      <c r="S46" s="155">
        <v>0</v>
      </c>
      <c r="T46" s="155">
        <v>0</v>
      </c>
      <c r="U46" s="155">
        <v>0</v>
      </c>
      <c r="V46" s="155">
        <v>0</v>
      </c>
      <c r="W46" s="155">
        <v>0</v>
      </c>
      <c r="X46" s="155">
        <v>0</v>
      </c>
      <c r="Y46" s="155">
        <v>0</v>
      </c>
      <c r="Z46" s="155">
        <v>0</v>
      </c>
      <c r="AA46" s="155">
        <v>0</v>
      </c>
      <c r="AC46" s="179">
        <f t="shared" si="25"/>
        <v>0</v>
      </c>
      <c r="AD46" s="179">
        <f t="shared" si="26"/>
        <v>0</v>
      </c>
      <c r="AF46" s="156"/>
      <c r="AG46" s="156"/>
    </row>
    <row r="47" spans="1:1024 1031:2048 2055:3072 3079:4096 4103:5120 5127:6144 6151:7168 7175:8192 8199:9216 9223:10240 10247:11264 11271:12288 12295:13312 13319:14336 14343:15360 15367:16384" ht="15" customHeight="1" thickBot="1">
      <c r="B47" s="196" t="s">
        <v>319</v>
      </c>
      <c r="C47" s="197">
        <v>87.45</v>
      </c>
      <c r="D47" s="197">
        <f t="shared" si="27"/>
        <v>99.800000000000011</v>
      </c>
      <c r="E47" s="197">
        <v>32</v>
      </c>
      <c r="F47" s="197">
        <v>0</v>
      </c>
      <c r="G47" s="197">
        <v>2.4</v>
      </c>
      <c r="H47" s="197">
        <v>65.400000000000006</v>
      </c>
      <c r="I47" s="176">
        <f>SUM(J47:M47)</f>
        <v>134.78</v>
      </c>
      <c r="J47" s="197">
        <v>51</v>
      </c>
      <c r="K47" s="197">
        <v>0</v>
      </c>
      <c r="L47" s="197">
        <v>0.5</v>
      </c>
      <c r="M47" s="197">
        <f>101.5-18.22</f>
        <v>83.28</v>
      </c>
      <c r="N47" s="157">
        <v>0</v>
      </c>
      <c r="O47" s="157">
        <v>0</v>
      </c>
      <c r="P47" s="157">
        <v>0</v>
      </c>
      <c r="Q47" s="157">
        <v>0</v>
      </c>
      <c r="R47" s="157">
        <v>0</v>
      </c>
      <c r="S47" s="157">
        <v>0</v>
      </c>
      <c r="T47" s="157">
        <v>0</v>
      </c>
      <c r="U47" s="157">
        <v>0</v>
      </c>
      <c r="V47" s="157">
        <v>0</v>
      </c>
      <c r="W47" s="157">
        <v>0</v>
      </c>
      <c r="X47" s="157">
        <v>0</v>
      </c>
      <c r="Y47" s="157">
        <v>0</v>
      </c>
      <c r="Z47" s="157">
        <v>0</v>
      </c>
      <c r="AA47" s="157">
        <v>0</v>
      </c>
      <c r="AC47" s="179"/>
      <c r="AD47" s="179"/>
      <c r="AF47" s="156"/>
      <c r="AG47" s="156"/>
    </row>
    <row r="48" spans="1:1024 1031:2048 2055:3072 3079:4096 4103:5120 5127:6144 6151:7168 7175:8192 8199:9216 9223:10240 10247:11264 11271:12288 12295:13312 13319:14336 14343:15360 15367:16384" ht="15" customHeight="1" thickBot="1">
      <c r="B48" s="198" t="s">
        <v>247</v>
      </c>
      <c r="C48" s="199">
        <v>169.92289485550003</v>
      </c>
      <c r="D48" s="199">
        <f t="shared" si="27"/>
        <v>777.6</v>
      </c>
      <c r="E48" s="199">
        <v>221</v>
      </c>
      <c r="F48" s="199">
        <v>202</v>
      </c>
      <c r="G48" s="199">
        <v>185</v>
      </c>
      <c r="H48" s="199">
        <v>169.6</v>
      </c>
      <c r="I48" s="199">
        <f>SUM(J48:M48)+1</f>
        <v>678</v>
      </c>
      <c r="J48" s="199">
        <v>192</v>
      </c>
      <c r="K48" s="199">
        <v>203</v>
      </c>
      <c r="L48" s="199">
        <v>175</v>
      </c>
      <c r="M48" s="199">
        <v>107</v>
      </c>
      <c r="N48" s="158">
        <v>685</v>
      </c>
      <c r="O48" s="158">
        <v>171</v>
      </c>
      <c r="P48" s="158">
        <v>160.38111950000004</v>
      </c>
      <c r="Q48" s="158">
        <v>184.44681527199003</v>
      </c>
      <c r="R48" s="158">
        <v>171.634983046</v>
      </c>
      <c r="S48" s="158">
        <v>629.32853259349997</v>
      </c>
      <c r="T48" s="158">
        <v>166.09634976069998</v>
      </c>
      <c r="U48" s="158">
        <v>143.16303127589998</v>
      </c>
      <c r="V48" s="158">
        <v>180.12883508039999</v>
      </c>
      <c r="W48" s="158">
        <v>139.9</v>
      </c>
      <c r="X48" s="158">
        <v>689</v>
      </c>
      <c r="Y48" s="158">
        <v>304</v>
      </c>
      <c r="Z48" s="158">
        <v>313</v>
      </c>
      <c r="AA48" s="158">
        <v>645</v>
      </c>
      <c r="AC48" s="179"/>
      <c r="AD48" s="179"/>
      <c r="AF48" s="156"/>
      <c r="AG48" s="156"/>
    </row>
    <row r="49" spans="2:104">
      <c r="N49" s="143"/>
      <c r="O49" s="143"/>
      <c r="P49" s="143"/>
      <c r="Q49" s="143"/>
      <c r="R49" s="143"/>
      <c r="S49" s="143"/>
      <c r="T49" s="143"/>
      <c r="U49" s="143"/>
      <c r="V49" s="143"/>
      <c r="X49" s="143"/>
      <c r="Y49" s="143"/>
      <c r="Z49" s="143"/>
      <c r="AA49" s="143"/>
    </row>
    <row r="50" spans="2:104">
      <c r="N50" s="143"/>
      <c r="O50" s="143"/>
      <c r="P50" s="143"/>
      <c r="Q50" s="143"/>
      <c r="R50" s="143"/>
      <c r="S50" s="143"/>
      <c r="T50" s="143"/>
      <c r="U50" s="143"/>
      <c r="V50" s="143"/>
      <c r="X50" s="143"/>
      <c r="Y50" s="143"/>
    </row>
    <row r="51" spans="2:104" ht="13.5" customHeight="1">
      <c r="B51" s="115"/>
      <c r="C51" s="86"/>
      <c r="D51" s="86"/>
      <c r="E51" s="86"/>
      <c r="F51" s="86"/>
      <c r="G51" s="86"/>
      <c r="H51" s="86"/>
      <c r="I51" s="86"/>
      <c r="J51" s="86"/>
      <c r="K51" s="86"/>
      <c r="L51" s="86"/>
      <c r="M51" s="86"/>
      <c r="N51" s="217"/>
      <c r="O51" s="217"/>
      <c r="P51" s="217"/>
      <c r="Q51" s="217"/>
      <c r="R51" s="217"/>
      <c r="S51" s="217"/>
      <c r="T51" s="217"/>
      <c r="U51" s="217"/>
      <c r="V51" s="217"/>
      <c r="W51" s="86"/>
      <c r="X51" s="217"/>
      <c r="Y51" s="217"/>
      <c r="Z51" s="86"/>
      <c r="AA51" s="86"/>
      <c r="AB51" s="81"/>
    </row>
    <row r="52" spans="2:104" s="221" customFormat="1" ht="12.5" customHeight="1">
      <c r="B52" s="214"/>
      <c r="C52" s="212"/>
      <c r="D52" s="212"/>
      <c r="E52" s="212"/>
      <c r="F52" s="212"/>
      <c r="G52" s="212"/>
      <c r="H52" s="212">
        <f>H25-'1. DRE'!G10</f>
        <v>0</v>
      </c>
      <c r="I52" s="212">
        <f>I25-'1. DRE'!H10</f>
        <v>-0.10000000009313226</v>
      </c>
      <c r="J52" s="212">
        <f>J25-('1. DRE'!H10-'1. DRE'!I10)</f>
        <v>0</v>
      </c>
      <c r="K52" s="212">
        <f>K25-('1. DRE'!I10-'1. DRE'!J10)</f>
        <v>-4.9999999988358468E-2</v>
      </c>
      <c r="L52" s="212">
        <f>L25-('1. DRE'!J10-'1. DRE'!K10)</f>
        <v>-4.9999999988358468E-2</v>
      </c>
      <c r="M52" s="212">
        <f>M25-'1. DRE'!K10</f>
        <v>0</v>
      </c>
      <c r="N52" s="212">
        <f>N25-'1. DRE'!L10</f>
        <v>0.19999999995343387</v>
      </c>
      <c r="O52" s="212">
        <f>O25-('1. DRE'!L10-'1. DRE'!M10)</f>
        <v>-0.25</v>
      </c>
      <c r="P52" s="212">
        <f>P25-('1. DRE'!M10-'1. DRE'!N10)</f>
        <v>0.45000000001164153</v>
      </c>
      <c r="Q52" s="212">
        <f>Q25-('1. DRE'!N10-'1. DRE'!O10)</f>
        <v>0</v>
      </c>
      <c r="R52" s="212">
        <f>R25-'1. DRE'!O10</f>
        <v>0</v>
      </c>
      <c r="S52" s="212">
        <f>S25-'1. DRE'!P10</f>
        <v>-0.29876000026706606</v>
      </c>
      <c r="T52" s="212"/>
      <c r="U52" s="212"/>
      <c r="V52" s="212"/>
      <c r="W52" s="212">
        <f>W25-'1. DRE'!S10</f>
        <v>0.29152999998768792</v>
      </c>
      <c r="X52" s="212">
        <f>X25-'1. DRE'!T10</f>
        <v>0</v>
      </c>
      <c r="Y52" s="212">
        <f>Y25-('1. DRE'!T10-'1. DRE'!U10)</f>
        <v>0</v>
      </c>
      <c r="Z52" s="212">
        <f>Z25-'1. DRE'!U10</f>
        <v>0</v>
      </c>
      <c r="AA52" s="212">
        <f>AA25-'1. DRE'!V10</f>
        <v>0</v>
      </c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</row>
    <row r="53" spans="2:104" ht="14.15" customHeight="1">
      <c r="B53" s="115"/>
      <c r="C53" s="86"/>
      <c r="D53" s="86"/>
      <c r="E53" s="86"/>
      <c r="F53" s="86"/>
      <c r="G53" s="86"/>
      <c r="H53" s="86"/>
      <c r="I53" s="86"/>
      <c r="J53" s="86"/>
      <c r="K53" s="86"/>
      <c r="L53" s="86"/>
      <c r="M53" s="86"/>
      <c r="N53" s="217"/>
      <c r="O53" s="217"/>
      <c r="P53" s="217"/>
      <c r="Q53" s="217"/>
      <c r="R53" s="217"/>
      <c r="S53" s="217"/>
      <c r="T53" s="217"/>
      <c r="U53" s="217"/>
      <c r="V53" s="217"/>
      <c r="W53" s="86"/>
      <c r="X53" s="86"/>
      <c r="Y53" s="86"/>
      <c r="Z53" s="86"/>
      <c r="AA53" s="86"/>
      <c r="AB53" s="81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</row>
    <row r="54" spans="2:104">
      <c r="B54" s="115"/>
      <c r="C54" s="86"/>
      <c r="D54" s="86"/>
      <c r="E54" s="86"/>
      <c r="F54" s="86"/>
      <c r="G54" s="86"/>
      <c r="H54" s="86"/>
      <c r="I54" s="86"/>
      <c r="J54" s="86"/>
      <c r="K54" s="86"/>
      <c r="L54" s="86"/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86"/>
      <c r="X54" s="86"/>
      <c r="Y54" s="86"/>
      <c r="Z54" s="86"/>
      <c r="AA54" s="86"/>
      <c r="AB54" s="81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</row>
    <row r="55" spans="2:104">
      <c r="B55" s="115"/>
      <c r="C55" s="86"/>
      <c r="D55" s="86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86"/>
      <c r="X55" s="86"/>
      <c r="Y55" s="86"/>
      <c r="Z55" s="86"/>
      <c r="AA55" s="86"/>
      <c r="AB55" s="81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</row>
    <row r="56" spans="2:104">
      <c r="B56" s="115"/>
      <c r="C56" s="86"/>
      <c r="D56" s="86"/>
      <c r="E56" s="86"/>
      <c r="F56" s="86"/>
      <c r="G56" s="86"/>
      <c r="H56" s="86"/>
      <c r="I56" s="86"/>
      <c r="J56" s="86"/>
      <c r="K56" s="86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86"/>
      <c r="X56" s="86"/>
      <c r="Y56" s="86"/>
      <c r="Z56" s="86"/>
      <c r="AA56" s="86"/>
      <c r="AB56" s="81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</row>
    <row r="57" spans="2:104">
      <c r="B57" s="115"/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  <c r="Y57" s="86"/>
      <c r="Z57" s="86"/>
      <c r="AA57" s="86"/>
      <c r="AB57" s="81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</row>
    <row r="58" spans="2:104">
      <c r="B58" s="115"/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/>
      <c r="P58" s="86"/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1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</row>
    <row r="59" spans="2:104">
      <c r="B59" s="115"/>
      <c r="C59" s="86"/>
      <c r="D59" s="86"/>
      <c r="E59" s="86"/>
      <c r="F59" s="86"/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  <c r="Y59" s="86"/>
      <c r="Z59" s="86"/>
      <c r="AA59" s="86"/>
      <c r="AB59" s="81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</row>
    <row r="60" spans="2:104">
      <c r="B60" s="115"/>
      <c r="C60" s="86"/>
      <c r="D60" s="86"/>
      <c r="E60" s="86"/>
      <c r="F60" s="86"/>
      <c r="G60" s="86"/>
      <c r="H60" s="86"/>
      <c r="I60" s="86"/>
      <c r="J60" s="86"/>
      <c r="K60" s="86"/>
      <c r="L60" s="86"/>
      <c r="M60" s="86"/>
      <c r="N60" s="86"/>
      <c r="O60" s="86"/>
      <c r="P60" s="86"/>
      <c r="Q60" s="86"/>
      <c r="R60" s="86"/>
      <c r="S60" s="86"/>
      <c r="T60" s="86"/>
      <c r="U60" s="86"/>
      <c r="V60" s="86"/>
      <c r="W60" s="86"/>
      <c r="X60" s="86"/>
      <c r="Y60" s="86"/>
      <c r="Z60" s="86"/>
      <c r="AA60" s="86"/>
      <c r="AB60" s="81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</row>
    <row r="61" spans="2:104">
      <c r="B61" s="115"/>
      <c r="C61" s="86"/>
      <c r="D61" s="86"/>
      <c r="E61" s="86"/>
      <c r="F61" s="86"/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86"/>
      <c r="S61" s="86"/>
      <c r="T61" s="86"/>
      <c r="U61" s="86"/>
      <c r="V61" s="86"/>
      <c r="W61" s="86"/>
      <c r="X61" s="86"/>
      <c r="Y61" s="86"/>
      <c r="Z61" s="86"/>
      <c r="AA61" s="86"/>
      <c r="AB61" s="81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</row>
    <row r="62" spans="2:104">
      <c r="B62" s="214"/>
      <c r="C62" s="211"/>
      <c r="D62" s="211"/>
      <c r="E62" s="211"/>
      <c r="F62" s="211"/>
      <c r="G62" s="211"/>
      <c r="H62" s="211"/>
      <c r="I62" s="211"/>
      <c r="J62" s="211"/>
      <c r="K62" s="211"/>
      <c r="L62" s="211"/>
      <c r="M62" s="211"/>
      <c r="N62" s="211"/>
      <c r="O62" s="211"/>
      <c r="P62" s="211"/>
      <c r="Q62" s="211"/>
      <c r="R62" s="211"/>
      <c r="S62" s="211"/>
      <c r="T62" s="211"/>
      <c r="U62" s="211"/>
      <c r="V62" s="211"/>
      <c r="W62" s="211"/>
      <c r="X62" s="211"/>
      <c r="Y62" s="211"/>
      <c r="Z62" s="211"/>
      <c r="AA62" s="211"/>
      <c r="AB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</row>
    <row r="63" spans="2:104">
      <c r="B63" s="214"/>
      <c r="C63" s="211"/>
      <c r="D63" s="211"/>
      <c r="E63" s="211"/>
      <c r="F63" s="211"/>
      <c r="G63" s="211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</row>
    <row r="64" spans="2:104">
      <c r="B64" s="214"/>
      <c r="C64" s="211"/>
      <c r="D64" s="211"/>
      <c r="E64" s="211"/>
      <c r="F64" s="211"/>
      <c r="G64" s="211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</row>
    <row r="65" spans="2:104">
      <c r="B65" s="214"/>
      <c r="C65" s="211"/>
      <c r="D65" s="211"/>
      <c r="E65" s="211"/>
      <c r="F65" s="211"/>
      <c r="G65" s="211"/>
      <c r="H65" s="211"/>
      <c r="I65" s="211"/>
      <c r="J65" s="211"/>
      <c r="K65" s="211"/>
      <c r="L65" s="211"/>
      <c r="M65" s="211"/>
      <c r="N65" s="211"/>
      <c r="O65" s="211"/>
      <c r="P65" s="211"/>
      <c r="Q65" s="211"/>
      <c r="R65" s="211"/>
      <c r="S65" s="211"/>
      <c r="T65" s="211"/>
      <c r="U65" s="211"/>
      <c r="V65" s="211"/>
      <c r="W65" s="211"/>
      <c r="X65" s="211"/>
      <c r="Y65" s="211"/>
      <c r="Z65" s="211"/>
      <c r="AA65" s="211"/>
      <c r="AB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</row>
    <row r="66" spans="2:104">
      <c r="B66" s="214"/>
      <c r="C66" s="211"/>
      <c r="D66" s="211"/>
      <c r="E66" s="211"/>
      <c r="F66" s="211"/>
      <c r="G66" s="211"/>
      <c r="H66" s="211"/>
      <c r="I66" s="211"/>
      <c r="J66" s="211"/>
      <c r="K66" s="211"/>
      <c r="L66" s="211"/>
      <c r="M66" s="211"/>
      <c r="N66" s="211"/>
      <c r="O66" s="211"/>
      <c r="P66" s="211"/>
      <c r="Q66" s="211"/>
      <c r="R66" s="211"/>
      <c r="S66" s="211"/>
      <c r="T66" s="211"/>
      <c r="U66" s="211"/>
      <c r="V66" s="211"/>
      <c r="W66" s="211"/>
      <c r="X66" s="211"/>
      <c r="Y66" s="211"/>
      <c r="Z66" s="211"/>
      <c r="AA66" s="211"/>
      <c r="AB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</row>
    <row r="67" spans="2:104">
      <c r="B67" s="214"/>
      <c r="C67" s="211"/>
      <c r="D67" s="211"/>
      <c r="E67" s="211"/>
      <c r="F67" s="211"/>
      <c r="G67" s="211"/>
      <c r="H67" s="211"/>
      <c r="I67" s="211"/>
      <c r="J67" s="211"/>
      <c r="K67" s="211"/>
      <c r="L67" s="211"/>
      <c r="M67" s="211"/>
      <c r="N67" s="211"/>
      <c r="O67" s="211"/>
      <c r="P67" s="211"/>
      <c r="Q67" s="211"/>
      <c r="R67" s="211"/>
      <c r="S67" s="211"/>
      <c r="T67" s="211"/>
      <c r="U67" s="211"/>
      <c r="V67" s="211"/>
      <c r="W67" s="211"/>
      <c r="X67" s="211"/>
      <c r="Y67" s="211"/>
      <c r="Z67" s="211"/>
      <c r="AA67" s="211"/>
      <c r="AB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</row>
    <row r="68" spans="2:104">
      <c r="B68" s="214"/>
      <c r="C68" s="211"/>
      <c r="D68" s="211"/>
      <c r="E68" s="211"/>
      <c r="F68" s="211"/>
      <c r="G68" s="211"/>
      <c r="H68" s="211"/>
      <c r="I68" s="211"/>
      <c r="J68" s="211"/>
      <c r="K68" s="211"/>
      <c r="L68" s="211"/>
      <c r="M68" s="211"/>
      <c r="N68" s="211"/>
      <c r="O68" s="211"/>
      <c r="P68" s="211"/>
      <c r="Q68" s="211"/>
      <c r="R68" s="211"/>
      <c r="S68" s="211"/>
      <c r="T68" s="211"/>
      <c r="U68" s="211"/>
      <c r="V68" s="211"/>
      <c r="W68" s="211"/>
      <c r="X68" s="211"/>
      <c r="Y68" s="211"/>
      <c r="Z68" s="211"/>
      <c r="AA68" s="211"/>
      <c r="AB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</row>
    <row r="69" spans="2:104">
      <c r="B69" s="214"/>
      <c r="C69" s="211"/>
      <c r="D69" s="211"/>
      <c r="E69" s="211"/>
      <c r="F69" s="211"/>
      <c r="G69" s="211"/>
      <c r="H69" s="211"/>
      <c r="I69" s="211"/>
      <c r="J69" s="211"/>
      <c r="K69" s="211"/>
      <c r="L69" s="211"/>
      <c r="M69" s="211"/>
      <c r="N69" s="211"/>
      <c r="O69" s="211"/>
      <c r="P69" s="211"/>
      <c r="Q69" s="211"/>
      <c r="R69" s="211"/>
      <c r="S69" s="211"/>
      <c r="T69" s="211"/>
      <c r="U69" s="211"/>
      <c r="V69" s="211"/>
      <c r="W69" s="211"/>
      <c r="X69" s="211"/>
      <c r="Y69" s="211"/>
      <c r="Z69" s="211"/>
      <c r="AA69" s="211"/>
      <c r="AB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</row>
    <row r="70" spans="2:104">
      <c r="B70" s="214"/>
      <c r="C70" s="211"/>
      <c r="D70" s="211"/>
      <c r="E70" s="211"/>
      <c r="F70" s="211"/>
      <c r="G70" s="211"/>
      <c r="H70" s="211"/>
      <c r="I70" s="211"/>
      <c r="J70" s="211"/>
      <c r="K70" s="211"/>
      <c r="L70" s="211"/>
      <c r="M70" s="211"/>
      <c r="N70" s="211"/>
      <c r="O70" s="211"/>
      <c r="P70" s="211"/>
      <c r="Q70" s="211"/>
      <c r="R70" s="211"/>
      <c r="S70" s="211"/>
      <c r="T70" s="211"/>
      <c r="U70" s="211"/>
      <c r="V70" s="211"/>
      <c r="W70" s="211"/>
      <c r="X70" s="211"/>
      <c r="Y70" s="211"/>
      <c r="Z70" s="211"/>
      <c r="AA70" s="211"/>
      <c r="AB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</row>
    <row r="71" spans="2:104">
      <c r="B71" s="214"/>
      <c r="C71" s="211"/>
      <c r="D71" s="211"/>
      <c r="E71" s="211"/>
      <c r="F71" s="211"/>
      <c r="G71" s="211"/>
      <c r="H71" s="211"/>
      <c r="I71" s="211"/>
      <c r="J71" s="211"/>
      <c r="K71" s="211"/>
      <c r="L71" s="211"/>
      <c r="M71" s="211"/>
      <c r="N71" s="211"/>
      <c r="O71" s="211"/>
      <c r="P71" s="211"/>
      <c r="Q71" s="211"/>
      <c r="R71" s="211"/>
      <c r="S71" s="211"/>
      <c r="T71" s="211"/>
      <c r="U71" s="211"/>
      <c r="V71" s="211"/>
      <c r="W71" s="211"/>
      <c r="X71" s="211"/>
      <c r="Y71" s="211"/>
      <c r="Z71" s="211"/>
      <c r="AA71" s="211"/>
      <c r="AB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</row>
    <row r="72" spans="2:104">
      <c r="B72" s="214"/>
      <c r="C72" s="211"/>
      <c r="D72" s="211"/>
      <c r="E72" s="211"/>
      <c r="F72" s="211"/>
      <c r="G72" s="211"/>
      <c r="H72" s="211"/>
      <c r="I72" s="211"/>
      <c r="J72" s="211"/>
      <c r="K72" s="211"/>
      <c r="L72" s="211"/>
      <c r="M72" s="211"/>
      <c r="N72" s="211"/>
      <c r="O72" s="211"/>
      <c r="P72" s="211"/>
      <c r="Q72" s="211"/>
      <c r="R72" s="211"/>
      <c r="S72" s="211"/>
      <c r="T72" s="211"/>
      <c r="U72" s="211"/>
      <c r="V72" s="211"/>
      <c r="W72" s="211"/>
      <c r="X72" s="211"/>
      <c r="Y72" s="211"/>
      <c r="Z72" s="211"/>
      <c r="AA72" s="211"/>
      <c r="AB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</row>
    <row r="73" spans="2:104">
      <c r="B73" s="214"/>
      <c r="C73" s="211"/>
      <c r="D73" s="211"/>
      <c r="E73" s="211"/>
      <c r="F73" s="211"/>
      <c r="G73" s="211"/>
      <c r="H73" s="211"/>
      <c r="I73" s="211"/>
      <c r="J73" s="211"/>
      <c r="K73" s="211"/>
      <c r="L73" s="211"/>
      <c r="M73" s="211"/>
      <c r="N73" s="211"/>
      <c r="O73" s="211"/>
      <c r="P73" s="211"/>
      <c r="Q73" s="211"/>
      <c r="R73" s="211"/>
      <c r="S73" s="211"/>
      <c r="T73" s="211"/>
      <c r="U73" s="211"/>
      <c r="V73" s="211"/>
      <c r="W73" s="211"/>
      <c r="X73" s="211"/>
      <c r="Y73" s="211"/>
      <c r="Z73" s="211"/>
      <c r="AA73" s="211"/>
      <c r="AB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</row>
    <row r="74" spans="2:104">
      <c r="B74" s="214"/>
      <c r="C74" s="211"/>
      <c r="D74" s="211"/>
      <c r="E74" s="211"/>
      <c r="F74" s="211"/>
      <c r="G74" s="211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</row>
    <row r="75" spans="2:104">
      <c r="B75" s="214"/>
      <c r="C75" s="211"/>
      <c r="D75" s="211"/>
      <c r="E75" s="211"/>
      <c r="F75" s="211"/>
      <c r="G75" s="211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</row>
    <row r="76" spans="2:104">
      <c r="B76" s="214"/>
      <c r="C76" s="211"/>
      <c r="D76" s="211"/>
      <c r="E76" s="211"/>
      <c r="F76" s="211"/>
      <c r="G76" s="211"/>
      <c r="H76" s="211"/>
      <c r="I76" s="211"/>
      <c r="J76" s="211"/>
      <c r="K76" s="211"/>
      <c r="L76" s="211"/>
      <c r="M76" s="211"/>
      <c r="N76" s="211"/>
      <c r="O76" s="211"/>
      <c r="P76" s="211"/>
      <c r="Q76" s="211"/>
      <c r="R76" s="211"/>
      <c r="S76" s="211"/>
      <c r="T76" s="211"/>
      <c r="U76" s="211"/>
      <c r="V76" s="211"/>
      <c r="W76" s="211"/>
      <c r="X76" s="211"/>
      <c r="Y76" s="211"/>
      <c r="Z76" s="211"/>
      <c r="AA76" s="211"/>
      <c r="AB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</row>
    <row r="77" spans="2:104">
      <c r="B77" s="214"/>
      <c r="C77" s="211"/>
      <c r="D77" s="211"/>
      <c r="E77" s="211"/>
      <c r="F77" s="211"/>
      <c r="G77" s="211"/>
      <c r="H77" s="211"/>
      <c r="I77" s="211"/>
      <c r="J77" s="211"/>
      <c r="K77" s="211"/>
      <c r="L77" s="211"/>
      <c r="M77" s="211"/>
      <c r="N77" s="211"/>
      <c r="O77" s="211"/>
      <c r="P77" s="211"/>
      <c r="Q77" s="211"/>
      <c r="R77" s="211"/>
      <c r="S77" s="211"/>
      <c r="T77" s="211"/>
      <c r="U77" s="211"/>
      <c r="V77" s="211"/>
      <c r="W77" s="211"/>
      <c r="X77" s="211"/>
      <c r="Y77" s="211"/>
      <c r="Z77" s="211"/>
      <c r="AA77" s="211"/>
      <c r="AB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</row>
    <row r="78" spans="2:104">
      <c r="B78" s="214"/>
      <c r="C78" s="211"/>
      <c r="D78" s="211"/>
      <c r="E78" s="211"/>
      <c r="F78" s="211"/>
      <c r="G78" s="211"/>
      <c r="H78" s="211"/>
      <c r="I78" s="211"/>
      <c r="J78" s="211"/>
      <c r="K78" s="211"/>
      <c r="L78" s="211"/>
      <c r="M78" s="211"/>
      <c r="N78" s="211"/>
      <c r="O78" s="211"/>
      <c r="P78" s="211"/>
      <c r="Q78" s="211"/>
      <c r="R78" s="211"/>
      <c r="S78" s="211"/>
      <c r="T78" s="211"/>
      <c r="U78" s="211"/>
      <c r="V78" s="211"/>
      <c r="W78" s="211"/>
      <c r="X78" s="211"/>
      <c r="Y78" s="211"/>
      <c r="Z78" s="211"/>
      <c r="AA78" s="211"/>
      <c r="AB78" s="177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7"/>
      <c r="BB78" s="177"/>
      <c r="BC78" s="177"/>
      <c r="BD78" s="177"/>
      <c r="BE78" s="177"/>
      <c r="BF78" s="177"/>
      <c r="BG78" s="177"/>
      <c r="BH78" s="177"/>
      <c r="BI78" s="177"/>
      <c r="BJ78" s="177"/>
      <c r="BK78" s="177"/>
      <c r="BL78" s="177"/>
      <c r="BM78" s="177"/>
      <c r="BN78" s="177"/>
      <c r="BO78" s="177"/>
      <c r="BP78" s="177"/>
      <c r="BQ78" s="177"/>
      <c r="BR78" s="177"/>
      <c r="BS78" s="177"/>
      <c r="BT78" s="177"/>
      <c r="BU78" s="177"/>
      <c r="BV78" s="177"/>
      <c r="BW78" s="177"/>
      <c r="BX78" s="177"/>
      <c r="BY78" s="177"/>
      <c r="BZ78" s="177"/>
      <c r="CA78" s="177"/>
      <c r="CB78" s="177"/>
      <c r="CC78" s="177"/>
      <c r="CD78" s="177"/>
      <c r="CE78" s="177"/>
      <c r="CF78" s="177"/>
      <c r="CG78" s="177"/>
      <c r="CH78" s="177"/>
      <c r="CI78" s="177"/>
      <c r="CJ78" s="177"/>
      <c r="CK78" s="177"/>
      <c r="CL78" s="177"/>
      <c r="CM78" s="177"/>
      <c r="CN78" s="177"/>
      <c r="CO78" s="177"/>
      <c r="CP78" s="177"/>
      <c r="CQ78" s="177"/>
      <c r="CR78" s="177"/>
      <c r="CS78" s="177"/>
      <c r="CT78" s="177"/>
      <c r="CU78" s="177"/>
      <c r="CV78" s="177"/>
      <c r="CW78" s="177"/>
      <c r="CX78" s="177"/>
      <c r="CY78" s="177"/>
      <c r="CZ78" s="177"/>
    </row>
    <row r="79" spans="2:104">
      <c r="B79" s="214"/>
      <c r="C79" s="211"/>
      <c r="D79" s="211"/>
      <c r="E79" s="211"/>
      <c r="F79" s="211"/>
      <c r="G79" s="211"/>
      <c r="H79" s="211"/>
      <c r="I79" s="211"/>
      <c r="J79" s="211"/>
      <c r="K79" s="211"/>
      <c r="L79" s="211"/>
      <c r="M79" s="211"/>
      <c r="N79" s="211"/>
      <c r="O79" s="211"/>
      <c r="P79" s="211"/>
      <c r="Q79" s="211"/>
      <c r="R79" s="211"/>
      <c r="S79" s="211"/>
      <c r="T79" s="211"/>
      <c r="U79" s="211"/>
      <c r="V79" s="211"/>
      <c r="W79" s="211"/>
      <c r="X79" s="211"/>
      <c r="Y79" s="211"/>
      <c r="Z79" s="211"/>
      <c r="AA79" s="211"/>
      <c r="AB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7"/>
      <c r="BN79" s="177"/>
      <c r="BO79" s="177"/>
      <c r="BP79" s="177"/>
      <c r="BQ79" s="177"/>
      <c r="BR79" s="177"/>
      <c r="BS79" s="177"/>
      <c r="BT79" s="177"/>
      <c r="BU79" s="177"/>
      <c r="BV79" s="177"/>
      <c r="BW79" s="177"/>
      <c r="BX79" s="177"/>
      <c r="BY79" s="177"/>
      <c r="BZ79" s="177"/>
      <c r="CA79" s="177"/>
      <c r="CB79" s="177"/>
      <c r="CC79" s="177"/>
      <c r="CD79" s="177"/>
      <c r="CE79" s="177"/>
      <c r="CF79" s="177"/>
      <c r="CG79" s="177"/>
      <c r="CH79" s="177"/>
      <c r="CI79" s="177"/>
      <c r="CJ79" s="177"/>
      <c r="CK79" s="177"/>
      <c r="CL79" s="177"/>
      <c r="CM79" s="177"/>
      <c r="CN79" s="177"/>
      <c r="CO79" s="177"/>
      <c r="CP79" s="177"/>
      <c r="CQ79" s="177"/>
      <c r="CR79" s="177"/>
      <c r="CS79" s="177"/>
      <c r="CT79" s="177"/>
      <c r="CU79" s="177"/>
      <c r="CV79" s="177"/>
      <c r="CW79" s="177"/>
      <c r="CX79" s="177"/>
      <c r="CY79" s="177"/>
      <c r="CZ79" s="177"/>
    </row>
    <row r="80" spans="2:104">
      <c r="B80" s="214"/>
      <c r="C80" s="211"/>
      <c r="D80" s="211"/>
      <c r="E80" s="211"/>
      <c r="F80" s="211"/>
      <c r="G80" s="211"/>
      <c r="H80" s="211"/>
      <c r="I80" s="211"/>
      <c r="J80" s="211"/>
      <c r="K80" s="211"/>
      <c r="L80" s="211"/>
      <c r="M80" s="211"/>
      <c r="N80" s="211"/>
      <c r="O80" s="211"/>
      <c r="P80" s="211"/>
      <c r="Q80" s="211"/>
      <c r="R80" s="211"/>
      <c r="S80" s="211"/>
      <c r="T80" s="211"/>
      <c r="U80" s="211"/>
      <c r="V80" s="211"/>
      <c r="W80" s="211"/>
      <c r="X80" s="211"/>
      <c r="Y80" s="211"/>
      <c r="Z80" s="211"/>
      <c r="AA80" s="211"/>
      <c r="AB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7"/>
      <c r="BN80" s="177"/>
      <c r="BO80" s="177"/>
      <c r="BP80" s="177"/>
      <c r="BQ80" s="177"/>
      <c r="BR80" s="177"/>
      <c r="BS80" s="177"/>
      <c r="BT80" s="177"/>
      <c r="BU80" s="177"/>
      <c r="BV80" s="177"/>
      <c r="BW80" s="177"/>
      <c r="BX80" s="177"/>
      <c r="BY80" s="177"/>
      <c r="BZ80" s="177"/>
      <c r="CA80" s="177"/>
      <c r="CB80" s="177"/>
      <c r="CC80" s="177"/>
      <c r="CD80" s="177"/>
      <c r="CE80" s="177"/>
      <c r="CF80" s="177"/>
      <c r="CG80" s="177"/>
      <c r="CH80" s="177"/>
      <c r="CI80" s="177"/>
      <c r="CJ80" s="177"/>
      <c r="CK80" s="177"/>
      <c r="CL80" s="177"/>
      <c r="CM80" s="177"/>
      <c r="CN80" s="177"/>
      <c r="CO80" s="177"/>
      <c r="CP80" s="177"/>
      <c r="CQ80" s="177"/>
      <c r="CR80" s="177"/>
      <c r="CS80" s="177"/>
      <c r="CT80" s="177"/>
      <c r="CU80" s="177"/>
      <c r="CV80" s="177"/>
      <c r="CW80" s="177"/>
      <c r="CX80" s="177"/>
      <c r="CY80" s="177"/>
      <c r="CZ80" s="177"/>
    </row>
    <row r="81" spans="2:104">
      <c r="B81" s="214"/>
      <c r="C81" s="211"/>
      <c r="D81" s="211"/>
      <c r="E81" s="211"/>
      <c r="F81" s="211"/>
      <c r="G81" s="211"/>
      <c r="H81" s="211"/>
      <c r="I81" s="211"/>
      <c r="J81" s="211"/>
      <c r="K81" s="211"/>
      <c r="L81" s="211"/>
      <c r="M81" s="211"/>
      <c r="N81" s="211"/>
      <c r="O81" s="211"/>
      <c r="P81" s="211"/>
      <c r="Q81" s="211"/>
      <c r="R81" s="211"/>
      <c r="S81" s="211"/>
      <c r="T81" s="211"/>
      <c r="U81" s="211"/>
      <c r="V81" s="211"/>
      <c r="W81" s="211"/>
      <c r="X81" s="211"/>
      <c r="Y81" s="211"/>
      <c r="Z81" s="211"/>
      <c r="AA81" s="211"/>
      <c r="AB81" s="177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7"/>
      <c r="BN81" s="177"/>
      <c r="BO81" s="177"/>
      <c r="BP81" s="177"/>
      <c r="BQ81" s="177"/>
      <c r="BR81" s="177"/>
      <c r="BS81" s="177"/>
      <c r="BT81" s="177"/>
      <c r="BU81" s="177"/>
      <c r="BV81" s="177"/>
      <c r="BW81" s="177"/>
      <c r="BX81" s="177"/>
      <c r="BY81" s="177"/>
      <c r="BZ81" s="177"/>
      <c r="CA81" s="177"/>
      <c r="CB81" s="177"/>
      <c r="CC81" s="177"/>
      <c r="CD81" s="177"/>
      <c r="CE81" s="177"/>
      <c r="CF81" s="177"/>
      <c r="CG81" s="177"/>
      <c r="CH81" s="177"/>
      <c r="CI81" s="177"/>
      <c r="CJ81" s="177"/>
      <c r="CK81" s="177"/>
      <c r="CL81" s="177"/>
      <c r="CM81" s="177"/>
      <c r="CN81" s="177"/>
      <c r="CO81" s="177"/>
      <c r="CP81" s="177"/>
      <c r="CQ81" s="177"/>
      <c r="CR81" s="177"/>
      <c r="CS81" s="177"/>
      <c r="CT81" s="177"/>
      <c r="CU81" s="177"/>
      <c r="CV81" s="177"/>
      <c r="CW81" s="177"/>
      <c r="CX81" s="177"/>
      <c r="CY81" s="177"/>
      <c r="CZ81" s="177"/>
    </row>
    <row r="82" spans="2:104">
      <c r="B82" s="214"/>
      <c r="C82" s="211"/>
      <c r="D82" s="211"/>
      <c r="E82" s="211"/>
      <c r="F82" s="211"/>
      <c r="G82" s="211"/>
      <c r="H82" s="211"/>
      <c r="I82" s="211"/>
      <c r="J82" s="211"/>
      <c r="K82" s="211"/>
      <c r="L82" s="211"/>
      <c r="M82" s="211"/>
      <c r="N82" s="211"/>
      <c r="O82" s="211"/>
      <c r="P82" s="211"/>
      <c r="Q82" s="211"/>
      <c r="R82" s="211"/>
      <c r="S82" s="211"/>
      <c r="T82" s="211"/>
      <c r="U82" s="211"/>
      <c r="V82" s="211"/>
      <c r="W82" s="211"/>
      <c r="X82" s="211"/>
      <c r="Y82" s="211"/>
      <c r="Z82" s="211"/>
      <c r="AA82" s="211"/>
      <c r="AB82" s="177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7"/>
      <c r="BN82" s="177"/>
      <c r="BO82" s="177"/>
      <c r="BP82" s="177"/>
      <c r="BQ82" s="177"/>
      <c r="BR82" s="177"/>
      <c r="BS82" s="177"/>
      <c r="BT82" s="177"/>
      <c r="BU82" s="177"/>
      <c r="BV82" s="177"/>
      <c r="BW82" s="177"/>
      <c r="BX82" s="177"/>
      <c r="BY82" s="177"/>
      <c r="BZ82" s="177"/>
      <c r="CA82" s="177"/>
      <c r="CB82" s="177"/>
      <c r="CC82" s="177"/>
      <c r="CD82" s="177"/>
      <c r="CE82" s="177"/>
      <c r="CF82" s="177"/>
      <c r="CG82" s="177"/>
      <c r="CH82" s="177"/>
      <c r="CI82" s="177"/>
      <c r="CJ82" s="177"/>
      <c r="CK82" s="177"/>
      <c r="CL82" s="177"/>
      <c r="CM82" s="177"/>
      <c r="CN82" s="177"/>
      <c r="CO82" s="177"/>
      <c r="CP82" s="177"/>
      <c r="CQ82" s="177"/>
      <c r="CR82" s="177"/>
      <c r="CS82" s="177"/>
      <c r="CT82" s="177"/>
      <c r="CU82" s="177"/>
      <c r="CV82" s="177"/>
      <c r="CW82" s="177"/>
      <c r="CX82" s="177"/>
      <c r="CY82" s="177"/>
      <c r="CZ82" s="177"/>
    </row>
    <row r="83" spans="2:104">
      <c r="B83" s="214"/>
      <c r="C83" s="211"/>
      <c r="D83" s="211"/>
      <c r="E83" s="211"/>
      <c r="F83" s="211"/>
      <c r="G83" s="211"/>
      <c r="H83" s="211"/>
      <c r="I83" s="211"/>
      <c r="J83" s="211"/>
      <c r="K83" s="211"/>
      <c r="L83" s="211"/>
      <c r="M83" s="211"/>
      <c r="N83" s="211"/>
      <c r="O83" s="211"/>
      <c r="P83" s="211"/>
      <c r="Q83" s="211"/>
      <c r="R83" s="211"/>
      <c r="S83" s="211"/>
      <c r="T83" s="211"/>
      <c r="U83" s="211"/>
      <c r="V83" s="211"/>
      <c r="W83" s="211"/>
      <c r="X83" s="211"/>
      <c r="Y83" s="211"/>
      <c r="Z83" s="211"/>
      <c r="AA83" s="211"/>
      <c r="AB83" s="177"/>
      <c r="AE83" s="177"/>
      <c r="AF83" s="177"/>
      <c r="AG83" s="177"/>
      <c r="AH83" s="177"/>
      <c r="AI83" s="177"/>
      <c r="AJ83" s="177"/>
      <c r="AK83" s="177"/>
      <c r="AL83" s="177"/>
      <c r="AM83" s="177"/>
      <c r="AN83" s="177"/>
      <c r="AO83" s="177"/>
      <c r="AP83" s="177"/>
      <c r="AQ83" s="177"/>
      <c r="AR83" s="177"/>
      <c r="AS83" s="177"/>
      <c r="AT83" s="177"/>
      <c r="AU83" s="177"/>
      <c r="AV83" s="177"/>
      <c r="AW83" s="177"/>
      <c r="AX83" s="177"/>
      <c r="AY83" s="177"/>
      <c r="AZ83" s="177"/>
      <c r="BA83" s="177"/>
      <c r="BB83" s="177"/>
      <c r="BC83" s="177"/>
      <c r="BD83" s="177"/>
      <c r="BE83" s="177"/>
      <c r="BF83" s="177"/>
      <c r="BG83" s="177"/>
      <c r="BH83" s="177"/>
      <c r="BI83" s="177"/>
      <c r="BJ83" s="177"/>
      <c r="BK83" s="177"/>
      <c r="BL83" s="177"/>
      <c r="BM83" s="177"/>
      <c r="BN83" s="177"/>
      <c r="BO83" s="177"/>
      <c r="BP83" s="177"/>
      <c r="BQ83" s="177"/>
      <c r="BR83" s="177"/>
      <c r="BS83" s="177"/>
      <c r="BT83" s="177"/>
      <c r="BU83" s="177"/>
      <c r="BV83" s="177"/>
      <c r="BW83" s="177"/>
      <c r="BX83" s="177"/>
      <c r="BY83" s="177"/>
      <c r="BZ83" s="177"/>
      <c r="CA83" s="177"/>
      <c r="CB83" s="177"/>
      <c r="CC83" s="177"/>
      <c r="CD83" s="177"/>
      <c r="CE83" s="177"/>
      <c r="CF83" s="177"/>
      <c r="CG83" s="177"/>
      <c r="CH83" s="177"/>
      <c r="CI83" s="177"/>
      <c r="CJ83" s="177"/>
      <c r="CK83" s="177"/>
      <c r="CL83" s="177"/>
      <c r="CM83" s="177"/>
      <c r="CN83" s="177"/>
      <c r="CO83" s="177"/>
      <c r="CP83" s="177"/>
      <c r="CQ83" s="177"/>
      <c r="CR83" s="177"/>
      <c r="CS83" s="177"/>
      <c r="CT83" s="177"/>
      <c r="CU83" s="177"/>
      <c r="CV83" s="177"/>
      <c r="CW83" s="177"/>
      <c r="CX83" s="177"/>
      <c r="CY83" s="177"/>
      <c r="CZ83" s="177"/>
    </row>
    <row r="84" spans="2:104">
      <c r="B84" s="214"/>
      <c r="C84" s="211"/>
      <c r="D84" s="211"/>
      <c r="E84" s="211"/>
      <c r="F84" s="211"/>
      <c r="G84" s="211"/>
      <c r="H84" s="211"/>
      <c r="I84" s="211"/>
      <c r="J84" s="211"/>
      <c r="K84" s="211"/>
      <c r="L84" s="211"/>
      <c r="M84" s="211"/>
      <c r="N84" s="211"/>
      <c r="O84" s="211"/>
      <c r="P84" s="211"/>
      <c r="Q84" s="211"/>
      <c r="R84" s="211"/>
      <c r="S84" s="211"/>
      <c r="T84" s="211"/>
      <c r="U84" s="211"/>
      <c r="V84" s="211"/>
      <c r="W84" s="211"/>
      <c r="X84" s="211"/>
      <c r="Y84" s="211"/>
      <c r="Z84" s="211"/>
      <c r="AA84" s="211"/>
      <c r="AB84" s="177"/>
      <c r="AE84" s="177"/>
      <c r="AF84" s="177"/>
      <c r="AG84" s="177"/>
      <c r="AH84" s="177"/>
      <c r="AI84" s="177"/>
      <c r="AJ84" s="177"/>
      <c r="AK84" s="177"/>
      <c r="AL84" s="177"/>
      <c r="AM84" s="177"/>
      <c r="AN84" s="177"/>
      <c r="AO84" s="177"/>
      <c r="AP84" s="177"/>
      <c r="AQ84" s="177"/>
      <c r="AR84" s="177"/>
      <c r="AS84" s="177"/>
      <c r="AT84" s="177"/>
      <c r="AU84" s="177"/>
      <c r="AV84" s="177"/>
      <c r="AW84" s="177"/>
      <c r="AX84" s="177"/>
      <c r="AY84" s="177"/>
      <c r="AZ84" s="177"/>
      <c r="BA84" s="177"/>
      <c r="BB84" s="177"/>
      <c r="BC84" s="177"/>
      <c r="BD84" s="177"/>
      <c r="BE84" s="177"/>
      <c r="BF84" s="177"/>
      <c r="BG84" s="177"/>
      <c r="BH84" s="177"/>
      <c r="BI84" s="177"/>
      <c r="BJ84" s="177"/>
      <c r="BK84" s="177"/>
      <c r="BL84" s="177"/>
      <c r="BM84" s="177"/>
      <c r="BN84" s="177"/>
      <c r="BO84" s="177"/>
      <c r="BP84" s="177"/>
      <c r="BQ84" s="177"/>
      <c r="BR84" s="177"/>
      <c r="BS84" s="177"/>
      <c r="BT84" s="177"/>
      <c r="BU84" s="177"/>
      <c r="BV84" s="177"/>
      <c r="BW84" s="177"/>
      <c r="BX84" s="177"/>
      <c r="BY84" s="177"/>
      <c r="BZ84" s="177"/>
      <c r="CA84" s="177"/>
      <c r="CB84" s="177"/>
      <c r="CC84" s="177"/>
      <c r="CD84" s="177"/>
      <c r="CE84" s="177"/>
      <c r="CF84" s="177"/>
      <c r="CG84" s="177"/>
      <c r="CH84" s="177"/>
      <c r="CI84" s="177"/>
      <c r="CJ84" s="177"/>
      <c r="CK84" s="177"/>
      <c r="CL84" s="177"/>
      <c r="CM84" s="177"/>
      <c r="CN84" s="177"/>
      <c r="CO84" s="177"/>
      <c r="CP84" s="177"/>
      <c r="CQ84" s="177"/>
      <c r="CR84" s="177"/>
      <c r="CS84" s="177"/>
      <c r="CT84" s="177"/>
      <c r="CU84" s="177"/>
      <c r="CV84" s="177"/>
      <c r="CW84" s="177"/>
      <c r="CX84" s="177"/>
      <c r="CY84" s="177"/>
      <c r="CZ84" s="177"/>
    </row>
    <row r="85" spans="2:104">
      <c r="B85" s="214"/>
      <c r="C85" s="211"/>
      <c r="D85" s="211"/>
      <c r="E85" s="211"/>
      <c r="F85" s="211"/>
      <c r="G85" s="211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177"/>
      <c r="AE85" s="177"/>
      <c r="AF85" s="177"/>
      <c r="AG85" s="177"/>
      <c r="AH85" s="177"/>
      <c r="AI85" s="177"/>
      <c r="AJ85" s="177"/>
      <c r="AK85" s="177"/>
      <c r="AL85" s="177"/>
      <c r="AM85" s="177"/>
      <c r="AN85" s="177"/>
      <c r="AO85" s="177"/>
      <c r="AP85" s="177"/>
      <c r="AQ85" s="177"/>
      <c r="AR85" s="177"/>
      <c r="AS85" s="177"/>
      <c r="AT85" s="177"/>
      <c r="AU85" s="177"/>
      <c r="AV85" s="177"/>
      <c r="AW85" s="177"/>
      <c r="AX85" s="177"/>
      <c r="AY85" s="177"/>
      <c r="AZ85" s="177"/>
      <c r="BA85" s="177"/>
      <c r="BB85" s="177"/>
      <c r="BC85" s="177"/>
      <c r="BD85" s="177"/>
      <c r="BE85" s="177"/>
      <c r="BF85" s="177"/>
      <c r="BG85" s="177"/>
      <c r="BH85" s="177"/>
      <c r="BI85" s="177"/>
      <c r="BJ85" s="177"/>
      <c r="BK85" s="177"/>
      <c r="BL85" s="177"/>
      <c r="BM85" s="177"/>
      <c r="BN85" s="177"/>
      <c r="BO85" s="177"/>
      <c r="BP85" s="177"/>
      <c r="BQ85" s="177"/>
      <c r="BR85" s="177"/>
      <c r="BS85" s="177"/>
      <c r="BT85" s="177"/>
      <c r="BU85" s="177"/>
      <c r="BV85" s="177"/>
      <c r="BW85" s="177"/>
      <c r="BX85" s="177"/>
      <c r="BY85" s="177"/>
      <c r="BZ85" s="177"/>
      <c r="CA85" s="177"/>
      <c r="CB85" s="177"/>
      <c r="CC85" s="177"/>
      <c r="CD85" s="177"/>
      <c r="CE85" s="177"/>
      <c r="CF85" s="177"/>
      <c r="CG85" s="177"/>
      <c r="CH85" s="177"/>
      <c r="CI85" s="177"/>
      <c r="CJ85" s="177"/>
      <c r="CK85" s="177"/>
      <c r="CL85" s="177"/>
      <c r="CM85" s="177"/>
      <c r="CN85" s="177"/>
      <c r="CO85" s="177"/>
      <c r="CP85" s="177"/>
      <c r="CQ85" s="177"/>
      <c r="CR85" s="177"/>
      <c r="CS85" s="177"/>
      <c r="CT85" s="177"/>
      <c r="CU85" s="177"/>
      <c r="CV85" s="177"/>
      <c r="CW85" s="177"/>
      <c r="CX85" s="177"/>
      <c r="CY85" s="177"/>
      <c r="CZ85" s="177"/>
    </row>
    <row r="86" spans="2:104">
      <c r="B86" s="214"/>
      <c r="C86" s="211"/>
      <c r="D86" s="211"/>
      <c r="E86" s="211"/>
      <c r="F86" s="211"/>
      <c r="G86" s="211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177"/>
      <c r="AE86" s="177"/>
      <c r="AF86" s="177"/>
      <c r="AG86" s="177"/>
      <c r="AH86" s="177"/>
      <c r="AI86" s="177"/>
      <c r="AJ86" s="177"/>
      <c r="AK86" s="177"/>
      <c r="AL86" s="177"/>
      <c r="AM86" s="177"/>
      <c r="AN86" s="177"/>
      <c r="AO86" s="177"/>
      <c r="AP86" s="177"/>
      <c r="AQ86" s="177"/>
      <c r="AR86" s="177"/>
      <c r="AS86" s="177"/>
      <c r="AT86" s="177"/>
      <c r="AU86" s="177"/>
      <c r="AV86" s="177"/>
      <c r="AW86" s="177"/>
      <c r="AX86" s="177"/>
      <c r="AY86" s="177"/>
      <c r="AZ86" s="177"/>
      <c r="BA86" s="177"/>
      <c r="BB86" s="177"/>
      <c r="BC86" s="177"/>
      <c r="BD86" s="177"/>
      <c r="BE86" s="177"/>
      <c r="BF86" s="177"/>
      <c r="BG86" s="177"/>
      <c r="BH86" s="177"/>
      <c r="BI86" s="177"/>
      <c r="BJ86" s="177"/>
      <c r="BK86" s="177"/>
      <c r="BL86" s="177"/>
      <c r="BM86" s="177"/>
      <c r="BN86" s="177"/>
      <c r="BO86" s="177"/>
      <c r="BP86" s="177"/>
      <c r="BQ86" s="177"/>
      <c r="BR86" s="177"/>
      <c r="BS86" s="177"/>
      <c r="BT86" s="177"/>
      <c r="BU86" s="177"/>
      <c r="BV86" s="177"/>
      <c r="BW86" s="177"/>
      <c r="BX86" s="177"/>
      <c r="BY86" s="177"/>
      <c r="BZ86" s="177"/>
      <c r="CA86" s="177"/>
      <c r="CB86" s="177"/>
      <c r="CC86" s="177"/>
      <c r="CD86" s="177"/>
      <c r="CE86" s="177"/>
      <c r="CF86" s="177"/>
      <c r="CG86" s="177"/>
      <c r="CH86" s="177"/>
      <c r="CI86" s="177"/>
      <c r="CJ86" s="177"/>
      <c r="CK86" s="177"/>
      <c r="CL86" s="177"/>
      <c r="CM86" s="177"/>
      <c r="CN86" s="177"/>
      <c r="CO86" s="177"/>
      <c r="CP86" s="177"/>
      <c r="CQ86" s="177"/>
      <c r="CR86" s="177"/>
      <c r="CS86" s="177"/>
      <c r="CT86" s="177"/>
      <c r="CU86" s="177"/>
      <c r="CV86" s="177"/>
      <c r="CW86" s="177"/>
      <c r="CX86" s="177"/>
      <c r="CY86" s="177"/>
      <c r="CZ86" s="177"/>
    </row>
    <row r="87" spans="2:104">
      <c r="B87" s="214"/>
      <c r="C87" s="211"/>
      <c r="D87" s="211"/>
      <c r="E87" s="211"/>
      <c r="F87" s="211"/>
      <c r="G87" s="211"/>
      <c r="H87" s="211"/>
      <c r="I87" s="211"/>
      <c r="J87" s="211"/>
      <c r="K87" s="211"/>
      <c r="L87" s="211"/>
      <c r="M87" s="211"/>
      <c r="N87" s="211"/>
      <c r="O87" s="211"/>
      <c r="P87" s="211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177"/>
      <c r="AE87" s="177"/>
      <c r="AF87" s="177"/>
      <c r="AG87" s="177"/>
      <c r="AH87" s="177"/>
      <c r="AI87" s="177"/>
      <c r="AJ87" s="177"/>
      <c r="AK87" s="177"/>
      <c r="AL87" s="177"/>
      <c r="AM87" s="177"/>
      <c r="AN87" s="177"/>
      <c r="AO87" s="177"/>
      <c r="AP87" s="177"/>
      <c r="AQ87" s="177"/>
      <c r="AR87" s="177"/>
      <c r="AS87" s="177"/>
      <c r="AT87" s="177"/>
      <c r="AU87" s="177"/>
      <c r="AV87" s="177"/>
      <c r="AW87" s="177"/>
      <c r="AX87" s="177"/>
      <c r="AY87" s="177"/>
      <c r="AZ87" s="177"/>
      <c r="BA87" s="177"/>
      <c r="BB87" s="177"/>
      <c r="BC87" s="177"/>
      <c r="BD87" s="177"/>
      <c r="BE87" s="177"/>
      <c r="BF87" s="177"/>
      <c r="BG87" s="177"/>
      <c r="BH87" s="177"/>
      <c r="BI87" s="177"/>
      <c r="BJ87" s="177"/>
      <c r="BK87" s="177"/>
      <c r="BL87" s="177"/>
      <c r="BM87" s="177"/>
      <c r="BN87" s="177"/>
      <c r="BO87" s="177"/>
      <c r="BP87" s="177"/>
      <c r="BQ87" s="177"/>
      <c r="BR87" s="177"/>
      <c r="BS87" s="177"/>
      <c r="BT87" s="177"/>
      <c r="BU87" s="177"/>
      <c r="BV87" s="177"/>
      <c r="BW87" s="177"/>
      <c r="BX87" s="177"/>
      <c r="BY87" s="177"/>
      <c r="BZ87" s="177"/>
      <c r="CA87" s="177"/>
      <c r="CB87" s="177"/>
      <c r="CC87" s="177"/>
      <c r="CD87" s="177"/>
      <c r="CE87" s="177"/>
      <c r="CF87" s="177"/>
      <c r="CG87" s="177"/>
      <c r="CH87" s="177"/>
      <c r="CI87" s="177"/>
      <c r="CJ87" s="177"/>
      <c r="CK87" s="177"/>
      <c r="CL87" s="177"/>
      <c r="CM87" s="177"/>
      <c r="CN87" s="177"/>
      <c r="CO87" s="177"/>
      <c r="CP87" s="177"/>
      <c r="CQ87" s="177"/>
      <c r="CR87" s="177"/>
      <c r="CS87" s="177"/>
      <c r="CT87" s="177"/>
      <c r="CU87" s="177"/>
      <c r="CV87" s="177"/>
      <c r="CW87" s="177"/>
      <c r="CX87" s="177"/>
      <c r="CY87" s="177"/>
      <c r="CZ87" s="177"/>
    </row>
    <row r="88" spans="2:104">
      <c r="B88" s="214"/>
      <c r="C88" s="211"/>
      <c r="D88" s="211"/>
      <c r="E88" s="211"/>
      <c r="F88" s="211"/>
      <c r="G88" s="211"/>
      <c r="H88" s="211"/>
      <c r="I88" s="211"/>
      <c r="J88" s="211"/>
      <c r="K88" s="211"/>
      <c r="L88" s="211"/>
      <c r="M88" s="211"/>
      <c r="N88" s="211"/>
      <c r="O88" s="211"/>
      <c r="P88" s="211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177"/>
      <c r="AX88" s="177"/>
      <c r="AY88" s="177"/>
      <c r="AZ88" s="177"/>
      <c r="BA88" s="177"/>
      <c r="BB88" s="177"/>
      <c r="BC88" s="177"/>
      <c r="BD88" s="177"/>
      <c r="BE88" s="177"/>
      <c r="BF88" s="177"/>
      <c r="BG88" s="177"/>
      <c r="BH88" s="177"/>
      <c r="BI88" s="177"/>
      <c r="BJ88" s="177"/>
      <c r="BK88" s="177"/>
      <c r="BL88" s="177"/>
      <c r="BM88" s="177"/>
      <c r="BN88" s="177"/>
      <c r="BO88" s="177"/>
      <c r="BP88" s="177"/>
      <c r="BQ88" s="177"/>
      <c r="BR88" s="177"/>
      <c r="BS88" s="177"/>
      <c r="BT88" s="177"/>
      <c r="BU88" s="177"/>
      <c r="BV88" s="177"/>
      <c r="BW88" s="177"/>
      <c r="BX88" s="177"/>
      <c r="BY88" s="177"/>
      <c r="BZ88" s="177"/>
      <c r="CA88" s="177"/>
      <c r="CB88" s="177"/>
      <c r="CC88" s="177"/>
      <c r="CD88" s="177"/>
      <c r="CE88" s="177"/>
      <c r="CF88" s="177"/>
      <c r="CG88" s="177"/>
      <c r="CH88" s="177"/>
      <c r="CI88" s="177"/>
      <c r="CJ88" s="177"/>
      <c r="CK88" s="177"/>
      <c r="CL88" s="177"/>
      <c r="CM88" s="177"/>
      <c r="CN88" s="177"/>
      <c r="CO88" s="177"/>
      <c r="CP88" s="177"/>
      <c r="CQ88" s="177"/>
      <c r="CR88" s="177"/>
      <c r="CS88" s="177"/>
      <c r="CT88" s="177"/>
      <c r="CU88" s="177"/>
      <c r="CV88" s="177"/>
      <c r="CW88" s="177"/>
      <c r="CX88" s="177"/>
      <c r="CY88" s="177"/>
      <c r="CZ88" s="177"/>
    </row>
    <row r="89" spans="2:104">
      <c r="B89" s="214"/>
      <c r="C89" s="211"/>
      <c r="D89" s="211"/>
      <c r="E89" s="211"/>
      <c r="F89" s="211"/>
      <c r="G89" s="211"/>
      <c r="H89" s="211"/>
      <c r="I89" s="211"/>
      <c r="J89" s="211"/>
      <c r="K89" s="211"/>
      <c r="L89" s="211"/>
      <c r="M89" s="211"/>
      <c r="N89" s="211"/>
      <c r="O89" s="211"/>
      <c r="P89" s="211"/>
      <c r="Q89" s="211"/>
      <c r="R89" s="211"/>
      <c r="S89" s="211"/>
      <c r="T89" s="211"/>
      <c r="U89" s="211"/>
      <c r="V89" s="211"/>
      <c r="W89" s="211"/>
      <c r="X89" s="211"/>
      <c r="Y89" s="211"/>
      <c r="Z89" s="211"/>
      <c r="AA89" s="211"/>
      <c r="AB89" s="177"/>
      <c r="AE89" s="177"/>
      <c r="AF89" s="177"/>
      <c r="AG89" s="177"/>
      <c r="AH89" s="177"/>
      <c r="AI89" s="177"/>
      <c r="AJ89" s="177"/>
      <c r="AK89" s="177"/>
      <c r="AL89" s="177"/>
      <c r="AM89" s="177"/>
      <c r="AN89" s="177"/>
      <c r="AO89" s="177"/>
      <c r="AP89" s="177"/>
      <c r="AQ89" s="177"/>
      <c r="AR89" s="177"/>
      <c r="AS89" s="177"/>
      <c r="AT89" s="177"/>
      <c r="AU89" s="177"/>
      <c r="AV89" s="177"/>
      <c r="AW89" s="177"/>
      <c r="AX89" s="177"/>
      <c r="AY89" s="177"/>
      <c r="AZ89" s="177"/>
      <c r="BA89" s="177"/>
      <c r="BB89" s="177"/>
      <c r="BC89" s="177"/>
      <c r="BD89" s="177"/>
      <c r="BE89" s="177"/>
      <c r="BF89" s="177"/>
      <c r="BG89" s="177"/>
      <c r="BH89" s="177"/>
      <c r="BI89" s="177"/>
      <c r="BJ89" s="177"/>
      <c r="BK89" s="177"/>
      <c r="BL89" s="177"/>
      <c r="BM89" s="177"/>
      <c r="BN89" s="177"/>
      <c r="BO89" s="177"/>
      <c r="BP89" s="177"/>
      <c r="BQ89" s="177"/>
      <c r="BR89" s="177"/>
      <c r="BS89" s="177"/>
      <c r="BT89" s="177"/>
      <c r="BU89" s="177"/>
      <c r="BV89" s="177"/>
      <c r="BW89" s="177"/>
      <c r="BX89" s="177"/>
      <c r="BY89" s="177"/>
      <c r="BZ89" s="177"/>
      <c r="CA89" s="177"/>
      <c r="CB89" s="177"/>
      <c r="CC89" s="177"/>
      <c r="CD89" s="177"/>
      <c r="CE89" s="177"/>
      <c r="CF89" s="177"/>
      <c r="CG89" s="177"/>
      <c r="CH89" s="177"/>
      <c r="CI89" s="177"/>
      <c r="CJ89" s="177"/>
      <c r="CK89" s="177"/>
      <c r="CL89" s="177"/>
      <c r="CM89" s="177"/>
      <c r="CN89" s="177"/>
      <c r="CO89" s="177"/>
      <c r="CP89" s="177"/>
      <c r="CQ89" s="177"/>
      <c r="CR89" s="177"/>
      <c r="CS89" s="177"/>
      <c r="CT89" s="177"/>
      <c r="CU89" s="177"/>
      <c r="CV89" s="177"/>
      <c r="CW89" s="177"/>
      <c r="CX89" s="177"/>
      <c r="CY89" s="177"/>
      <c r="CZ89" s="177"/>
    </row>
    <row r="90" spans="2:104">
      <c r="B90" s="214"/>
      <c r="C90" s="211"/>
      <c r="D90" s="211"/>
      <c r="E90" s="211"/>
      <c r="F90" s="211"/>
      <c r="G90" s="211"/>
      <c r="H90" s="211"/>
      <c r="I90" s="211"/>
      <c r="J90" s="211"/>
      <c r="K90" s="211"/>
      <c r="L90" s="211"/>
      <c r="M90" s="211"/>
      <c r="N90" s="211"/>
      <c r="O90" s="211"/>
      <c r="P90" s="211"/>
      <c r="Q90" s="211"/>
      <c r="R90" s="211"/>
      <c r="S90" s="211"/>
      <c r="T90" s="211"/>
      <c r="U90" s="211"/>
      <c r="V90" s="211"/>
      <c r="W90" s="211"/>
      <c r="X90" s="211"/>
      <c r="Y90" s="211"/>
      <c r="Z90" s="211"/>
      <c r="AA90" s="211"/>
      <c r="AB90" s="177"/>
      <c r="AE90" s="177"/>
      <c r="AF90" s="177"/>
      <c r="AG90" s="177"/>
      <c r="AH90" s="177"/>
      <c r="AI90" s="177"/>
      <c r="AJ90" s="177"/>
      <c r="AK90" s="177"/>
      <c r="AL90" s="177"/>
      <c r="AM90" s="177"/>
      <c r="AN90" s="177"/>
      <c r="AO90" s="177"/>
      <c r="AP90" s="177"/>
      <c r="AQ90" s="177"/>
      <c r="AR90" s="177"/>
      <c r="AS90" s="177"/>
      <c r="AT90" s="177"/>
      <c r="AU90" s="177"/>
      <c r="AV90" s="177"/>
      <c r="AW90" s="177"/>
      <c r="AX90" s="177"/>
      <c r="AY90" s="177"/>
      <c r="AZ90" s="177"/>
      <c r="BA90" s="177"/>
      <c r="BB90" s="177"/>
      <c r="BC90" s="177"/>
      <c r="BD90" s="177"/>
      <c r="BE90" s="177"/>
      <c r="BF90" s="177"/>
      <c r="BG90" s="177"/>
      <c r="BH90" s="177"/>
      <c r="BI90" s="177"/>
      <c r="BJ90" s="177"/>
      <c r="BK90" s="177"/>
      <c r="BL90" s="177"/>
      <c r="BM90" s="177"/>
      <c r="BN90" s="177"/>
      <c r="BO90" s="177"/>
      <c r="BP90" s="177"/>
      <c r="BQ90" s="177"/>
      <c r="BR90" s="177"/>
      <c r="BS90" s="177"/>
      <c r="BT90" s="177"/>
      <c r="BU90" s="177"/>
      <c r="BV90" s="177"/>
      <c r="BW90" s="177"/>
      <c r="BX90" s="177"/>
      <c r="BY90" s="177"/>
      <c r="BZ90" s="177"/>
      <c r="CA90" s="177"/>
      <c r="CB90" s="177"/>
      <c r="CC90" s="177"/>
      <c r="CD90" s="177"/>
      <c r="CE90" s="177"/>
      <c r="CF90" s="177"/>
      <c r="CG90" s="177"/>
      <c r="CH90" s="177"/>
      <c r="CI90" s="177"/>
      <c r="CJ90" s="177"/>
      <c r="CK90" s="177"/>
      <c r="CL90" s="177"/>
      <c r="CM90" s="177"/>
      <c r="CN90" s="177"/>
      <c r="CO90" s="177"/>
      <c r="CP90" s="177"/>
      <c r="CQ90" s="177"/>
      <c r="CR90" s="177"/>
      <c r="CS90" s="177"/>
      <c r="CT90" s="177"/>
      <c r="CU90" s="177"/>
      <c r="CV90" s="177"/>
      <c r="CW90" s="177"/>
      <c r="CX90" s="177"/>
      <c r="CY90" s="177"/>
      <c r="CZ90" s="177"/>
    </row>
    <row r="91" spans="2:104">
      <c r="B91" s="214"/>
      <c r="C91" s="211"/>
      <c r="D91" s="211"/>
      <c r="E91" s="211"/>
      <c r="F91" s="211"/>
      <c r="G91" s="211"/>
      <c r="H91" s="211"/>
      <c r="I91" s="211"/>
      <c r="J91" s="211"/>
      <c r="K91" s="211"/>
      <c r="L91" s="211"/>
      <c r="M91" s="211"/>
      <c r="N91" s="211"/>
      <c r="O91" s="211"/>
      <c r="P91" s="211"/>
      <c r="Q91" s="211"/>
      <c r="R91" s="211"/>
      <c r="S91" s="211"/>
      <c r="T91" s="211"/>
      <c r="U91" s="211"/>
      <c r="V91" s="211"/>
      <c r="W91" s="211"/>
      <c r="X91" s="211"/>
      <c r="Y91" s="211"/>
      <c r="Z91" s="211"/>
      <c r="AA91" s="211"/>
      <c r="AB91" s="177"/>
      <c r="AE91" s="177"/>
      <c r="AF91" s="177"/>
      <c r="AG91" s="177"/>
      <c r="AH91" s="177"/>
      <c r="AI91" s="177"/>
      <c r="AJ91" s="177"/>
      <c r="AK91" s="177"/>
      <c r="AL91" s="177"/>
      <c r="AM91" s="177"/>
      <c r="AN91" s="177"/>
      <c r="AO91" s="177"/>
      <c r="AP91" s="177"/>
      <c r="AQ91" s="177"/>
      <c r="AR91" s="177"/>
      <c r="AS91" s="177"/>
      <c r="AT91" s="177"/>
      <c r="AU91" s="177"/>
      <c r="AV91" s="177"/>
      <c r="AW91" s="177"/>
      <c r="AX91" s="177"/>
      <c r="AY91" s="177"/>
      <c r="AZ91" s="177"/>
      <c r="BA91" s="177"/>
      <c r="BB91" s="177"/>
      <c r="BC91" s="177"/>
      <c r="BD91" s="177"/>
      <c r="BE91" s="177"/>
      <c r="BF91" s="177"/>
      <c r="BG91" s="177"/>
      <c r="BH91" s="177"/>
      <c r="BI91" s="177"/>
      <c r="BJ91" s="177"/>
      <c r="BK91" s="177"/>
      <c r="BL91" s="177"/>
      <c r="BM91" s="177"/>
      <c r="BN91" s="177"/>
      <c r="BO91" s="177"/>
      <c r="BP91" s="177"/>
      <c r="BQ91" s="177"/>
      <c r="BR91" s="177"/>
      <c r="BS91" s="177"/>
      <c r="BT91" s="177"/>
      <c r="BU91" s="177"/>
      <c r="BV91" s="177"/>
      <c r="BW91" s="177"/>
      <c r="BX91" s="177"/>
      <c r="BY91" s="177"/>
      <c r="BZ91" s="177"/>
      <c r="CA91" s="177"/>
      <c r="CB91" s="177"/>
      <c r="CC91" s="177"/>
      <c r="CD91" s="177"/>
      <c r="CE91" s="177"/>
      <c r="CF91" s="177"/>
      <c r="CG91" s="177"/>
      <c r="CH91" s="177"/>
      <c r="CI91" s="177"/>
      <c r="CJ91" s="177"/>
      <c r="CK91" s="177"/>
      <c r="CL91" s="177"/>
      <c r="CM91" s="177"/>
      <c r="CN91" s="177"/>
      <c r="CO91" s="177"/>
      <c r="CP91" s="177"/>
      <c r="CQ91" s="177"/>
      <c r="CR91" s="177"/>
      <c r="CS91" s="177"/>
      <c r="CT91" s="177"/>
      <c r="CU91" s="177"/>
      <c r="CV91" s="177"/>
      <c r="CW91" s="177"/>
      <c r="CX91" s="177"/>
      <c r="CY91" s="177"/>
      <c r="CZ91" s="177"/>
    </row>
    <row r="92" spans="2:104">
      <c r="B92" s="214"/>
      <c r="C92" s="211"/>
      <c r="D92" s="211"/>
      <c r="E92" s="211"/>
      <c r="F92" s="211"/>
      <c r="G92" s="211"/>
      <c r="H92" s="211"/>
      <c r="I92" s="211"/>
      <c r="J92" s="211"/>
      <c r="K92" s="211"/>
      <c r="L92" s="211"/>
      <c r="M92" s="211"/>
      <c r="N92" s="211"/>
      <c r="O92" s="211"/>
      <c r="P92" s="211"/>
      <c r="Q92" s="211"/>
      <c r="R92" s="211"/>
      <c r="S92" s="211"/>
      <c r="T92" s="211"/>
      <c r="U92" s="211"/>
      <c r="V92" s="211"/>
      <c r="W92" s="211"/>
      <c r="X92" s="211"/>
      <c r="Y92" s="211"/>
      <c r="Z92" s="211"/>
      <c r="AA92" s="211"/>
      <c r="AB92" s="177"/>
      <c r="AE92" s="177"/>
      <c r="AF92" s="177"/>
      <c r="AG92" s="177"/>
      <c r="AH92" s="177"/>
      <c r="AI92" s="177"/>
      <c r="AJ92" s="177"/>
      <c r="AK92" s="177"/>
      <c r="AL92" s="177"/>
      <c r="AM92" s="177"/>
      <c r="AN92" s="177"/>
      <c r="AO92" s="177"/>
      <c r="AP92" s="177"/>
      <c r="AQ92" s="177"/>
      <c r="AR92" s="177"/>
      <c r="AS92" s="177"/>
      <c r="AT92" s="177"/>
      <c r="AU92" s="177"/>
      <c r="AV92" s="177"/>
      <c r="AW92" s="177"/>
      <c r="AX92" s="177"/>
      <c r="AY92" s="177"/>
      <c r="AZ92" s="177"/>
      <c r="BA92" s="177"/>
      <c r="BB92" s="177"/>
      <c r="BC92" s="177"/>
      <c r="BD92" s="177"/>
      <c r="BE92" s="177"/>
      <c r="BF92" s="177"/>
      <c r="BG92" s="177"/>
      <c r="BH92" s="177"/>
      <c r="BI92" s="177"/>
      <c r="BJ92" s="177"/>
      <c r="BK92" s="177"/>
      <c r="BL92" s="177"/>
      <c r="BM92" s="177"/>
      <c r="BN92" s="177"/>
      <c r="BO92" s="177"/>
      <c r="BP92" s="177"/>
      <c r="BQ92" s="177"/>
      <c r="BR92" s="177"/>
      <c r="BS92" s="177"/>
      <c r="BT92" s="177"/>
      <c r="BU92" s="177"/>
      <c r="BV92" s="177"/>
      <c r="BW92" s="177"/>
      <c r="BX92" s="177"/>
      <c r="BY92" s="177"/>
      <c r="BZ92" s="177"/>
      <c r="CA92" s="177"/>
      <c r="CB92" s="177"/>
      <c r="CC92" s="177"/>
      <c r="CD92" s="177"/>
      <c r="CE92" s="177"/>
      <c r="CF92" s="177"/>
      <c r="CG92" s="177"/>
      <c r="CH92" s="177"/>
      <c r="CI92" s="177"/>
      <c r="CJ92" s="177"/>
      <c r="CK92" s="177"/>
      <c r="CL92" s="177"/>
      <c r="CM92" s="177"/>
      <c r="CN92" s="177"/>
      <c r="CO92" s="177"/>
      <c r="CP92" s="177"/>
      <c r="CQ92" s="177"/>
      <c r="CR92" s="177"/>
      <c r="CS92" s="177"/>
      <c r="CT92" s="177"/>
      <c r="CU92" s="177"/>
      <c r="CV92" s="177"/>
      <c r="CW92" s="177"/>
      <c r="CX92" s="177"/>
      <c r="CY92" s="177"/>
      <c r="CZ92" s="177"/>
    </row>
    <row r="93" spans="2:104">
      <c r="B93" s="214"/>
      <c r="C93" s="211"/>
      <c r="D93" s="211"/>
      <c r="E93" s="211"/>
      <c r="F93" s="211"/>
      <c r="G93" s="211"/>
      <c r="H93" s="211"/>
      <c r="I93" s="211"/>
      <c r="J93" s="211"/>
      <c r="K93" s="211"/>
      <c r="L93" s="211"/>
      <c r="M93" s="211"/>
      <c r="N93" s="211"/>
      <c r="O93" s="211"/>
      <c r="P93" s="211"/>
      <c r="Q93" s="211"/>
      <c r="R93" s="211"/>
      <c r="S93" s="211"/>
      <c r="T93" s="211"/>
      <c r="U93" s="211"/>
      <c r="V93" s="211"/>
      <c r="W93" s="211"/>
      <c r="X93" s="211"/>
      <c r="Y93" s="211"/>
      <c r="Z93" s="211"/>
      <c r="AA93" s="211"/>
      <c r="AB93" s="177"/>
      <c r="AE93" s="177"/>
      <c r="AF93" s="177"/>
      <c r="AG93" s="177"/>
      <c r="AH93" s="177"/>
      <c r="AI93" s="177"/>
      <c r="AJ93" s="177"/>
      <c r="AK93" s="177"/>
      <c r="AL93" s="177"/>
      <c r="AM93" s="177"/>
      <c r="AN93" s="177"/>
      <c r="AO93" s="177"/>
      <c r="AP93" s="177"/>
      <c r="AQ93" s="177"/>
      <c r="AR93" s="177"/>
      <c r="AS93" s="177"/>
      <c r="AT93" s="177"/>
      <c r="AU93" s="177"/>
      <c r="AV93" s="177"/>
      <c r="AW93" s="177"/>
      <c r="AX93" s="177"/>
      <c r="AY93" s="177"/>
      <c r="AZ93" s="177"/>
      <c r="BA93" s="177"/>
      <c r="BB93" s="177"/>
      <c r="BC93" s="177"/>
      <c r="BD93" s="177"/>
      <c r="BE93" s="177"/>
      <c r="BF93" s="177"/>
      <c r="BG93" s="177"/>
      <c r="BH93" s="177"/>
      <c r="BI93" s="177"/>
      <c r="BJ93" s="177"/>
      <c r="BK93" s="177"/>
      <c r="BL93" s="177"/>
      <c r="BM93" s="177"/>
      <c r="BN93" s="177"/>
      <c r="BO93" s="177"/>
      <c r="BP93" s="177"/>
      <c r="BQ93" s="177"/>
      <c r="BR93" s="177"/>
      <c r="BS93" s="177"/>
      <c r="BT93" s="177"/>
      <c r="BU93" s="177"/>
      <c r="BV93" s="177"/>
      <c r="BW93" s="177"/>
      <c r="BX93" s="177"/>
      <c r="BY93" s="177"/>
      <c r="BZ93" s="177"/>
      <c r="CA93" s="177"/>
      <c r="CB93" s="177"/>
      <c r="CC93" s="177"/>
      <c r="CD93" s="177"/>
      <c r="CE93" s="177"/>
      <c r="CF93" s="177"/>
      <c r="CG93" s="177"/>
      <c r="CH93" s="177"/>
      <c r="CI93" s="177"/>
      <c r="CJ93" s="177"/>
      <c r="CK93" s="177"/>
      <c r="CL93" s="177"/>
      <c r="CM93" s="177"/>
      <c r="CN93" s="177"/>
      <c r="CO93" s="177"/>
      <c r="CP93" s="177"/>
      <c r="CQ93" s="177"/>
      <c r="CR93" s="177"/>
      <c r="CS93" s="177"/>
      <c r="CT93" s="177"/>
      <c r="CU93" s="177"/>
      <c r="CV93" s="177"/>
      <c r="CW93" s="177"/>
      <c r="CX93" s="177"/>
      <c r="CY93" s="177"/>
      <c r="CZ93" s="177"/>
    </row>
    <row r="94" spans="2:104">
      <c r="B94" s="214"/>
      <c r="C94" s="211"/>
      <c r="D94" s="211"/>
      <c r="E94" s="211"/>
      <c r="F94" s="211"/>
      <c r="G94" s="211"/>
      <c r="H94" s="211"/>
      <c r="I94" s="211"/>
      <c r="J94" s="211"/>
      <c r="K94" s="211"/>
      <c r="L94" s="211"/>
      <c r="M94" s="211"/>
      <c r="N94" s="211"/>
      <c r="O94" s="211"/>
      <c r="P94" s="211"/>
      <c r="Q94" s="211"/>
      <c r="R94" s="211"/>
      <c r="S94" s="211"/>
      <c r="T94" s="211"/>
      <c r="U94" s="211"/>
      <c r="V94" s="211"/>
      <c r="W94" s="211"/>
      <c r="X94" s="211"/>
      <c r="Y94" s="211"/>
      <c r="Z94" s="211"/>
      <c r="AA94" s="211"/>
      <c r="AB94" s="177"/>
      <c r="AE94" s="177"/>
      <c r="AF94" s="177"/>
      <c r="AG94" s="177"/>
      <c r="AH94" s="177"/>
      <c r="AI94" s="177"/>
      <c r="AJ94" s="177"/>
      <c r="AK94" s="177"/>
      <c r="AL94" s="177"/>
      <c r="AM94" s="177"/>
      <c r="AN94" s="177"/>
      <c r="AO94" s="177"/>
      <c r="AP94" s="177"/>
      <c r="AQ94" s="177"/>
      <c r="AR94" s="177"/>
      <c r="AS94" s="177"/>
      <c r="AT94" s="177"/>
      <c r="AU94" s="177"/>
      <c r="AV94" s="177"/>
      <c r="AW94" s="177"/>
      <c r="AX94" s="177"/>
      <c r="AY94" s="177"/>
      <c r="AZ94" s="177"/>
      <c r="BA94" s="177"/>
      <c r="BB94" s="177"/>
      <c r="BC94" s="177"/>
      <c r="BD94" s="177"/>
      <c r="BE94" s="177"/>
      <c r="BF94" s="177"/>
      <c r="BG94" s="177"/>
      <c r="BH94" s="177"/>
      <c r="BI94" s="177"/>
      <c r="BJ94" s="177"/>
      <c r="BK94" s="177"/>
      <c r="BL94" s="177"/>
      <c r="BM94" s="177"/>
      <c r="BN94" s="177"/>
      <c r="BO94" s="177"/>
      <c r="BP94" s="177"/>
      <c r="BQ94" s="177"/>
      <c r="BR94" s="177"/>
      <c r="BS94" s="177"/>
      <c r="BT94" s="177"/>
      <c r="BU94" s="177"/>
      <c r="BV94" s="177"/>
      <c r="BW94" s="177"/>
      <c r="BX94" s="177"/>
      <c r="BY94" s="177"/>
      <c r="BZ94" s="177"/>
      <c r="CA94" s="177"/>
      <c r="CB94" s="177"/>
      <c r="CC94" s="177"/>
      <c r="CD94" s="177"/>
      <c r="CE94" s="177"/>
      <c r="CF94" s="177"/>
      <c r="CG94" s="177"/>
      <c r="CH94" s="177"/>
      <c r="CI94" s="177"/>
      <c r="CJ94" s="177"/>
      <c r="CK94" s="177"/>
      <c r="CL94" s="177"/>
      <c r="CM94" s="177"/>
      <c r="CN94" s="177"/>
      <c r="CO94" s="177"/>
      <c r="CP94" s="177"/>
      <c r="CQ94" s="177"/>
      <c r="CR94" s="177"/>
      <c r="CS94" s="177"/>
      <c r="CT94" s="177"/>
      <c r="CU94" s="177"/>
      <c r="CV94" s="177"/>
      <c r="CW94" s="177"/>
      <c r="CX94" s="177"/>
      <c r="CY94" s="177"/>
      <c r="CZ94" s="177"/>
    </row>
    <row r="95" spans="2:104">
      <c r="B95" s="214"/>
      <c r="C95" s="211"/>
      <c r="D95" s="211"/>
      <c r="E95" s="211"/>
      <c r="F95" s="211"/>
      <c r="G95" s="211"/>
      <c r="H95" s="211"/>
      <c r="I95" s="211"/>
      <c r="J95" s="211"/>
      <c r="K95" s="211"/>
      <c r="L95" s="211"/>
      <c r="M95" s="211"/>
      <c r="N95" s="211"/>
      <c r="O95" s="211"/>
      <c r="P95" s="211"/>
      <c r="Q95" s="211"/>
      <c r="R95" s="211"/>
      <c r="S95" s="211"/>
      <c r="T95" s="211"/>
      <c r="U95" s="211"/>
      <c r="V95" s="211"/>
      <c r="W95" s="211"/>
      <c r="X95" s="211"/>
      <c r="Y95" s="211"/>
      <c r="Z95" s="211"/>
      <c r="AA95" s="211"/>
      <c r="AB95" s="177"/>
      <c r="AE95" s="177"/>
      <c r="AF95" s="177"/>
      <c r="AG95" s="177"/>
      <c r="AH95" s="177"/>
      <c r="AI95" s="177"/>
      <c r="AJ95" s="177"/>
      <c r="AK95" s="177"/>
      <c r="AL95" s="177"/>
      <c r="AM95" s="177"/>
      <c r="AN95" s="177"/>
      <c r="AO95" s="177"/>
      <c r="AP95" s="177"/>
      <c r="AQ95" s="177"/>
      <c r="AR95" s="177"/>
      <c r="AS95" s="177"/>
      <c r="AT95" s="177"/>
      <c r="AU95" s="177"/>
      <c r="AV95" s="177"/>
      <c r="AW95" s="177"/>
      <c r="AX95" s="177"/>
      <c r="AY95" s="177"/>
      <c r="AZ95" s="177"/>
      <c r="BA95" s="177"/>
      <c r="BB95" s="177"/>
      <c r="BC95" s="177"/>
      <c r="BD95" s="177"/>
      <c r="BE95" s="177"/>
      <c r="BF95" s="177"/>
      <c r="BG95" s="177"/>
      <c r="BH95" s="177"/>
      <c r="BI95" s="177"/>
      <c r="BJ95" s="177"/>
      <c r="BK95" s="177"/>
      <c r="BL95" s="177"/>
      <c r="BM95" s="177"/>
      <c r="BN95" s="177"/>
      <c r="BO95" s="177"/>
      <c r="BP95" s="177"/>
      <c r="BQ95" s="177"/>
      <c r="BR95" s="177"/>
      <c r="BS95" s="177"/>
      <c r="BT95" s="177"/>
      <c r="BU95" s="177"/>
      <c r="BV95" s="177"/>
      <c r="BW95" s="177"/>
      <c r="BX95" s="177"/>
      <c r="BY95" s="177"/>
      <c r="BZ95" s="177"/>
      <c r="CA95" s="177"/>
      <c r="CB95" s="177"/>
      <c r="CC95" s="177"/>
      <c r="CD95" s="177"/>
      <c r="CE95" s="177"/>
      <c r="CF95" s="177"/>
      <c r="CG95" s="177"/>
      <c r="CH95" s="177"/>
      <c r="CI95" s="177"/>
      <c r="CJ95" s="177"/>
      <c r="CK95" s="177"/>
      <c r="CL95" s="177"/>
      <c r="CM95" s="177"/>
      <c r="CN95" s="177"/>
      <c r="CO95" s="177"/>
      <c r="CP95" s="177"/>
      <c r="CQ95" s="177"/>
      <c r="CR95" s="177"/>
      <c r="CS95" s="177"/>
      <c r="CT95" s="177"/>
      <c r="CU95" s="177"/>
      <c r="CV95" s="177"/>
      <c r="CW95" s="177"/>
      <c r="CX95" s="177"/>
      <c r="CY95" s="177"/>
      <c r="CZ95" s="177"/>
    </row>
    <row r="96" spans="2:104">
      <c r="B96" s="214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177"/>
      <c r="AE96" s="177"/>
      <c r="AF96" s="177"/>
      <c r="AG96" s="177"/>
      <c r="AH96" s="177"/>
      <c r="AI96" s="177"/>
      <c r="AJ96" s="177"/>
      <c r="AK96" s="177"/>
      <c r="AL96" s="177"/>
      <c r="AM96" s="177"/>
      <c r="AN96" s="177"/>
      <c r="AO96" s="177"/>
      <c r="AP96" s="177"/>
      <c r="AQ96" s="177"/>
      <c r="AR96" s="177"/>
      <c r="AS96" s="177"/>
      <c r="AT96" s="177"/>
      <c r="AU96" s="177"/>
      <c r="AV96" s="177"/>
      <c r="AW96" s="177"/>
      <c r="AX96" s="177"/>
      <c r="AY96" s="177"/>
      <c r="AZ96" s="177"/>
      <c r="BA96" s="177"/>
      <c r="BB96" s="177"/>
      <c r="BC96" s="177"/>
      <c r="BD96" s="177"/>
      <c r="BE96" s="177"/>
      <c r="BF96" s="177"/>
      <c r="BG96" s="177"/>
      <c r="BH96" s="177"/>
      <c r="BI96" s="177"/>
      <c r="BJ96" s="177"/>
      <c r="BK96" s="177"/>
      <c r="BL96" s="177"/>
      <c r="BM96" s="177"/>
      <c r="BN96" s="177"/>
      <c r="BO96" s="177"/>
      <c r="BP96" s="177"/>
      <c r="BQ96" s="177"/>
      <c r="BR96" s="177"/>
      <c r="BS96" s="177"/>
      <c r="BT96" s="177"/>
      <c r="BU96" s="177"/>
      <c r="BV96" s="177"/>
      <c r="BW96" s="177"/>
      <c r="BX96" s="177"/>
      <c r="BY96" s="177"/>
      <c r="BZ96" s="177"/>
      <c r="CA96" s="177"/>
      <c r="CB96" s="177"/>
      <c r="CC96" s="177"/>
      <c r="CD96" s="177"/>
      <c r="CE96" s="177"/>
      <c r="CF96" s="177"/>
      <c r="CG96" s="177"/>
      <c r="CH96" s="177"/>
      <c r="CI96" s="177"/>
      <c r="CJ96" s="177"/>
      <c r="CK96" s="177"/>
      <c r="CL96" s="177"/>
      <c r="CM96" s="177"/>
      <c r="CN96" s="177"/>
      <c r="CO96" s="177"/>
      <c r="CP96" s="177"/>
      <c r="CQ96" s="177"/>
      <c r="CR96" s="177"/>
      <c r="CS96" s="177"/>
      <c r="CT96" s="177"/>
      <c r="CU96" s="177"/>
      <c r="CV96" s="177"/>
      <c r="CW96" s="177"/>
      <c r="CX96" s="177"/>
      <c r="CY96" s="177"/>
      <c r="CZ96" s="177"/>
    </row>
    <row r="97" spans="2:104">
      <c r="B97" s="214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177"/>
      <c r="AE97" s="177"/>
      <c r="AF97" s="177"/>
      <c r="AG97" s="177"/>
      <c r="AH97" s="177"/>
      <c r="AI97" s="177"/>
      <c r="AJ97" s="177"/>
      <c r="AK97" s="177"/>
      <c r="AL97" s="177"/>
      <c r="AM97" s="177"/>
      <c r="AN97" s="177"/>
      <c r="AO97" s="177"/>
      <c r="AP97" s="177"/>
      <c r="AQ97" s="177"/>
      <c r="AR97" s="177"/>
      <c r="AS97" s="177"/>
      <c r="AT97" s="177"/>
      <c r="AU97" s="177"/>
      <c r="AV97" s="177"/>
      <c r="AW97" s="177"/>
      <c r="AX97" s="177"/>
      <c r="AY97" s="177"/>
      <c r="AZ97" s="177"/>
      <c r="BA97" s="177"/>
      <c r="BB97" s="177"/>
      <c r="BC97" s="177"/>
      <c r="BD97" s="177"/>
      <c r="BE97" s="177"/>
      <c r="BF97" s="177"/>
      <c r="BG97" s="177"/>
      <c r="BH97" s="177"/>
      <c r="BI97" s="177"/>
      <c r="BJ97" s="177"/>
      <c r="BK97" s="177"/>
      <c r="BL97" s="177"/>
      <c r="BM97" s="177"/>
      <c r="BN97" s="177"/>
      <c r="BO97" s="177"/>
      <c r="BP97" s="177"/>
      <c r="BQ97" s="177"/>
      <c r="BR97" s="177"/>
      <c r="BS97" s="177"/>
      <c r="BT97" s="177"/>
      <c r="BU97" s="177"/>
      <c r="BV97" s="177"/>
      <c r="BW97" s="177"/>
      <c r="BX97" s="177"/>
      <c r="BY97" s="177"/>
      <c r="BZ97" s="177"/>
      <c r="CA97" s="177"/>
      <c r="CB97" s="177"/>
      <c r="CC97" s="177"/>
      <c r="CD97" s="177"/>
      <c r="CE97" s="177"/>
      <c r="CF97" s="177"/>
      <c r="CG97" s="177"/>
      <c r="CH97" s="177"/>
      <c r="CI97" s="177"/>
      <c r="CJ97" s="177"/>
      <c r="CK97" s="177"/>
      <c r="CL97" s="177"/>
      <c r="CM97" s="177"/>
      <c r="CN97" s="177"/>
      <c r="CO97" s="177"/>
      <c r="CP97" s="177"/>
      <c r="CQ97" s="177"/>
      <c r="CR97" s="177"/>
      <c r="CS97" s="177"/>
      <c r="CT97" s="177"/>
      <c r="CU97" s="177"/>
      <c r="CV97" s="177"/>
      <c r="CW97" s="177"/>
      <c r="CX97" s="177"/>
      <c r="CY97" s="177"/>
      <c r="CZ97" s="177"/>
    </row>
    <row r="98" spans="2:104">
      <c r="B98" s="214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177"/>
      <c r="AE98" s="177"/>
      <c r="AF98" s="177"/>
      <c r="AG98" s="177"/>
      <c r="AH98" s="177"/>
      <c r="AI98" s="177"/>
      <c r="AJ98" s="177"/>
      <c r="AK98" s="177"/>
      <c r="AL98" s="177"/>
      <c r="AM98" s="177"/>
      <c r="AN98" s="177"/>
      <c r="AO98" s="177"/>
      <c r="AP98" s="177"/>
      <c r="AQ98" s="177"/>
      <c r="AR98" s="177"/>
      <c r="AS98" s="177"/>
      <c r="AT98" s="177"/>
      <c r="AU98" s="177"/>
      <c r="AV98" s="177"/>
      <c r="AW98" s="177"/>
      <c r="AX98" s="177"/>
      <c r="AY98" s="177"/>
      <c r="AZ98" s="177"/>
      <c r="BA98" s="177"/>
      <c r="BB98" s="177"/>
      <c r="BC98" s="177"/>
      <c r="BD98" s="177"/>
      <c r="BE98" s="177"/>
      <c r="BF98" s="177"/>
      <c r="BG98" s="177"/>
      <c r="BH98" s="177"/>
      <c r="BI98" s="177"/>
      <c r="BJ98" s="177"/>
      <c r="BK98" s="177"/>
      <c r="BL98" s="177"/>
      <c r="BM98" s="177"/>
      <c r="BN98" s="177"/>
      <c r="BO98" s="177"/>
      <c r="BP98" s="177"/>
      <c r="BQ98" s="177"/>
      <c r="BR98" s="177"/>
      <c r="BS98" s="177"/>
      <c r="BT98" s="177"/>
      <c r="BU98" s="177"/>
      <c r="BV98" s="177"/>
      <c r="BW98" s="177"/>
      <c r="BX98" s="177"/>
      <c r="BY98" s="177"/>
      <c r="BZ98" s="177"/>
      <c r="CA98" s="177"/>
      <c r="CB98" s="177"/>
      <c r="CC98" s="177"/>
      <c r="CD98" s="177"/>
      <c r="CE98" s="177"/>
      <c r="CF98" s="177"/>
      <c r="CG98" s="177"/>
      <c r="CH98" s="177"/>
      <c r="CI98" s="177"/>
      <c r="CJ98" s="177"/>
      <c r="CK98" s="177"/>
      <c r="CL98" s="177"/>
      <c r="CM98" s="177"/>
      <c r="CN98" s="177"/>
      <c r="CO98" s="177"/>
      <c r="CP98" s="177"/>
      <c r="CQ98" s="177"/>
      <c r="CR98" s="177"/>
      <c r="CS98" s="177"/>
      <c r="CT98" s="177"/>
      <c r="CU98" s="177"/>
      <c r="CV98" s="177"/>
      <c r="CW98" s="177"/>
      <c r="CX98" s="177"/>
      <c r="CY98" s="177"/>
      <c r="CZ98" s="177"/>
    </row>
    <row r="99" spans="2:104">
      <c r="B99" s="214"/>
      <c r="C99" s="211"/>
      <c r="D99" s="211"/>
      <c r="E99" s="211"/>
      <c r="F99" s="211"/>
      <c r="G99" s="211"/>
      <c r="H99" s="211"/>
      <c r="I99" s="211"/>
      <c r="J99" s="211"/>
      <c r="K99" s="211"/>
      <c r="L99" s="211"/>
      <c r="M99" s="211"/>
      <c r="N99" s="211"/>
      <c r="O99" s="211"/>
      <c r="P99" s="211"/>
      <c r="Q99" s="211"/>
      <c r="R99" s="211"/>
      <c r="S99" s="211"/>
      <c r="T99" s="211"/>
      <c r="U99" s="211"/>
      <c r="V99" s="211"/>
      <c r="W99" s="211"/>
      <c r="X99" s="211"/>
      <c r="Y99" s="211"/>
      <c r="Z99" s="211"/>
      <c r="AA99" s="211"/>
      <c r="AB99" s="177"/>
      <c r="AE99" s="177"/>
      <c r="AF99" s="177"/>
      <c r="AG99" s="177"/>
      <c r="AH99" s="177"/>
      <c r="AI99" s="177"/>
      <c r="AJ99" s="177"/>
      <c r="AK99" s="177"/>
      <c r="AL99" s="177"/>
      <c r="AM99" s="177"/>
      <c r="AN99" s="177"/>
      <c r="AO99" s="177"/>
      <c r="AP99" s="177"/>
      <c r="AQ99" s="177"/>
      <c r="AR99" s="177"/>
      <c r="AS99" s="177"/>
      <c r="AT99" s="177"/>
      <c r="AU99" s="177"/>
      <c r="AV99" s="177"/>
      <c r="AW99" s="177"/>
      <c r="AX99" s="177"/>
      <c r="AY99" s="177"/>
      <c r="AZ99" s="177"/>
      <c r="BA99" s="177"/>
      <c r="BB99" s="177"/>
      <c r="BC99" s="177"/>
      <c r="BD99" s="177"/>
      <c r="BE99" s="177"/>
      <c r="BF99" s="177"/>
      <c r="BG99" s="177"/>
      <c r="BH99" s="177"/>
      <c r="BI99" s="177"/>
      <c r="BJ99" s="177"/>
      <c r="BK99" s="177"/>
      <c r="BL99" s="177"/>
      <c r="BM99" s="177"/>
      <c r="BN99" s="177"/>
      <c r="BO99" s="177"/>
      <c r="BP99" s="177"/>
      <c r="BQ99" s="177"/>
      <c r="BR99" s="177"/>
      <c r="BS99" s="177"/>
      <c r="BT99" s="177"/>
      <c r="BU99" s="177"/>
      <c r="BV99" s="177"/>
      <c r="BW99" s="177"/>
      <c r="BX99" s="177"/>
      <c r="BY99" s="177"/>
      <c r="BZ99" s="177"/>
      <c r="CA99" s="177"/>
      <c r="CB99" s="177"/>
      <c r="CC99" s="177"/>
      <c r="CD99" s="177"/>
      <c r="CE99" s="177"/>
      <c r="CF99" s="177"/>
      <c r="CG99" s="177"/>
      <c r="CH99" s="177"/>
      <c r="CI99" s="177"/>
      <c r="CJ99" s="177"/>
      <c r="CK99" s="177"/>
      <c r="CL99" s="177"/>
      <c r="CM99" s="177"/>
      <c r="CN99" s="177"/>
      <c r="CO99" s="177"/>
      <c r="CP99" s="177"/>
      <c r="CQ99" s="177"/>
      <c r="CR99" s="177"/>
      <c r="CS99" s="177"/>
      <c r="CT99" s="177"/>
      <c r="CU99" s="177"/>
      <c r="CV99" s="177"/>
      <c r="CW99" s="177"/>
      <c r="CX99" s="177"/>
      <c r="CY99" s="177"/>
      <c r="CZ99" s="177"/>
    </row>
    <row r="100" spans="2:104">
      <c r="B100" s="214"/>
      <c r="C100" s="211"/>
      <c r="D100" s="211"/>
      <c r="E100" s="211"/>
      <c r="F100" s="211"/>
      <c r="G100" s="211"/>
      <c r="H100" s="211"/>
      <c r="I100" s="211"/>
      <c r="J100" s="211"/>
      <c r="K100" s="211"/>
      <c r="L100" s="211"/>
      <c r="M100" s="211"/>
      <c r="N100" s="211"/>
      <c r="O100" s="211"/>
      <c r="P100" s="211"/>
      <c r="Q100" s="211"/>
      <c r="R100" s="211"/>
      <c r="S100" s="211"/>
      <c r="T100" s="211"/>
      <c r="U100" s="211"/>
      <c r="V100" s="211"/>
      <c r="W100" s="211"/>
      <c r="X100" s="211"/>
      <c r="Y100" s="211"/>
      <c r="Z100" s="211"/>
      <c r="AA100" s="211"/>
      <c r="AB100" s="177"/>
      <c r="AE100" s="177"/>
      <c r="AF100" s="177"/>
      <c r="AG100" s="177"/>
      <c r="AH100" s="177"/>
      <c r="AI100" s="177"/>
      <c r="AJ100" s="177"/>
      <c r="AK100" s="177"/>
      <c r="AL100" s="177"/>
      <c r="AM100" s="177"/>
      <c r="AN100" s="177"/>
      <c r="AO100" s="177"/>
      <c r="AP100" s="177"/>
      <c r="AQ100" s="177"/>
      <c r="AR100" s="177"/>
      <c r="AS100" s="177"/>
      <c r="AT100" s="177"/>
      <c r="AU100" s="177"/>
      <c r="AV100" s="177"/>
      <c r="AW100" s="177"/>
      <c r="AX100" s="177"/>
      <c r="AY100" s="177"/>
      <c r="AZ100" s="177"/>
      <c r="BA100" s="177"/>
      <c r="BB100" s="177"/>
      <c r="BC100" s="177"/>
      <c r="BD100" s="177"/>
      <c r="BE100" s="177"/>
      <c r="BF100" s="177"/>
      <c r="BG100" s="177"/>
      <c r="BH100" s="177"/>
      <c r="BI100" s="177"/>
      <c r="BJ100" s="177"/>
      <c r="BK100" s="177"/>
      <c r="BL100" s="177"/>
      <c r="BM100" s="177"/>
      <c r="BN100" s="177"/>
      <c r="BO100" s="177"/>
      <c r="BP100" s="177"/>
      <c r="BQ100" s="177"/>
      <c r="BR100" s="177"/>
      <c r="BS100" s="177"/>
      <c r="BT100" s="177"/>
      <c r="BU100" s="177"/>
      <c r="BV100" s="177"/>
      <c r="BW100" s="177"/>
      <c r="BX100" s="177"/>
      <c r="BY100" s="177"/>
      <c r="BZ100" s="177"/>
      <c r="CA100" s="177"/>
      <c r="CB100" s="177"/>
      <c r="CC100" s="177"/>
      <c r="CD100" s="177"/>
      <c r="CE100" s="177"/>
      <c r="CF100" s="177"/>
      <c r="CG100" s="177"/>
      <c r="CH100" s="177"/>
      <c r="CI100" s="177"/>
      <c r="CJ100" s="177"/>
      <c r="CK100" s="177"/>
      <c r="CL100" s="177"/>
      <c r="CM100" s="177"/>
      <c r="CN100" s="177"/>
      <c r="CO100" s="177"/>
      <c r="CP100" s="177"/>
      <c r="CQ100" s="177"/>
      <c r="CR100" s="177"/>
      <c r="CS100" s="177"/>
      <c r="CT100" s="177"/>
      <c r="CU100" s="177"/>
      <c r="CV100" s="177"/>
      <c r="CW100" s="177"/>
      <c r="CX100" s="177"/>
      <c r="CY100" s="177"/>
      <c r="CZ100" s="177"/>
    </row>
    <row r="101" spans="2:104">
      <c r="B101" s="214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1"/>
      <c r="AB101" s="177"/>
      <c r="AE101" s="177"/>
      <c r="AF101" s="177"/>
      <c r="AG101" s="177"/>
      <c r="AH101" s="177"/>
      <c r="AI101" s="177"/>
      <c r="AJ101" s="177"/>
      <c r="AK101" s="177"/>
      <c r="AL101" s="177"/>
      <c r="AM101" s="177"/>
      <c r="AN101" s="177"/>
      <c r="AO101" s="177"/>
      <c r="AP101" s="177"/>
      <c r="AQ101" s="177"/>
      <c r="AR101" s="177"/>
      <c r="AS101" s="177"/>
      <c r="AT101" s="177"/>
      <c r="AU101" s="177"/>
      <c r="AV101" s="177"/>
      <c r="AW101" s="177"/>
      <c r="AX101" s="177"/>
      <c r="AY101" s="177"/>
      <c r="AZ101" s="177"/>
      <c r="BA101" s="177"/>
      <c r="BB101" s="177"/>
      <c r="BC101" s="177"/>
      <c r="BD101" s="177"/>
      <c r="BE101" s="177"/>
      <c r="BF101" s="177"/>
      <c r="BG101" s="177"/>
      <c r="BH101" s="177"/>
      <c r="BI101" s="177"/>
      <c r="BJ101" s="177"/>
      <c r="BK101" s="177"/>
      <c r="BL101" s="177"/>
      <c r="BM101" s="177"/>
      <c r="BN101" s="177"/>
      <c r="BO101" s="177"/>
      <c r="BP101" s="177"/>
      <c r="BQ101" s="177"/>
      <c r="BR101" s="177"/>
      <c r="BS101" s="177"/>
      <c r="BT101" s="177"/>
      <c r="BU101" s="177"/>
      <c r="BV101" s="177"/>
      <c r="BW101" s="177"/>
      <c r="BX101" s="177"/>
      <c r="BY101" s="177"/>
      <c r="BZ101" s="177"/>
      <c r="CA101" s="177"/>
      <c r="CB101" s="177"/>
      <c r="CC101" s="177"/>
      <c r="CD101" s="177"/>
      <c r="CE101" s="177"/>
      <c r="CF101" s="177"/>
      <c r="CG101" s="177"/>
      <c r="CH101" s="177"/>
      <c r="CI101" s="177"/>
      <c r="CJ101" s="177"/>
      <c r="CK101" s="177"/>
      <c r="CL101" s="177"/>
      <c r="CM101" s="177"/>
      <c r="CN101" s="177"/>
      <c r="CO101" s="177"/>
      <c r="CP101" s="177"/>
      <c r="CQ101" s="177"/>
      <c r="CR101" s="177"/>
      <c r="CS101" s="177"/>
      <c r="CT101" s="177"/>
      <c r="CU101" s="177"/>
      <c r="CV101" s="177"/>
      <c r="CW101" s="177"/>
      <c r="CX101" s="177"/>
      <c r="CY101" s="177"/>
      <c r="CZ101" s="177"/>
    </row>
    <row r="102" spans="2:104">
      <c r="B102" s="214"/>
      <c r="C102" s="211"/>
      <c r="D102" s="211"/>
      <c r="E102" s="211"/>
      <c r="F102" s="211"/>
      <c r="G102" s="211"/>
      <c r="H102" s="211"/>
      <c r="I102" s="211"/>
      <c r="J102" s="211"/>
      <c r="K102" s="211"/>
      <c r="L102" s="211"/>
      <c r="M102" s="211"/>
      <c r="N102" s="211"/>
      <c r="O102" s="211"/>
      <c r="P102" s="211"/>
      <c r="Q102" s="211"/>
      <c r="R102" s="211"/>
      <c r="S102" s="211"/>
      <c r="T102" s="211"/>
      <c r="U102" s="211"/>
      <c r="V102" s="211"/>
      <c r="W102" s="211"/>
      <c r="X102" s="211"/>
      <c r="Y102" s="211"/>
      <c r="Z102" s="211"/>
      <c r="AA102" s="211"/>
      <c r="AB102" s="177"/>
      <c r="AE102" s="177"/>
      <c r="AF102" s="177"/>
      <c r="AG102" s="177"/>
      <c r="AH102" s="177"/>
      <c r="AI102" s="177"/>
      <c r="AJ102" s="177"/>
      <c r="AK102" s="177"/>
      <c r="AL102" s="177"/>
      <c r="AM102" s="177"/>
      <c r="AN102" s="177"/>
      <c r="AO102" s="177"/>
      <c r="AP102" s="177"/>
      <c r="AQ102" s="177"/>
      <c r="AR102" s="177"/>
      <c r="AS102" s="177"/>
      <c r="AT102" s="177"/>
      <c r="AU102" s="177"/>
      <c r="AV102" s="177"/>
      <c r="AW102" s="177"/>
      <c r="AX102" s="177"/>
      <c r="AY102" s="177"/>
      <c r="AZ102" s="177"/>
      <c r="BA102" s="177"/>
      <c r="BB102" s="177"/>
      <c r="BC102" s="177"/>
      <c r="BD102" s="177"/>
      <c r="BE102" s="177"/>
      <c r="BF102" s="177"/>
      <c r="BG102" s="177"/>
      <c r="BH102" s="177"/>
      <c r="BI102" s="177"/>
      <c r="BJ102" s="177"/>
      <c r="BK102" s="177"/>
      <c r="BL102" s="177"/>
      <c r="BM102" s="177"/>
      <c r="BN102" s="177"/>
      <c r="BO102" s="177"/>
      <c r="BP102" s="177"/>
      <c r="BQ102" s="177"/>
      <c r="BR102" s="177"/>
      <c r="BS102" s="177"/>
      <c r="BT102" s="177"/>
      <c r="BU102" s="177"/>
      <c r="BV102" s="177"/>
      <c r="BW102" s="177"/>
      <c r="BX102" s="177"/>
      <c r="BY102" s="177"/>
      <c r="BZ102" s="177"/>
      <c r="CA102" s="177"/>
      <c r="CB102" s="177"/>
      <c r="CC102" s="177"/>
      <c r="CD102" s="177"/>
      <c r="CE102" s="177"/>
      <c r="CF102" s="177"/>
      <c r="CG102" s="177"/>
      <c r="CH102" s="177"/>
      <c r="CI102" s="177"/>
      <c r="CJ102" s="177"/>
      <c r="CK102" s="177"/>
      <c r="CL102" s="177"/>
      <c r="CM102" s="177"/>
      <c r="CN102" s="177"/>
      <c r="CO102" s="177"/>
      <c r="CP102" s="177"/>
      <c r="CQ102" s="177"/>
      <c r="CR102" s="177"/>
      <c r="CS102" s="177"/>
      <c r="CT102" s="177"/>
      <c r="CU102" s="177"/>
      <c r="CV102" s="177"/>
      <c r="CW102" s="177"/>
      <c r="CX102" s="177"/>
      <c r="CY102" s="177"/>
      <c r="CZ102" s="177"/>
    </row>
    <row r="103" spans="2:104">
      <c r="B103" s="214"/>
      <c r="C103" s="211"/>
      <c r="D103" s="211"/>
      <c r="E103" s="211"/>
      <c r="F103" s="211"/>
      <c r="G103" s="211"/>
      <c r="H103" s="211"/>
      <c r="I103" s="211"/>
      <c r="J103" s="211"/>
      <c r="K103" s="211"/>
      <c r="L103" s="211"/>
      <c r="M103" s="211"/>
      <c r="N103" s="211"/>
      <c r="O103" s="211"/>
      <c r="P103" s="211"/>
      <c r="Q103" s="211"/>
      <c r="R103" s="211"/>
      <c r="S103" s="211"/>
      <c r="T103" s="211"/>
      <c r="U103" s="211"/>
      <c r="V103" s="211"/>
      <c r="W103" s="211"/>
      <c r="X103" s="211"/>
      <c r="Y103" s="211"/>
      <c r="Z103" s="211"/>
      <c r="AA103" s="211"/>
      <c r="AB103" s="177"/>
      <c r="AE103" s="177"/>
      <c r="AF103" s="177"/>
      <c r="AG103" s="177"/>
      <c r="AH103" s="177"/>
      <c r="AI103" s="177"/>
      <c r="AJ103" s="177"/>
      <c r="AK103" s="177"/>
      <c r="AL103" s="177"/>
      <c r="AM103" s="177"/>
      <c r="AN103" s="177"/>
      <c r="AO103" s="177"/>
      <c r="AP103" s="177"/>
      <c r="AQ103" s="177"/>
      <c r="AR103" s="177"/>
      <c r="AS103" s="177"/>
      <c r="AT103" s="177"/>
      <c r="AU103" s="177"/>
      <c r="AV103" s="177"/>
      <c r="AW103" s="177"/>
      <c r="AX103" s="177"/>
      <c r="AY103" s="177"/>
      <c r="AZ103" s="177"/>
      <c r="BA103" s="177"/>
      <c r="BB103" s="177"/>
      <c r="BC103" s="177"/>
      <c r="BD103" s="177"/>
      <c r="BE103" s="177"/>
      <c r="BF103" s="177"/>
      <c r="BG103" s="177"/>
      <c r="BH103" s="177"/>
      <c r="BI103" s="177"/>
      <c r="BJ103" s="177"/>
      <c r="BK103" s="177"/>
      <c r="BL103" s="177"/>
      <c r="BM103" s="177"/>
      <c r="BN103" s="177"/>
      <c r="BO103" s="177"/>
      <c r="BP103" s="177"/>
      <c r="BQ103" s="177"/>
      <c r="BR103" s="177"/>
      <c r="BS103" s="177"/>
      <c r="BT103" s="177"/>
      <c r="BU103" s="177"/>
      <c r="BV103" s="177"/>
      <c r="BW103" s="177"/>
      <c r="BX103" s="177"/>
      <c r="BY103" s="177"/>
      <c r="BZ103" s="177"/>
      <c r="CA103" s="177"/>
      <c r="CB103" s="177"/>
      <c r="CC103" s="177"/>
      <c r="CD103" s="177"/>
      <c r="CE103" s="177"/>
      <c r="CF103" s="177"/>
      <c r="CG103" s="177"/>
      <c r="CH103" s="177"/>
      <c r="CI103" s="177"/>
      <c r="CJ103" s="177"/>
      <c r="CK103" s="177"/>
      <c r="CL103" s="177"/>
      <c r="CM103" s="177"/>
      <c r="CN103" s="177"/>
      <c r="CO103" s="177"/>
      <c r="CP103" s="177"/>
      <c r="CQ103" s="177"/>
      <c r="CR103" s="177"/>
      <c r="CS103" s="177"/>
      <c r="CT103" s="177"/>
      <c r="CU103" s="177"/>
      <c r="CV103" s="177"/>
      <c r="CW103" s="177"/>
      <c r="CX103" s="177"/>
      <c r="CY103" s="177"/>
      <c r="CZ103" s="177"/>
    </row>
    <row r="104" spans="2:104">
      <c r="B104" s="214"/>
      <c r="C104" s="211"/>
      <c r="D104" s="211"/>
      <c r="E104" s="211"/>
      <c r="F104" s="211"/>
      <c r="G104" s="211"/>
      <c r="H104" s="211"/>
      <c r="I104" s="211"/>
      <c r="J104" s="211"/>
      <c r="K104" s="211"/>
      <c r="L104" s="211"/>
      <c r="M104" s="211"/>
      <c r="N104" s="211"/>
      <c r="O104" s="211"/>
      <c r="P104" s="211"/>
      <c r="Q104" s="211"/>
      <c r="R104" s="211"/>
      <c r="S104" s="211"/>
      <c r="T104" s="211"/>
      <c r="U104" s="211"/>
      <c r="V104" s="211"/>
      <c r="W104" s="211"/>
      <c r="X104" s="211"/>
      <c r="Y104" s="211"/>
      <c r="Z104" s="211"/>
      <c r="AA104" s="211"/>
      <c r="AB104" s="177"/>
      <c r="AE104" s="177"/>
      <c r="AF104" s="177"/>
      <c r="AG104" s="177"/>
      <c r="AH104" s="177"/>
      <c r="AI104" s="177"/>
      <c r="AJ104" s="177"/>
      <c r="AK104" s="177"/>
      <c r="AL104" s="177"/>
      <c r="AM104" s="177"/>
      <c r="AN104" s="177"/>
      <c r="AO104" s="177"/>
      <c r="AP104" s="177"/>
      <c r="AQ104" s="177"/>
      <c r="AR104" s="177"/>
      <c r="AS104" s="177"/>
      <c r="AT104" s="177"/>
      <c r="AU104" s="177"/>
      <c r="AV104" s="177"/>
      <c r="AW104" s="177"/>
      <c r="AX104" s="177"/>
      <c r="AY104" s="177"/>
      <c r="AZ104" s="177"/>
      <c r="BA104" s="177"/>
      <c r="BB104" s="177"/>
      <c r="BC104" s="177"/>
      <c r="BD104" s="177"/>
      <c r="BE104" s="177"/>
      <c r="BF104" s="177"/>
      <c r="BG104" s="177"/>
      <c r="BH104" s="177"/>
      <c r="BI104" s="177"/>
      <c r="BJ104" s="177"/>
      <c r="BK104" s="177"/>
      <c r="BL104" s="177"/>
      <c r="BM104" s="177"/>
      <c r="BN104" s="177"/>
      <c r="BO104" s="177"/>
      <c r="BP104" s="177"/>
      <c r="BQ104" s="177"/>
      <c r="BR104" s="177"/>
      <c r="BS104" s="177"/>
      <c r="BT104" s="177"/>
      <c r="BU104" s="177"/>
      <c r="BV104" s="177"/>
      <c r="BW104" s="177"/>
      <c r="BX104" s="177"/>
      <c r="BY104" s="177"/>
      <c r="BZ104" s="177"/>
      <c r="CA104" s="177"/>
      <c r="CB104" s="177"/>
      <c r="CC104" s="177"/>
      <c r="CD104" s="177"/>
      <c r="CE104" s="177"/>
      <c r="CF104" s="177"/>
      <c r="CG104" s="177"/>
      <c r="CH104" s="177"/>
      <c r="CI104" s="177"/>
      <c r="CJ104" s="177"/>
      <c r="CK104" s="177"/>
      <c r="CL104" s="177"/>
      <c r="CM104" s="177"/>
      <c r="CN104" s="177"/>
      <c r="CO104" s="177"/>
      <c r="CP104" s="177"/>
      <c r="CQ104" s="177"/>
      <c r="CR104" s="177"/>
      <c r="CS104" s="177"/>
      <c r="CT104" s="177"/>
      <c r="CU104" s="177"/>
      <c r="CV104" s="177"/>
      <c r="CW104" s="177"/>
      <c r="CX104" s="177"/>
      <c r="CY104" s="177"/>
      <c r="CZ104" s="177"/>
    </row>
    <row r="105" spans="2:104">
      <c r="B105" s="214"/>
      <c r="C105" s="211"/>
      <c r="D105" s="211"/>
      <c r="E105" s="211"/>
      <c r="F105" s="211"/>
      <c r="G105" s="211"/>
      <c r="H105" s="211"/>
      <c r="I105" s="211"/>
      <c r="J105" s="211"/>
      <c r="K105" s="211"/>
      <c r="L105" s="211"/>
      <c r="M105" s="211"/>
      <c r="N105" s="211"/>
      <c r="O105" s="211"/>
      <c r="P105" s="211"/>
      <c r="Q105" s="211"/>
      <c r="R105" s="211"/>
      <c r="S105" s="211"/>
      <c r="T105" s="211"/>
      <c r="U105" s="211"/>
      <c r="V105" s="211"/>
      <c r="W105" s="211"/>
      <c r="X105" s="211"/>
      <c r="Y105" s="211"/>
      <c r="Z105" s="211"/>
      <c r="AA105" s="211"/>
      <c r="AB105" s="177"/>
      <c r="AE105" s="177"/>
      <c r="AF105" s="177"/>
      <c r="AG105" s="177"/>
      <c r="AH105" s="177"/>
      <c r="AI105" s="177"/>
      <c r="AJ105" s="177"/>
      <c r="AK105" s="177"/>
      <c r="AL105" s="177"/>
      <c r="AM105" s="177"/>
      <c r="AN105" s="177"/>
      <c r="AO105" s="177"/>
      <c r="AP105" s="177"/>
      <c r="AQ105" s="177"/>
      <c r="AR105" s="177"/>
      <c r="AS105" s="177"/>
      <c r="AT105" s="177"/>
      <c r="AU105" s="177"/>
      <c r="AV105" s="177"/>
      <c r="AW105" s="177"/>
      <c r="AX105" s="177"/>
      <c r="AY105" s="177"/>
      <c r="AZ105" s="177"/>
      <c r="BA105" s="177"/>
      <c r="BB105" s="177"/>
      <c r="BC105" s="177"/>
      <c r="BD105" s="177"/>
      <c r="BE105" s="177"/>
      <c r="BF105" s="177"/>
      <c r="BG105" s="177"/>
      <c r="BH105" s="177"/>
      <c r="BI105" s="177"/>
      <c r="BJ105" s="177"/>
      <c r="BK105" s="177"/>
      <c r="BL105" s="177"/>
      <c r="BM105" s="177"/>
      <c r="BN105" s="177"/>
      <c r="BO105" s="177"/>
      <c r="BP105" s="177"/>
      <c r="BQ105" s="177"/>
      <c r="BR105" s="177"/>
      <c r="BS105" s="177"/>
      <c r="BT105" s="177"/>
      <c r="BU105" s="177"/>
      <c r="BV105" s="177"/>
      <c r="BW105" s="177"/>
      <c r="BX105" s="177"/>
      <c r="BY105" s="177"/>
      <c r="BZ105" s="177"/>
      <c r="CA105" s="177"/>
      <c r="CB105" s="177"/>
      <c r="CC105" s="177"/>
      <c r="CD105" s="177"/>
      <c r="CE105" s="177"/>
      <c r="CF105" s="177"/>
      <c r="CG105" s="177"/>
      <c r="CH105" s="177"/>
      <c r="CI105" s="177"/>
      <c r="CJ105" s="177"/>
      <c r="CK105" s="177"/>
      <c r="CL105" s="177"/>
      <c r="CM105" s="177"/>
      <c r="CN105" s="177"/>
      <c r="CO105" s="177"/>
      <c r="CP105" s="177"/>
      <c r="CQ105" s="177"/>
      <c r="CR105" s="177"/>
      <c r="CS105" s="177"/>
      <c r="CT105" s="177"/>
      <c r="CU105" s="177"/>
      <c r="CV105" s="177"/>
      <c r="CW105" s="177"/>
      <c r="CX105" s="177"/>
      <c r="CY105" s="177"/>
      <c r="CZ105" s="177"/>
    </row>
    <row r="106" spans="2:104">
      <c r="B106" s="214"/>
      <c r="C106" s="211"/>
      <c r="D106" s="211"/>
      <c r="E106" s="211"/>
      <c r="F106" s="211"/>
      <c r="G106" s="211"/>
      <c r="H106" s="211"/>
      <c r="I106" s="211"/>
      <c r="J106" s="211"/>
      <c r="K106" s="211"/>
      <c r="L106" s="211"/>
      <c r="M106" s="211"/>
      <c r="N106" s="211"/>
      <c r="O106" s="211"/>
      <c r="P106" s="211"/>
      <c r="Q106" s="211"/>
      <c r="R106" s="211"/>
      <c r="S106" s="211"/>
      <c r="T106" s="211"/>
      <c r="U106" s="211"/>
      <c r="V106" s="211"/>
      <c r="W106" s="211"/>
      <c r="X106" s="211"/>
      <c r="Y106" s="211"/>
      <c r="Z106" s="211"/>
      <c r="AA106" s="211"/>
      <c r="AB106" s="177"/>
      <c r="AE106" s="177"/>
      <c r="AF106" s="177"/>
      <c r="AG106" s="177"/>
      <c r="AH106" s="177"/>
      <c r="AI106" s="177"/>
      <c r="AJ106" s="177"/>
      <c r="AK106" s="177"/>
      <c r="AL106" s="177"/>
      <c r="AM106" s="177"/>
      <c r="AN106" s="177"/>
      <c r="AO106" s="177"/>
      <c r="AP106" s="177"/>
      <c r="AQ106" s="177"/>
      <c r="AR106" s="177"/>
      <c r="AS106" s="177"/>
      <c r="AT106" s="177"/>
      <c r="AU106" s="177"/>
      <c r="AV106" s="177"/>
      <c r="AW106" s="177"/>
      <c r="AX106" s="177"/>
      <c r="AY106" s="177"/>
      <c r="AZ106" s="177"/>
      <c r="BA106" s="177"/>
      <c r="BB106" s="177"/>
      <c r="BC106" s="177"/>
      <c r="BD106" s="177"/>
      <c r="BE106" s="177"/>
      <c r="BF106" s="177"/>
      <c r="BG106" s="177"/>
      <c r="BH106" s="177"/>
      <c r="BI106" s="177"/>
      <c r="BJ106" s="177"/>
      <c r="BK106" s="177"/>
      <c r="BL106" s="177"/>
      <c r="BM106" s="177"/>
      <c r="BN106" s="177"/>
      <c r="BO106" s="177"/>
      <c r="BP106" s="177"/>
      <c r="BQ106" s="177"/>
      <c r="BR106" s="177"/>
      <c r="BS106" s="177"/>
      <c r="BT106" s="177"/>
      <c r="BU106" s="177"/>
      <c r="BV106" s="177"/>
      <c r="BW106" s="177"/>
      <c r="BX106" s="177"/>
      <c r="BY106" s="177"/>
      <c r="BZ106" s="177"/>
      <c r="CA106" s="177"/>
      <c r="CB106" s="177"/>
      <c r="CC106" s="177"/>
      <c r="CD106" s="177"/>
      <c r="CE106" s="177"/>
      <c r="CF106" s="177"/>
      <c r="CG106" s="177"/>
      <c r="CH106" s="177"/>
      <c r="CI106" s="177"/>
      <c r="CJ106" s="177"/>
      <c r="CK106" s="177"/>
      <c r="CL106" s="177"/>
      <c r="CM106" s="177"/>
      <c r="CN106" s="177"/>
      <c r="CO106" s="177"/>
      <c r="CP106" s="177"/>
      <c r="CQ106" s="177"/>
      <c r="CR106" s="177"/>
      <c r="CS106" s="177"/>
      <c r="CT106" s="177"/>
      <c r="CU106" s="177"/>
      <c r="CV106" s="177"/>
      <c r="CW106" s="177"/>
      <c r="CX106" s="177"/>
      <c r="CY106" s="177"/>
      <c r="CZ106" s="177"/>
    </row>
    <row r="107" spans="2:104">
      <c r="B107" s="214"/>
      <c r="C107" s="211"/>
      <c r="D107" s="211"/>
      <c r="E107" s="211"/>
      <c r="F107" s="211"/>
      <c r="G107" s="211"/>
      <c r="H107" s="211"/>
      <c r="I107" s="211"/>
      <c r="J107" s="211"/>
      <c r="K107" s="211"/>
      <c r="L107" s="211"/>
      <c r="M107" s="211"/>
      <c r="N107" s="211"/>
      <c r="O107" s="211"/>
      <c r="P107" s="211"/>
      <c r="Q107" s="211"/>
      <c r="R107" s="211"/>
      <c r="S107" s="211"/>
      <c r="T107" s="211"/>
      <c r="U107" s="211"/>
      <c r="V107" s="211"/>
      <c r="W107" s="211"/>
      <c r="X107" s="211"/>
      <c r="Y107" s="211"/>
      <c r="Z107" s="211"/>
      <c r="AA107" s="211"/>
      <c r="AB107" s="177"/>
      <c r="AE107" s="177"/>
      <c r="AF107" s="177"/>
      <c r="AG107" s="177"/>
      <c r="AH107" s="177"/>
      <c r="AI107" s="177"/>
      <c r="AJ107" s="177"/>
      <c r="AK107" s="177"/>
      <c r="AL107" s="177"/>
      <c r="AM107" s="177"/>
      <c r="AN107" s="177"/>
      <c r="AO107" s="177"/>
      <c r="AP107" s="177"/>
      <c r="AQ107" s="177"/>
      <c r="AR107" s="177"/>
      <c r="AS107" s="177"/>
      <c r="AT107" s="177"/>
      <c r="AU107" s="177"/>
      <c r="AV107" s="177"/>
      <c r="AW107" s="177"/>
      <c r="AX107" s="177"/>
      <c r="AY107" s="177"/>
      <c r="AZ107" s="177"/>
      <c r="BA107" s="177"/>
      <c r="BB107" s="177"/>
      <c r="BC107" s="177"/>
      <c r="BD107" s="177"/>
      <c r="BE107" s="177"/>
      <c r="BF107" s="177"/>
      <c r="BG107" s="177"/>
      <c r="BH107" s="177"/>
      <c r="BI107" s="177"/>
      <c r="BJ107" s="177"/>
      <c r="BK107" s="177"/>
      <c r="BL107" s="177"/>
      <c r="BM107" s="177"/>
      <c r="BN107" s="177"/>
      <c r="BO107" s="177"/>
      <c r="BP107" s="177"/>
      <c r="BQ107" s="177"/>
      <c r="BR107" s="177"/>
      <c r="BS107" s="177"/>
      <c r="BT107" s="177"/>
      <c r="BU107" s="177"/>
      <c r="BV107" s="177"/>
      <c r="BW107" s="177"/>
      <c r="BX107" s="177"/>
      <c r="BY107" s="177"/>
      <c r="BZ107" s="177"/>
      <c r="CA107" s="177"/>
      <c r="CB107" s="177"/>
      <c r="CC107" s="177"/>
      <c r="CD107" s="177"/>
      <c r="CE107" s="177"/>
      <c r="CF107" s="177"/>
      <c r="CG107" s="177"/>
      <c r="CH107" s="177"/>
      <c r="CI107" s="177"/>
      <c r="CJ107" s="177"/>
      <c r="CK107" s="177"/>
      <c r="CL107" s="177"/>
      <c r="CM107" s="177"/>
      <c r="CN107" s="177"/>
      <c r="CO107" s="177"/>
      <c r="CP107" s="177"/>
      <c r="CQ107" s="177"/>
      <c r="CR107" s="177"/>
      <c r="CS107" s="177"/>
      <c r="CT107" s="177"/>
      <c r="CU107" s="177"/>
      <c r="CV107" s="177"/>
      <c r="CW107" s="177"/>
      <c r="CX107" s="177"/>
      <c r="CY107" s="177"/>
      <c r="CZ107" s="177"/>
    </row>
    <row r="108" spans="2:104">
      <c r="B108" s="214"/>
      <c r="C108" s="211"/>
      <c r="D108" s="211"/>
      <c r="E108" s="211"/>
      <c r="F108" s="211"/>
      <c r="G108" s="211"/>
      <c r="H108" s="211"/>
      <c r="I108" s="211"/>
      <c r="J108" s="211"/>
      <c r="K108" s="211"/>
      <c r="L108" s="211"/>
      <c r="M108" s="211"/>
      <c r="N108" s="211"/>
      <c r="O108" s="211"/>
      <c r="P108" s="211"/>
      <c r="Q108" s="211"/>
      <c r="R108" s="211"/>
      <c r="S108" s="211"/>
      <c r="T108" s="211"/>
      <c r="U108" s="211"/>
      <c r="V108" s="211"/>
      <c r="W108" s="211"/>
      <c r="X108" s="211"/>
      <c r="Y108" s="211"/>
      <c r="Z108" s="211"/>
      <c r="AA108" s="211"/>
      <c r="AB108" s="177"/>
      <c r="AE108" s="177"/>
      <c r="AF108" s="177"/>
      <c r="AG108" s="177"/>
      <c r="AH108" s="177"/>
      <c r="AI108" s="177"/>
      <c r="AJ108" s="177"/>
      <c r="AK108" s="177"/>
      <c r="AL108" s="177"/>
      <c r="AM108" s="177"/>
      <c r="AN108" s="177"/>
      <c r="AO108" s="177"/>
      <c r="AP108" s="177"/>
      <c r="AQ108" s="177"/>
      <c r="AR108" s="177"/>
      <c r="AS108" s="177"/>
      <c r="AT108" s="177"/>
      <c r="AU108" s="177"/>
      <c r="AV108" s="177"/>
      <c r="AW108" s="177"/>
      <c r="AX108" s="177"/>
      <c r="AY108" s="177"/>
      <c r="AZ108" s="177"/>
      <c r="BA108" s="177"/>
      <c r="BB108" s="177"/>
      <c r="BC108" s="177"/>
      <c r="BD108" s="177"/>
      <c r="BE108" s="177"/>
      <c r="BF108" s="177"/>
      <c r="BG108" s="177"/>
      <c r="BH108" s="177"/>
      <c r="BI108" s="177"/>
      <c r="BJ108" s="177"/>
      <c r="BK108" s="177"/>
      <c r="BL108" s="177"/>
      <c r="BM108" s="177"/>
      <c r="BN108" s="177"/>
      <c r="BO108" s="177"/>
      <c r="BP108" s="177"/>
      <c r="BQ108" s="177"/>
      <c r="BR108" s="177"/>
      <c r="BS108" s="177"/>
      <c r="BT108" s="177"/>
      <c r="BU108" s="177"/>
      <c r="BV108" s="177"/>
      <c r="BW108" s="177"/>
      <c r="BX108" s="177"/>
      <c r="BY108" s="177"/>
      <c r="BZ108" s="177"/>
      <c r="CA108" s="177"/>
      <c r="CB108" s="177"/>
      <c r="CC108" s="177"/>
      <c r="CD108" s="177"/>
      <c r="CE108" s="177"/>
      <c r="CF108" s="177"/>
      <c r="CG108" s="177"/>
      <c r="CH108" s="177"/>
      <c r="CI108" s="177"/>
      <c r="CJ108" s="177"/>
      <c r="CK108" s="177"/>
      <c r="CL108" s="177"/>
      <c r="CM108" s="177"/>
      <c r="CN108" s="177"/>
      <c r="CO108" s="177"/>
      <c r="CP108" s="177"/>
      <c r="CQ108" s="177"/>
      <c r="CR108" s="177"/>
      <c r="CS108" s="177"/>
      <c r="CT108" s="177"/>
      <c r="CU108" s="177"/>
      <c r="CV108" s="177"/>
      <c r="CW108" s="177"/>
      <c r="CX108" s="177"/>
      <c r="CY108" s="177"/>
      <c r="CZ108" s="177"/>
    </row>
    <row r="109" spans="2:104">
      <c r="B109" s="214"/>
      <c r="C109" s="211"/>
      <c r="D109" s="211"/>
      <c r="E109" s="211"/>
      <c r="F109" s="211"/>
      <c r="G109" s="211"/>
      <c r="H109" s="211"/>
      <c r="I109" s="211"/>
      <c r="J109" s="211"/>
      <c r="K109" s="211"/>
      <c r="L109" s="211"/>
      <c r="M109" s="211"/>
      <c r="N109" s="211"/>
      <c r="O109" s="211"/>
      <c r="P109" s="211"/>
      <c r="Q109" s="211"/>
      <c r="R109" s="211"/>
      <c r="S109" s="211"/>
      <c r="T109" s="211"/>
      <c r="U109" s="211"/>
      <c r="V109" s="211"/>
      <c r="W109" s="211"/>
      <c r="X109" s="211"/>
      <c r="Y109" s="211"/>
      <c r="Z109" s="211"/>
      <c r="AA109" s="211"/>
      <c r="AB109" s="177"/>
      <c r="AE109" s="177"/>
      <c r="AF109" s="177"/>
      <c r="AG109" s="177"/>
      <c r="AH109" s="177"/>
      <c r="AI109" s="177"/>
      <c r="AJ109" s="177"/>
      <c r="AK109" s="177"/>
      <c r="AL109" s="177"/>
      <c r="AM109" s="177"/>
      <c r="AN109" s="177"/>
      <c r="AO109" s="177"/>
      <c r="AP109" s="177"/>
      <c r="AQ109" s="177"/>
      <c r="AR109" s="177"/>
      <c r="AS109" s="177"/>
      <c r="AT109" s="177"/>
      <c r="AU109" s="177"/>
      <c r="AV109" s="177"/>
      <c r="AW109" s="177"/>
      <c r="AX109" s="177"/>
      <c r="AY109" s="177"/>
      <c r="AZ109" s="177"/>
      <c r="BA109" s="177"/>
      <c r="BB109" s="177"/>
      <c r="BC109" s="177"/>
      <c r="BD109" s="177"/>
      <c r="BE109" s="177"/>
      <c r="BF109" s="177"/>
      <c r="BG109" s="177"/>
      <c r="BH109" s="177"/>
      <c r="BI109" s="177"/>
      <c r="BJ109" s="177"/>
      <c r="BK109" s="177"/>
      <c r="BL109" s="177"/>
      <c r="BM109" s="177"/>
      <c r="BN109" s="177"/>
      <c r="BO109" s="177"/>
      <c r="BP109" s="177"/>
      <c r="BQ109" s="177"/>
      <c r="BR109" s="177"/>
      <c r="BS109" s="177"/>
      <c r="BT109" s="177"/>
      <c r="BU109" s="177"/>
      <c r="BV109" s="177"/>
      <c r="BW109" s="177"/>
      <c r="BX109" s="177"/>
      <c r="BY109" s="177"/>
      <c r="BZ109" s="177"/>
      <c r="CA109" s="177"/>
      <c r="CB109" s="177"/>
      <c r="CC109" s="177"/>
      <c r="CD109" s="177"/>
      <c r="CE109" s="177"/>
      <c r="CF109" s="177"/>
      <c r="CG109" s="177"/>
      <c r="CH109" s="177"/>
      <c r="CI109" s="177"/>
      <c r="CJ109" s="177"/>
      <c r="CK109" s="177"/>
      <c r="CL109" s="177"/>
      <c r="CM109" s="177"/>
      <c r="CN109" s="177"/>
      <c r="CO109" s="177"/>
      <c r="CP109" s="177"/>
      <c r="CQ109" s="177"/>
      <c r="CR109" s="177"/>
      <c r="CS109" s="177"/>
      <c r="CT109" s="177"/>
      <c r="CU109" s="177"/>
      <c r="CV109" s="177"/>
      <c r="CW109" s="177"/>
      <c r="CX109" s="177"/>
      <c r="CY109" s="177"/>
      <c r="CZ109" s="177"/>
    </row>
    <row r="110" spans="2:104">
      <c r="B110" s="214"/>
      <c r="C110" s="211"/>
      <c r="D110" s="211"/>
      <c r="E110" s="211"/>
      <c r="F110" s="211"/>
      <c r="G110" s="211"/>
      <c r="H110" s="211"/>
      <c r="I110" s="211"/>
      <c r="J110" s="211"/>
      <c r="K110" s="211"/>
      <c r="L110" s="211"/>
      <c r="M110" s="211"/>
      <c r="N110" s="211"/>
      <c r="O110" s="211"/>
      <c r="P110" s="211"/>
      <c r="Q110" s="211"/>
      <c r="R110" s="211"/>
      <c r="S110" s="211"/>
      <c r="T110" s="211"/>
      <c r="U110" s="211"/>
      <c r="V110" s="211"/>
      <c r="W110" s="211"/>
      <c r="X110" s="211"/>
      <c r="Y110" s="211"/>
      <c r="Z110" s="211"/>
      <c r="AA110" s="211"/>
      <c r="AB110" s="177"/>
      <c r="AE110" s="177"/>
      <c r="AF110" s="177"/>
      <c r="AG110" s="177"/>
      <c r="AH110" s="177"/>
      <c r="AI110" s="177"/>
      <c r="AJ110" s="177"/>
      <c r="AK110" s="177"/>
      <c r="AL110" s="177"/>
      <c r="AM110" s="177"/>
      <c r="AN110" s="177"/>
      <c r="AO110" s="177"/>
      <c r="AP110" s="177"/>
      <c r="AQ110" s="177"/>
      <c r="AR110" s="177"/>
      <c r="AS110" s="177"/>
      <c r="AT110" s="177"/>
      <c r="AU110" s="177"/>
      <c r="AV110" s="177"/>
      <c r="AW110" s="177"/>
      <c r="AX110" s="177"/>
      <c r="AY110" s="177"/>
      <c r="AZ110" s="177"/>
      <c r="BA110" s="177"/>
      <c r="BB110" s="177"/>
      <c r="BC110" s="177"/>
      <c r="BD110" s="177"/>
      <c r="BE110" s="177"/>
      <c r="BF110" s="177"/>
      <c r="BG110" s="177"/>
      <c r="BH110" s="177"/>
      <c r="BI110" s="177"/>
      <c r="BJ110" s="177"/>
      <c r="BK110" s="177"/>
      <c r="BL110" s="177"/>
      <c r="BM110" s="177"/>
      <c r="BN110" s="177"/>
      <c r="BO110" s="177"/>
      <c r="BP110" s="177"/>
      <c r="BQ110" s="177"/>
      <c r="BR110" s="177"/>
      <c r="BS110" s="177"/>
      <c r="BT110" s="177"/>
      <c r="BU110" s="177"/>
      <c r="BV110" s="177"/>
      <c r="BW110" s="177"/>
      <c r="BX110" s="177"/>
      <c r="BY110" s="177"/>
      <c r="BZ110" s="177"/>
      <c r="CA110" s="177"/>
      <c r="CB110" s="177"/>
      <c r="CC110" s="177"/>
      <c r="CD110" s="177"/>
      <c r="CE110" s="177"/>
      <c r="CF110" s="177"/>
      <c r="CG110" s="177"/>
      <c r="CH110" s="177"/>
      <c r="CI110" s="177"/>
      <c r="CJ110" s="177"/>
      <c r="CK110" s="177"/>
      <c r="CL110" s="177"/>
      <c r="CM110" s="177"/>
      <c r="CN110" s="177"/>
      <c r="CO110" s="177"/>
      <c r="CP110" s="177"/>
      <c r="CQ110" s="177"/>
      <c r="CR110" s="177"/>
      <c r="CS110" s="177"/>
      <c r="CT110" s="177"/>
      <c r="CU110" s="177"/>
      <c r="CV110" s="177"/>
      <c r="CW110" s="177"/>
      <c r="CX110" s="177"/>
      <c r="CY110" s="177"/>
      <c r="CZ110" s="177"/>
    </row>
    <row r="111" spans="2:104">
      <c r="B111" s="214"/>
      <c r="C111" s="211"/>
      <c r="D111" s="211"/>
      <c r="E111" s="211"/>
      <c r="F111" s="211"/>
      <c r="G111" s="211"/>
      <c r="H111" s="211"/>
      <c r="I111" s="211"/>
      <c r="J111" s="211"/>
      <c r="K111" s="211"/>
      <c r="L111" s="211"/>
      <c r="M111" s="211"/>
      <c r="N111" s="211"/>
      <c r="O111" s="211"/>
      <c r="P111" s="211"/>
      <c r="Q111" s="211"/>
      <c r="R111" s="211"/>
      <c r="S111" s="211"/>
      <c r="T111" s="211"/>
      <c r="U111" s="211"/>
      <c r="V111" s="211"/>
      <c r="W111" s="211"/>
      <c r="X111" s="211"/>
      <c r="Y111" s="211"/>
      <c r="Z111" s="211"/>
      <c r="AA111" s="211"/>
      <c r="AB111" s="177"/>
      <c r="AE111" s="177"/>
      <c r="AF111" s="177"/>
      <c r="AG111" s="177"/>
      <c r="AH111" s="177"/>
      <c r="AI111" s="177"/>
      <c r="AJ111" s="177"/>
      <c r="AK111" s="177"/>
      <c r="AL111" s="177"/>
      <c r="AM111" s="177"/>
      <c r="AN111" s="177"/>
      <c r="AO111" s="177"/>
      <c r="AP111" s="177"/>
      <c r="AQ111" s="177"/>
      <c r="AR111" s="177"/>
      <c r="AS111" s="177"/>
      <c r="AT111" s="177"/>
      <c r="AU111" s="177"/>
      <c r="AV111" s="177"/>
      <c r="AW111" s="177"/>
      <c r="AX111" s="177"/>
      <c r="AY111" s="177"/>
      <c r="AZ111" s="177"/>
      <c r="BA111" s="177"/>
      <c r="BB111" s="177"/>
      <c r="BC111" s="177"/>
      <c r="BD111" s="177"/>
      <c r="BE111" s="177"/>
      <c r="BF111" s="177"/>
      <c r="BG111" s="177"/>
      <c r="BH111" s="177"/>
      <c r="BI111" s="177"/>
      <c r="BJ111" s="177"/>
      <c r="BK111" s="177"/>
      <c r="BL111" s="177"/>
      <c r="BM111" s="177"/>
      <c r="BN111" s="177"/>
      <c r="BO111" s="177"/>
      <c r="BP111" s="177"/>
      <c r="BQ111" s="177"/>
      <c r="BR111" s="177"/>
      <c r="BS111" s="177"/>
      <c r="BT111" s="177"/>
      <c r="BU111" s="177"/>
      <c r="BV111" s="177"/>
      <c r="BW111" s="177"/>
      <c r="BX111" s="177"/>
      <c r="BY111" s="177"/>
      <c r="BZ111" s="177"/>
      <c r="CA111" s="177"/>
      <c r="CB111" s="177"/>
      <c r="CC111" s="177"/>
      <c r="CD111" s="177"/>
      <c r="CE111" s="177"/>
      <c r="CF111" s="177"/>
      <c r="CG111" s="177"/>
      <c r="CH111" s="177"/>
      <c r="CI111" s="177"/>
      <c r="CJ111" s="177"/>
      <c r="CK111" s="177"/>
      <c r="CL111" s="177"/>
      <c r="CM111" s="177"/>
      <c r="CN111" s="177"/>
      <c r="CO111" s="177"/>
      <c r="CP111" s="177"/>
      <c r="CQ111" s="177"/>
      <c r="CR111" s="177"/>
      <c r="CS111" s="177"/>
      <c r="CT111" s="177"/>
      <c r="CU111" s="177"/>
      <c r="CV111" s="177"/>
      <c r="CW111" s="177"/>
      <c r="CX111" s="177"/>
      <c r="CY111" s="177"/>
      <c r="CZ111" s="177"/>
    </row>
    <row r="112" spans="2:104">
      <c r="B112" s="214"/>
      <c r="C112" s="211"/>
      <c r="D112" s="211"/>
      <c r="E112" s="211"/>
      <c r="F112" s="211"/>
      <c r="G112" s="211"/>
      <c r="H112" s="211"/>
      <c r="I112" s="211"/>
      <c r="J112" s="211"/>
      <c r="K112" s="211"/>
      <c r="L112" s="211"/>
      <c r="M112" s="211"/>
      <c r="N112" s="211"/>
      <c r="O112" s="211"/>
      <c r="P112" s="211"/>
      <c r="Q112" s="211"/>
      <c r="R112" s="211"/>
      <c r="S112" s="211"/>
      <c r="T112" s="211"/>
      <c r="U112" s="211"/>
      <c r="V112" s="211"/>
      <c r="W112" s="211"/>
      <c r="X112" s="211"/>
      <c r="Y112" s="211"/>
      <c r="Z112" s="211"/>
      <c r="AA112" s="211"/>
      <c r="AB112" s="177"/>
      <c r="AE112" s="177"/>
      <c r="AF112" s="177"/>
      <c r="AG112" s="177"/>
      <c r="AH112" s="177"/>
      <c r="AI112" s="177"/>
      <c r="AJ112" s="177"/>
      <c r="AK112" s="177"/>
      <c r="AL112" s="177"/>
      <c r="AM112" s="177"/>
      <c r="AN112" s="177"/>
      <c r="AO112" s="177"/>
      <c r="AP112" s="177"/>
      <c r="AQ112" s="177"/>
      <c r="AR112" s="177"/>
      <c r="AS112" s="177"/>
      <c r="AT112" s="177"/>
      <c r="AU112" s="177"/>
      <c r="AV112" s="177"/>
      <c r="AW112" s="177"/>
      <c r="AX112" s="177"/>
      <c r="AY112" s="177"/>
      <c r="AZ112" s="177"/>
      <c r="BA112" s="177"/>
      <c r="BB112" s="177"/>
      <c r="BC112" s="177"/>
      <c r="BD112" s="177"/>
      <c r="BE112" s="177"/>
      <c r="BF112" s="177"/>
      <c r="BG112" s="177"/>
      <c r="BH112" s="177"/>
      <c r="BI112" s="177"/>
      <c r="BJ112" s="177"/>
      <c r="BK112" s="177"/>
      <c r="BL112" s="177"/>
      <c r="BM112" s="177"/>
      <c r="BN112" s="177"/>
      <c r="BO112" s="177"/>
      <c r="BP112" s="177"/>
      <c r="BQ112" s="177"/>
      <c r="BR112" s="177"/>
      <c r="BS112" s="177"/>
      <c r="BT112" s="177"/>
      <c r="BU112" s="177"/>
      <c r="BV112" s="177"/>
      <c r="BW112" s="177"/>
      <c r="BX112" s="177"/>
      <c r="BY112" s="177"/>
      <c r="BZ112" s="177"/>
      <c r="CA112" s="177"/>
      <c r="CB112" s="177"/>
      <c r="CC112" s="177"/>
      <c r="CD112" s="177"/>
      <c r="CE112" s="177"/>
      <c r="CF112" s="177"/>
      <c r="CG112" s="177"/>
      <c r="CH112" s="177"/>
      <c r="CI112" s="177"/>
      <c r="CJ112" s="177"/>
      <c r="CK112" s="177"/>
      <c r="CL112" s="177"/>
      <c r="CM112" s="177"/>
      <c r="CN112" s="177"/>
      <c r="CO112" s="177"/>
      <c r="CP112" s="177"/>
      <c r="CQ112" s="177"/>
      <c r="CR112" s="177"/>
      <c r="CS112" s="177"/>
      <c r="CT112" s="177"/>
      <c r="CU112" s="177"/>
      <c r="CV112" s="177"/>
      <c r="CW112" s="177"/>
      <c r="CX112" s="177"/>
      <c r="CY112" s="177"/>
      <c r="CZ112" s="177"/>
    </row>
    <row r="113" spans="2:104">
      <c r="B113" s="214"/>
      <c r="C113" s="211"/>
      <c r="D113" s="211"/>
      <c r="E113" s="211"/>
      <c r="F113" s="211"/>
      <c r="G113" s="211"/>
      <c r="H113" s="211"/>
      <c r="I113" s="211"/>
      <c r="J113" s="211"/>
      <c r="K113" s="211"/>
      <c r="L113" s="211"/>
      <c r="M113" s="211"/>
      <c r="N113" s="211"/>
      <c r="O113" s="211"/>
      <c r="P113" s="211"/>
      <c r="Q113" s="211"/>
      <c r="R113" s="211"/>
      <c r="S113" s="211"/>
      <c r="T113" s="211"/>
      <c r="U113" s="211"/>
      <c r="V113" s="211"/>
      <c r="W113" s="211"/>
      <c r="X113" s="211"/>
      <c r="Y113" s="211"/>
      <c r="Z113" s="211"/>
      <c r="AA113" s="211"/>
      <c r="AB113" s="177"/>
      <c r="AE113" s="177"/>
      <c r="AF113" s="177"/>
      <c r="AG113" s="177"/>
      <c r="AH113" s="177"/>
      <c r="AI113" s="177"/>
      <c r="AJ113" s="177"/>
      <c r="AK113" s="177"/>
      <c r="AL113" s="177"/>
      <c r="AM113" s="177"/>
      <c r="AN113" s="177"/>
      <c r="AO113" s="177"/>
      <c r="AP113" s="177"/>
      <c r="AQ113" s="177"/>
      <c r="AR113" s="177"/>
      <c r="AS113" s="177"/>
      <c r="AT113" s="177"/>
      <c r="AU113" s="177"/>
      <c r="AV113" s="177"/>
      <c r="AW113" s="177"/>
      <c r="AX113" s="177"/>
      <c r="AY113" s="177"/>
      <c r="AZ113" s="177"/>
      <c r="BA113" s="177"/>
      <c r="BB113" s="177"/>
      <c r="BC113" s="177"/>
      <c r="BD113" s="177"/>
      <c r="BE113" s="177"/>
      <c r="BF113" s="177"/>
      <c r="BG113" s="177"/>
      <c r="BH113" s="177"/>
      <c r="BI113" s="177"/>
      <c r="BJ113" s="177"/>
      <c r="BK113" s="177"/>
      <c r="BL113" s="177"/>
      <c r="BM113" s="177"/>
      <c r="BN113" s="177"/>
      <c r="BO113" s="177"/>
      <c r="BP113" s="177"/>
      <c r="BQ113" s="177"/>
      <c r="BR113" s="177"/>
      <c r="BS113" s="177"/>
      <c r="BT113" s="177"/>
      <c r="BU113" s="177"/>
      <c r="BV113" s="177"/>
      <c r="BW113" s="177"/>
      <c r="BX113" s="177"/>
      <c r="BY113" s="177"/>
      <c r="BZ113" s="177"/>
      <c r="CA113" s="177"/>
      <c r="CB113" s="177"/>
      <c r="CC113" s="177"/>
      <c r="CD113" s="177"/>
      <c r="CE113" s="177"/>
      <c r="CF113" s="177"/>
      <c r="CG113" s="177"/>
      <c r="CH113" s="177"/>
      <c r="CI113" s="177"/>
      <c r="CJ113" s="177"/>
      <c r="CK113" s="177"/>
      <c r="CL113" s="177"/>
      <c r="CM113" s="177"/>
      <c r="CN113" s="177"/>
      <c r="CO113" s="177"/>
      <c r="CP113" s="177"/>
      <c r="CQ113" s="177"/>
      <c r="CR113" s="177"/>
      <c r="CS113" s="177"/>
      <c r="CT113" s="177"/>
      <c r="CU113" s="177"/>
      <c r="CV113" s="177"/>
      <c r="CW113" s="177"/>
      <c r="CX113" s="177"/>
      <c r="CY113" s="177"/>
      <c r="CZ113" s="177"/>
    </row>
    <row r="114" spans="2:104">
      <c r="B114" s="214"/>
      <c r="C114" s="211"/>
      <c r="D114" s="211"/>
      <c r="E114" s="211"/>
      <c r="F114" s="211"/>
      <c r="G114" s="211"/>
      <c r="H114" s="211"/>
      <c r="I114" s="211"/>
      <c r="J114" s="211"/>
      <c r="K114" s="211"/>
      <c r="L114" s="211"/>
      <c r="M114" s="211"/>
      <c r="N114" s="211"/>
      <c r="O114" s="211"/>
      <c r="P114" s="211"/>
      <c r="Q114" s="211"/>
      <c r="R114" s="211"/>
      <c r="S114" s="211"/>
      <c r="T114" s="211"/>
      <c r="U114" s="211"/>
      <c r="V114" s="211"/>
      <c r="W114" s="211"/>
      <c r="X114" s="211"/>
      <c r="Y114" s="211"/>
      <c r="Z114" s="211"/>
      <c r="AA114" s="211"/>
      <c r="AB114" s="177"/>
      <c r="AE114" s="177"/>
      <c r="AF114" s="177"/>
      <c r="AG114" s="177"/>
      <c r="AH114" s="177"/>
      <c r="AI114" s="177"/>
      <c r="AJ114" s="177"/>
      <c r="AK114" s="177"/>
      <c r="AL114" s="177"/>
      <c r="AM114" s="177"/>
      <c r="AN114" s="177"/>
      <c r="AO114" s="177"/>
      <c r="AP114" s="177"/>
      <c r="AQ114" s="177"/>
      <c r="AR114" s="177"/>
      <c r="AS114" s="177"/>
      <c r="AT114" s="177"/>
      <c r="AU114" s="177"/>
      <c r="AV114" s="177"/>
      <c r="AW114" s="177"/>
      <c r="AX114" s="177"/>
      <c r="AY114" s="177"/>
      <c r="AZ114" s="177"/>
      <c r="BA114" s="177"/>
      <c r="BB114" s="177"/>
      <c r="BC114" s="177"/>
      <c r="BD114" s="177"/>
      <c r="BE114" s="177"/>
      <c r="BF114" s="177"/>
      <c r="BG114" s="177"/>
      <c r="BH114" s="177"/>
      <c r="BI114" s="177"/>
      <c r="BJ114" s="177"/>
      <c r="BK114" s="177"/>
      <c r="BL114" s="177"/>
      <c r="BM114" s="177"/>
      <c r="BN114" s="177"/>
      <c r="BO114" s="177"/>
      <c r="BP114" s="177"/>
      <c r="BQ114" s="177"/>
      <c r="BR114" s="177"/>
      <c r="BS114" s="177"/>
      <c r="BT114" s="177"/>
      <c r="BU114" s="177"/>
      <c r="BV114" s="177"/>
      <c r="BW114" s="177"/>
      <c r="BX114" s="177"/>
      <c r="BY114" s="177"/>
      <c r="BZ114" s="177"/>
      <c r="CA114" s="177"/>
      <c r="CB114" s="177"/>
      <c r="CC114" s="177"/>
      <c r="CD114" s="177"/>
      <c r="CE114" s="177"/>
      <c r="CF114" s="177"/>
      <c r="CG114" s="177"/>
      <c r="CH114" s="177"/>
      <c r="CI114" s="177"/>
      <c r="CJ114" s="177"/>
      <c r="CK114" s="177"/>
      <c r="CL114" s="177"/>
      <c r="CM114" s="177"/>
      <c r="CN114" s="177"/>
      <c r="CO114" s="177"/>
      <c r="CP114" s="177"/>
      <c r="CQ114" s="177"/>
      <c r="CR114" s="177"/>
      <c r="CS114" s="177"/>
      <c r="CT114" s="177"/>
      <c r="CU114" s="177"/>
      <c r="CV114" s="177"/>
      <c r="CW114" s="177"/>
      <c r="CX114" s="177"/>
      <c r="CY114" s="177"/>
      <c r="CZ114" s="177"/>
    </row>
    <row r="115" spans="2:104">
      <c r="B115" s="214"/>
      <c r="C115" s="211"/>
      <c r="D115" s="211"/>
      <c r="E115" s="211"/>
      <c r="F115" s="211"/>
      <c r="G115" s="211"/>
      <c r="H115" s="211"/>
      <c r="I115" s="211"/>
      <c r="J115" s="211"/>
      <c r="K115" s="211"/>
      <c r="L115" s="211"/>
      <c r="M115" s="211"/>
      <c r="N115" s="211"/>
      <c r="O115" s="211"/>
      <c r="P115" s="211"/>
      <c r="Q115" s="211"/>
      <c r="R115" s="211"/>
      <c r="S115" s="211"/>
      <c r="T115" s="211"/>
      <c r="U115" s="211"/>
      <c r="V115" s="211"/>
      <c r="W115" s="211"/>
      <c r="X115" s="211"/>
      <c r="Y115" s="211"/>
      <c r="Z115" s="211"/>
      <c r="AA115" s="211"/>
      <c r="AB115" s="177"/>
      <c r="AE115" s="177"/>
      <c r="AF115" s="177"/>
      <c r="AG115" s="177"/>
      <c r="AH115" s="177"/>
      <c r="AI115" s="177"/>
      <c r="AJ115" s="177"/>
      <c r="AK115" s="177"/>
      <c r="AL115" s="177"/>
      <c r="AM115" s="177"/>
      <c r="AN115" s="177"/>
      <c r="AO115" s="177"/>
      <c r="AP115" s="177"/>
      <c r="AQ115" s="177"/>
      <c r="AR115" s="177"/>
      <c r="AS115" s="177"/>
      <c r="AT115" s="177"/>
      <c r="AU115" s="177"/>
      <c r="AV115" s="177"/>
      <c r="AW115" s="177"/>
      <c r="AX115" s="177"/>
      <c r="AY115" s="177"/>
      <c r="AZ115" s="177"/>
      <c r="BA115" s="177"/>
      <c r="BB115" s="177"/>
      <c r="BC115" s="177"/>
      <c r="BD115" s="177"/>
      <c r="BE115" s="177"/>
      <c r="BF115" s="177"/>
      <c r="BG115" s="177"/>
      <c r="BH115" s="177"/>
      <c r="BI115" s="177"/>
      <c r="BJ115" s="177"/>
      <c r="BK115" s="177"/>
      <c r="BL115" s="177"/>
      <c r="BM115" s="177"/>
      <c r="BN115" s="177"/>
      <c r="BO115" s="177"/>
      <c r="BP115" s="177"/>
      <c r="BQ115" s="177"/>
      <c r="BR115" s="177"/>
      <c r="BS115" s="177"/>
      <c r="BT115" s="177"/>
      <c r="BU115" s="177"/>
      <c r="BV115" s="177"/>
      <c r="BW115" s="177"/>
      <c r="BX115" s="177"/>
      <c r="BY115" s="177"/>
      <c r="BZ115" s="177"/>
      <c r="CA115" s="177"/>
      <c r="CB115" s="177"/>
      <c r="CC115" s="177"/>
      <c r="CD115" s="177"/>
      <c r="CE115" s="177"/>
      <c r="CF115" s="177"/>
      <c r="CG115" s="177"/>
      <c r="CH115" s="177"/>
      <c r="CI115" s="177"/>
      <c r="CJ115" s="177"/>
      <c r="CK115" s="177"/>
      <c r="CL115" s="177"/>
      <c r="CM115" s="177"/>
      <c r="CN115" s="177"/>
      <c r="CO115" s="177"/>
      <c r="CP115" s="177"/>
      <c r="CQ115" s="177"/>
      <c r="CR115" s="177"/>
      <c r="CS115" s="177"/>
      <c r="CT115" s="177"/>
      <c r="CU115" s="177"/>
      <c r="CV115" s="177"/>
      <c r="CW115" s="177"/>
      <c r="CX115" s="177"/>
      <c r="CY115" s="177"/>
      <c r="CZ115" s="177"/>
    </row>
    <row r="116" spans="2:104">
      <c r="B116" s="214"/>
      <c r="C116" s="211"/>
      <c r="D116" s="211"/>
      <c r="E116" s="211"/>
      <c r="F116" s="211"/>
      <c r="G116" s="211"/>
      <c r="H116" s="211"/>
      <c r="I116" s="211"/>
      <c r="J116" s="211"/>
      <c r="K116" s="211"/>
      <c r="L116" s="211"/>
      <c r="M116" s="211"/>
      <c r="N116" s="211"/>
      <c r="O116" s="211"/>
      <c r="P116" s="211"/>
      <c r="Q116" s="211"/>
      <c r="R116" s="211"/>
      <c r="S116" s="211"/>
      <c r="T116" s="211"/>
      <c r="U116" s="211"/>
      <c r="V116" s="211"/>
      <c r="W116" s="211"/>
      <c r="X116" s="211"/>
      <c r="Y116" s="211"/>
      <c r="Z116" s="211"/>
      <c r="AA116" s="211"/>
      <c r="AB116" s="177"/>
      <c r="AE116" s="177"/>
      <c r="AF116" s="177"/>
      <c r="AG116" s="177"/>
      <c r="AH116" s="177"/>
      <c r="AI116" s="177"/>
      <c r="AJ116" s="177"/>
      <c r="AK116" s="177"/>
      <c r="AL116" s="177"/>
      <c r="AM116" s="177"/>
      <c r="AN116" s="177"/>
      <c r="AO116" s="177"/>
      <c r="AP116" s="177"/>
      <c r="AQ116" s="177"/>
      <c r="AR116" s="177"/>
      <c r="AS116" s="177"/>
      <c r="AT116" s="177"/>
      <c r="AU116" s="177"/>
      <c r="AV116" s="177"/>
      <c r="AW116" s="177"/>
      <c r="AX116" s="177"/>
      <c r="AY116" s="177"/>
      <c r="AZ116" s="177"/>
      <c r="BA116" s="177"/>
      <c r="BB116" s="177"/>
      <c r="BC116" s="177"/>
      <c r="BD116" s="177"/>
      <c r="BE116" s="177"/>
      <c r="BF116" s="177"/>
      <c r="BG116" s="177"/>
      <c r="BH116" s="177"/>
      <c r="BI116" s="177"/>
      <c r="BJ116" s="177"/>
      <c r="BK116" s="177"/>
      <c r="BL116" s="177"/>
      <c r="BM116" s="177"/>
      <c r="BN116" s="177"/>
      <c r="BO116" s="177"/>
      <c r="BP116" s="177"/>
      <c r="BQ116" s="177"/>
      <c r="BR116" s="177"/>
      <c r="BS116" s="177"/>
      <c r="BT116" s="177"/>
      <c r="BU116" s="177"/>
      <c r="BV116" s="177"/>
      <c r="BW116" s="177"/>
      <c r="BX116" s="177"/>
      <c r="BY116" s="177"/>
      <c r="BZ116" s="177"/>
      <c r="CA116" s="177"/>
      <c r="CB116" s="177"/>
      <c r="CC116" s="177"/>
      <c r="CD116" s="177"/>
      <c r="CE116" s="177"/>
      <c r="CF116" s="177"/>
      <c r="CG116" s="177"/>
      <c r="CH116" s="177"/>
      <c r="CI116" s="177"/>
      <c r="CJ116" s="177"/>
      <c r="CK116" s="177"/>
      <c r="CL116" s="177"/>
      <c r="CM116" s="177"/>
      <c r="CN116" s="177"/>
      <c r="CO116" s="177"/>
      <c r="CP116" s="177"/>
      <c r="CQ116" s="177"/>
      <c r="CR116" s="177"/>
      <c r="CS116" s="177"/>
      <c r="CT116" s="177"/>
      <c r="CU116" s="177"/>
      <c r="CV116" s="177"/>
      <c r="CW116" s="177"/>
      <c r="CX116" s="177"/>
      <c r="CY116" s="177"/>
      <c r="CZ116" s="177"/>
    </row>
    <row r="117" spans="2:104">
      <c r="B117" s="214"/>
      <c r="C117" s="211"/>
      <c r="D117" s="211"/>
      <c r="E117" s="211"/>
      <c r="F117" s="211"/>
      <c r="G117" s="211"/>
      <c r="H117" s="211"/>
      <c r="I117" s="211"/>
      <c r="J117" s="211"/>
      <c r="K117" s="211"/>
      <c r="L117" s="211"/>
      <c r="M117" s="211"/>
      <c r="N117" s="211"/>
      <c r="O117" s="211"/>
      <c r="P117" s="211"/>
      <c r="Q117" s="211"/>
      <c r="R117" s="211"/>
      <c r="S117" s="211"/>
      <c r="T117" s="211"/>
      <c r="U117" s="211"/>
      <c r="V117" s="211"/>
      <c r="W117" s="211"/>
      <c r="X117" s="211"/>
      <c r="Y117" s="211"/>
      <c r="Z117" s="211"/>
      <c r="AA117" s="211"/>
      <c r="AB117" s="177"/>
      <c r="AE117" s="177"/>
      <c r="AF117" s="177"/>
      <c r="AG117" s="177"/>
      <c r="AH117" s="177"/>
      <c r="AI117" s="177"/>
      <c r="AJ117" s="177"/>
      <c r="AK117" s="177"/>
      <c r="AL117" s="177"/>
      <c r="AM117" s="177"/>
      <c r="AN117" s="177"/>
      <c r="AO117" s="177"/>
      <c r="AP117" s="177"/>
      <c r="AQ117" s="177"/>
      <c r="AR117" s="177"/>
      <c r="AS117" s="177"/>
      <c r="AT117" s="177"/>
      <c r="AU117" s="177"/>
      <c r="AV117" s="177"/>
      <c r="AW117" s="177"/>
      <c r="AX117" s="177"/>
      <c r="AY117" s="177"/>
      <c r="AZ117" s="177"/>
      <c r="BA117" s="177"/>
      <c r="BB117" s="177"/>
      <c r="BC117" s="177"/>
      <c r="BD117" s="177"/>
      <c r="BE117" s="177"/>
      <c r="BF117" s="177"/>
      <c r="BG117" s="177"/>
      <c r="BH117" s="177"/>
      <c r="BI117" s="177"/>
      <c r="BJ117" s="177"/>
      <c r="BK117" s="177"/>
      <c r="BL117" s="177"/>
      <c r="BM117" s="177"/>
      <c r="BN117" s="177"/>
      <c r="BO117" s="177"/>
      <c r="BP117" s="177"/>
      <c r="BQ117" s="177"/>
      <c r="BR117" s="177"/>
      <c r="BS117" s="177"/>
      <c r="BT117" s="177"/>
      <c r="BU117" s="177"/>
      <c r="BV117" s="177"/>
      <c r="BW117" s="177"/>
      <c r="BX117" s="177"/>
      <c r="BY117" s="177"/>
      <c r="BZ117" s="177"/>
      <c r="CA117" s="177"/>
      <c r="CB117" s="177"/>
      <c r="CC117" s="177"/>
      <c r="CD117" s="177"/>
      <c r="CE117" s="177"/>
      <c r="CF117" s="177"/>
      <c r="CG117" s="177"/>
      <c r="CH117" s="177"/>
      <c r="CI117" s="177"/>
      <c r="CJ117" s="177"/>
      <c r="CK117" s="177"/>
      <c r="CL117" s="177"/>
      <c r="CM117" s="177"/>
      <c r="CN117" s="177"/>
      <c r="CO117" s="177"/>
      <c r="CP117" s="177"/>
      <c r="CQ117" s="177"/>
      <c r="CR117" s="177"/>
      <c r="CS117" s="177"/>
      <c r="CT117" s="177"/>
      <c r="CU117" s="177"/>
      <c r="CV117" s="177"/>
      <c r="CW117" s="177"/>
      <c r="CX117" s="177"/>
      <c r="CY117" s="177"/>
      <c r="CZ117" s="177"/>
    </row>
    <row r="118" spans="2:104">
      <c r="B118" s="214"/>
      <c r="C118" s="211"/>
      <c r="D118" s="211"/>
      <c r="E118" s="211"/>
      <c r="F118" s="211"/>
      <c r="G118" s="211"/>
      <c r="H118" s="211"/>
      <c r="I118" s="211"/>
      <c r="J118" s="211"/>
      <c r="K118" s="211"/>
      <c r="L118" s="211"/>
      <c r="M118" s="211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11"/>
      <c r="Y118" s="211"/>
      <c r="Z118" s="211"/>
      <c r="AA118" s="211"/>
      <c r="AB118" s="177"/>
      <c r="AE118" s="177"/>
      <c r="AF118" s="177"/>
      <c r="AG118" s="177"/>
      <c r="AH118" s="177"/>
      <c r="AI118" s="177"/>
      <c r="AJ118" s="177"/>
      <c r="AK118" s="177"/>
      <c r="AL118" s="177"/>
      <c r="AM118" s="177"/>
      <c r="AN118" s="177"/>
      <c r="AO118" s="177"/>
      <c r="AP118" s="177"/>
      <c r="AQ118" s="177"/>
      <c r="AR118" s="177"/>
      <c r="AS118" s="177"/>
      <c r="AT118" s="177"/>
      <c r="AU118" s="177"/>
      <c r="AV118" s="177"/>
      <c r="AW118" s="177"/>
      <c r="AX118" s="177"/>
      <c r="AY118" s="177"/>
      <c r="AZ118" s="177"/>
      <c r="BA118" s="177"/>
      <c r="BB118" s="177"/>
      <c r="BC118" s="177"/>
      <c r="BD118" s="177"/>
      <c r="BE118" s="177"/>
      <c r="BF118" s="177"/>
      <c r="BG118" s="177"/>
      <c r="BH118" s="177"/>
      <c r="BI118" s="177"/>
      <c r="BJ118" s="177"/>
      <c r="BK118" s="177"/>
      <c r="BL118" s="177"/>
      <c r="BM118" s="177"/>
      <c r="BN118" s="177"/>
      <c r="BO118" s="177"/>
      <c r="BP118" s="177"/>
      <c r="BQ118" s="177"/>
      <c r="BR118" s="177"/>
      <c r="BS118" s="177"/>
      <c r="BT118" s="177"/>
      <c r="BU118" s="177"/>
      <c r="BV118" s="177"/>
      <c r="BW118" s="177"/>
      <c r="BX118" s="177"/>
      <c r="BY118" s="177"/>
      <c r="BZ118" s="177"/>
      <c r="CA118" s="177"/>
      <c r="CB118" s="177"/>
      <c r="CC118" s="177"/>
      <c r="CD118" s="177"/>
      <c r="CE118" s="177"/>
      <c r="CF118" s="177"/>
      <c r="CG118" s="177"/>
      <c r="CH118" s="177"/>
      <c r="CI118" s="177"/>
      <c r="CJ118" s="177"/>
      <c r="CK118" s="177"/>
      <c r="CL118" s="177"/>
      <c r="CM118" s="177"/>
      <c r="CN118" s="177"/>
      <c r="CO118" s="177"/>
      <c r="CP118" s="177"/>
      <c r="CQ118" s="177"/>
      <c r="CR118" s="177"/>
      <c r="CS118" s="177"/>
      <c r="CT118" s="177"/>
      <c r="CU118" s="177"/>
      <c r="CV118" s="177"/>
      <c r="CW118" s="177"/>
      <c r="CX118" s="177"/>
      <c r="CY118" s="177"/>
      <c r="CZ118" s="177"/>
    </row>
    <row r="119" spans="2:104">
      <c r="B119" s="214"/>
      <c r="C119" s="211"/>
      <c r="D119" s="211"/>
      <c r="E119" s="211"/>
      <c r="F119" s="211"/>
      <c r="G119" s="211"/>
      <c r="H119" s="211"/>
      <c r="I119" s="211"/>
      <c r="J119" s="211"/>
      <c r="K119" s="211"/>
      <c r="L119" s="211"/>
      <c r="M119" s="211"/>
      <c r="N119" s="211"/>
      <c r="O119" s="211"/>
      <c r="P119" s="211"/>
      <c r="Q119" s="211"/>
      <c r="R119" s="211"/>
      <c r="S119" s="211"/>
      <c r="T119" s="211"/>
      <c r="U119" s="211"/>
      <c r="V119" s="211"/>
      <c r="W119" s="211"/>
      <c r="X119" s="211"/>
      <c r="Y119" s="211"/>
      <c r="Z119" s="211"/>
      <c r="AA119" s="211"/>
      <c r="AB119" s="177"/>
      <c r="AE119" s="177"/>
      <c r="AF119" s="177"/>
      <c r="AG119" s="177"/>
      <c r="AH119" s="177"/>
      <c r="AI119" s="177"/>
      <c r="AJ119" s="177"/>
      <c r="AK119" s="177"/>
      <c r="AL119" s="177"/>
      <c r="AM119" s="177"/>
      <c r="AN119" s="177"/>
      <c r="AO119" s="177"/>
      <c r="AP119" s="177"/>
      <c r="AQ119" s="177"/>
      <c r="AR119" s="177"/>
      <c r="AS119" s="177"/>
      <c r="AT119" s="177"/>
      <c r="AU119" s="177"/>
      <c r="AV119" s="177"/>
      <c r="AW119" s="177"/>
      <c r="AX119" s="177"/>
      <c r="AY119" s="177"/>
      <c r="AZ119" s="177"/>
      <c r="BA119" s="177"/>
      <c r="BB119" s="177"/>
      <c r="BC119" s="177"/>
      <c r="BD119" s="177"/>
      <c r="BE119" s="177"/>
      <c r="BF119" s="177"/>
      <c r="BG119" s="177"/>
      <c r="BH119" s="177"/>
      <c r="BI119" s="177"/>
      <c r="BJ119" s="177"/>
      <c r="BK119" s="177"/>
      <c r="BL119" s="177"/>
      <c r="BM119" s="177"/>
      <c r="BN119" s="177"/>
      <c r="BO119" s="177"/>
      <c r="BP119" s="177"/>
      <c r="BQ119" s="177"/>
      <c r="BR119" s="177"/>
      <c r="BS119" s="177"/>
      <c r="BT119" s="177"/>
      <c r="BU119" s="177"/>
      <c r="BV119" s="177"/>
      <c r="BW119" s="177"/>
      <c r="BX119" s="177"/>
      <c r="BY119" s="177"/>
      <c r="BZ119" s="177"/>
      <c r="CA119" s="177"/>
      <c r="CB119" s="177"/>
      <c r="CC119" s="177"/>
      <c r="CD119" s="177"/>
      <c r="CE119" s="177"/>
      <c r="CF119" s="177"/>
      <c r="CG119" s="177"/>
      <c r="CH119" s="177"/>
      <c r="CI119" s="177"/>
      <c r="CJ119" s="177"/>
      <c r="CK119" s="177"/>
      <c r="CL119" s="177"/>
      <c r="CM119" s="177"/>
      <c r="CN119" s="177"/>
      <c r="CO119" s="177"/>
      <c r="CP119" s="177"/>
      <c r="CQ119" s="177"/>
      <c r="CR119" s="177"/>
      <c r="CS119" s="177"/>
      <c r="CT119" s="177"/>
      <c r="CU119" s="177"/>
      <c r="CV119" s="177"/>
      <c r="CW119" s="177"/>
      <c r="CX119" s="177"/>
      <c r="CY119" s="177"/>
      <c r="CZ119" s="177"/>
    </row>
    <row r="120" spans="2:104">
      <c r="B120" s="214"/>
      <c r="C120" s="211"/>
      <c r="D120" s="211"/>
      <c r="E120" s="211"/>
      <c r="F120" s="211"/>
      <c r="G120" s="211"/>
      <c r="H120" s="211"/>
      <c r="I120" s="211"/>
      <c r="J120" s="211"/>
      <c r="K120" s="211"/>
      <c r="L120" s="211"/>
      <c r="M120" s="211"/>
      <c r="N120" s="211"/>
      <c r="O120" s="211"/>
      <c r="P120" s="211"/>
      <c r="Q120" s="211"/>
      <c r="R120" s="211"/>
      <c r="S120" s="211"/>
      <c r="T120" s="211"/>
      <c r="U120" s="211"/>
      <c r="V120" s="211"/>
      <c r="W120" s="211"/>
      <c r="X120" s="211"/>
      <c r="Y120" s="211"/>
      <c r="Z120" s="211"/>
      <c r="AA120" s="211"/>
      <c r="AB120" s="177"/>
      <c r="AE120" s="177"/>
      <c r="AF120" s="177"/>
      <c r="AG120" s="177"/>
      <c r="AH120" s="177"/>
      <c r="AI120" s="177"/>
      <c r="AJ120" s="177"/>
      <c r="AK120" s="177"/>
      <c r="AL120" s="177"/>
      <c r="AM120" s="177"/>
      <c r="AN120" s="177"/>
      <c r="AO120" s="177"/>
      <c r="AP120" s="177"/>
      <c r="AQ120" s="177"/>
      <c r="AR120" s="177"/>
      <c r="AS120" s="177"/>
      <c r="AT120" s="177"/>
      <c r="AU120" s="177"/>
      <c r="AV120" s="177"/>
      <c r="AW120" s="177"/>
      <c r="AX120" s="177"/>
      <c r="AY120" s="177"/>
      <c r="AZ120" s="177"/>
      <c r="BA120" s="177"/>
      <c r="BB120" s="177"/>
      <c r="BC120" s="177"/>
      <c r="BD120" s="177"/>
      <c r="BE120" s="177"/>
      <c r="BF120" s="177"/>
      <c r="BG120" s="177"/>
      <c r="BH120" s="177"/>
      <c r="BI120" s="177"/>
      <c r="BJ120" s="177"/>
      <c r="BK120" s="177"/>
      <c r="BL120" s="177"/>
      <c r="BM120" s="177"/>
      <c r="BN120" s="177"/>
      <c r="BO120" s="177"/>
      <c r="BP120" s="177"/>
      <c r="BQ120" s="177"/>
      <c r="BR120" s="177"/>
      <c r="BS120" s="177"/>
      <c r="BT120" s="177"/>
      <c r="BU120" s="177"/>
      <c r="BV120" s="177"/>
      <c r="BW120" s="177"/>
      <c r="BX120" s="177"/>
      <c r="BY120" s="177"/>
      <c r="BZ120" s="177"/>
      <c r="CA120" s="177"/>
      <c r="CB120" s="177"/>
      <c r="CC120" s="177"/>
      <c r="CD120" s="177"/>
      <c r="CE120" s="177"/>
      <c r="CF120" s="177"/>
      <c r="CG120" s="177"/>
      <c r="CH120" s="177"/>
      <c r="CI120" s="177"/>
      <c r="CJ120" s="177"/>
      <c r="CK120" s="177"/>
      <c r="CL120" s="177"/>
      <c r="CM120" s="177"/>
      <c r="CN120" s="177"/>
      <c r="CO120" s="177"/>
      <c r="CP120" s="177"/>
      <c r="CQ120" s="177"/>
      <c r="CR120" s="177"/>
      <c r="CS120" s="177"/>
      <c r="CT120" s="177"/>
      <c r="CU120" s="177"/>
      <c r="CV120" s="177"/>
      <c r="CW120" s="177"/>
      <c r="CX120" s="177"/>
      <c r="CY120" s="177"/>
      <c r="CZ120" s="177"/>
    </row>
    <row r="121" spans="2:104">
      <c r="B121" s="214"/>
      <c r="C121" s="211"/>
      <c r="D121" s="211"/>
      <c r="E121" s="211"/>
      <c r="F121" s="211"/>
      <c r="G121" s="211"/>
      <c r="H121" s="211"/>
      <c r="I121" s="211"/>
      <c r="J121" s="211"/>
      <c r="K121" s="211"/>
      <c r="L121" s="211"/>
      <c r="M121" s="211"/>
      <c r="N121" s="211"/>
      <c r="O121" s="211"/>
      <c r="P121" s="211"/>
      <c r="Q121" s="211"/>
      <c r="R121" s="211"/>
      <c r="S121" s="211"/>
      <c r="T121" s="211"/>
      <c r="U121" s="211"/>
      <c r="V121" s="211"/>
      <c r="W121" s="211"/>
      <c r="X121" s="211"/>
      <c r="Y121" s="211"/>
      <c r="Z121" s="211"/>
      <c r="AA121" s="211"/>
      <c r="AB121" s="177"/>
      <c r="AE121" s="177"/>
      <c r="AF121" s="177"/>
      <c r="AG121" s="177"/>
      <c r="AH121" s="177"/>
      <c r="AI121" s="177"/>
      <c r="AJ121" s="177"/>
      <c r="AK121" s="177"/>
      <c r="AL121" s="177"/>
      <c r="AM121" s="177"/>
      <c r="AN121" s="177"/>
      <c r="AO121" s="177"/>
      <c r="AP121" s="177"/>
      <c r="AQ121" s="177"/>
      <c r="AR121" s="177"/>
      <c r="AS121" s="177"/>
      <c r="AT121" s="177"/>
      <c r="AU121" s="177"/>
      <c r="AV121" s="177"/>
      <c r="AW121" s="177"/>
      <c r="AX121" s="177"/>
      <c r="AY121" s="177"/>
      <c r="AZ121" s="177"/>
      <c r="BA121" s="177"/>
      <c r="BB121" s="177"/>
      <c r="BC121" s="177"/>
      <c r="BD121" s="177"/>
      <c r="BE121" s="177"/>
      <c r="BF121" s="177"/>
      <c r="BG121" s="177"/>
      <c r="BH121" s="177"/>
      <c r="BI121" s="177"/>
      <c r="BJ121" s="177"/>
      <c r="BK121" s="177"/>
      <c r="BL121" s="177"/>
      <c r="BM121" s="177"/>
      <c r="BN121" s="177"/>
      <c r="BO121" s="177"/>
      <c r="BP121" s="177"/>
      <c r="BQ121" s="177"/>
      <c r="BR121" s="177"/>
      <c r="BS121" s="177"/>
      <c r="BT121" s="177"/>
      <c r="BU121" s="177"/>
      <c r="BV121" s="177"/>
      <c r="BW121" s="177"/>
      <c r="BX121" s="177"/>
      <c r="BY121" s="177"/>
      <c r="BZ121" s="177"/>
      <c r="CA121" s="177"/>
      <c r="CB121" s="177"/>
      <c r="CC121" s="177"/>
      <c r="CD121" s="177"/>
      <c r="CE121" s="177"/>
      <c r="CF121" s="177"/>
      <c r="CG121" s="177"/>
      <c r="CH121" s="177"/>
      <c r="CI121" s="177"/>
      <c r="CJ121" s="177"/>
      <c r="CK121" s="177"/>
      <c r="CL121" s="177"/>
      <c r="CM121" s="177"/>
      <c r="CN121" s="177"/>
      <c r="CO121" s="177"/>
      <c r="CP121" s="177"/>
      <c r="CQ121" s="177"/>
      <c r="CR121" s="177"/>
      <c r="CS121" s="177"/>
      <c r="CT121" s="177"/>
      <c r="CU121" s="177"/>
      <c r="CV121" s="177"/>
      <c r="CW121" s="177"/>
      <c r="CX121" s="177"/>
      <c r="CY121" s="177"/>
      <c r="CZ121" s="177"/>
    </row>
    <row r="122" spans="2:104">
      <c r="B122" s="214"/>
      <c r="C122" s="211"/>
      <c r="D122" s="211"/>
      <c r="E122" s="211"/>
      <c r="F122" s="211"/>
      <c r="G122" s="211"/>
      <c r="H122" s="211"/>
      <c r="I122" s="211"/>
      <c r="J122" s="211"/>
      <c r="K122" s="211"/>
      <c r="L122" s="211"/>
      <c r="M122" s="211"/>
      <c r="N122" s="211"/>
      <c r="O122" s="211"/>
      <c r="P122" s="211"/>
      <c r="Q122" s="211"/>
      <c r="R122" s="211"/>
      <c r="S122" s="211"/>
      <c r="T122" s="211"/>
      <c r="U122" s="211"/>
      <c r="V122" s="211"/>
      <c r="W122" s="211"/>
      <c r="X122" s="211"/>
      <c r="Y122" s="211"/>
      <c r="Z122" s="211"/>
      <c r="AA122" s="211"/>
      <c r="AB122" s="177"/>
      <c r="AE122" s="177"/>
      <c r="AF122" s="177"/>
      <c r="AG122" s="177"/>
      <c r="AH122" s="177"/>
      <c r="AI122" s="177"/>
      <c r="AJ122" s="177"/>
      <c r="AK122" s="177"/>
      <c r="AL122" s="177"/>
      <c r="AM122" s="177"/>
      <c r="AN122" s="177"/>
      <c r="AO122" s="177"/>
      <c r="AP122" s="177"/>
      <c r="AQ122" s="177"/>
      <c r="AR122" s="177"/>
      <c r="AS122" s="177"/>
      <c r="AT122" s="177"/>
      <c r="AU122" s="177"/>
      <c r="AV122" s="177"/>
      <c r="AW122" s="177"/>
      <c r="AX122" s="177"/>
      <c r="AY122" s="177"/>
      <c r="AZ122" s="177"/>
      <c r="BA122" s="177"/>
      <c r="BB122" s="177"/>
      <c r="BC122" s="177"/>
      <c r="BD122" s="177"/>
      <c r="BE122" s="177"/>
      <c r="BF122" s="177"/>
      <c r="BG122" s="177"/>
      <c r="BH122" s="177"/>
      <c r="BI122" s="177"/>
      <c r="BJ122" s="177"/>
      <c r="BK122" s="177"/>
      <c r="BL122" s="177"/>
      <c r="BM122" s="177"/>
      <c r="BN122" s="177"/>
      <c r="BO122" s="177"/>
      <c r="BP122" s="177"/>
      <c r="BQ122" s="177"/>
      <c r="BR122" s="177"/>
      <c r="BS122" s="177"/>
      <c r="BT122" s="177"/>
      <c r="BU122" s="177"/>
      <c r="BV122" s="177"/>
      <c r="BW122" s="177"/>
      <c r="BX122" s="177"/>
      <c r="BY122" s="177"/>
      <c r="BZ122" s="177"/>
      <c r="CA122" s="177"/>
      <c r="CB122" s="177"/>
      <c r="CC122" s="177"/>
      <c r="CD122" s="177"/>
      <c r="CE122" s="177"/>
      <c r="CF122" s="177"/>
      <c r="CG122" s="177"/>
      <c r="CH122" s="177"/>
      <c r="CI122" s="177"/>
      <c r="CJ122" s="177"/>
      <c r="CK122" s="177"/>
      <c r="CL122" s="177"/>
      <c r="CM122" s="177"/>
      <c r="CN122" s="177"/>
      <c r="CO122" s="177"/>
      <c r="CP122" s="177"/>
      <c r="CQ122" s="177"/>
      <c r="CR122" s="177"/>
      <c r="CS122" s="177"/>
      <c r="CT122" s="177"/>
      <c r="CU122" s="177"/>
      <c r="CV122" s="177"/>
      <c r="CW122" s="177"/>
      <c r="CX122" s="177"/>
      <c r="CY122" s="177"/>
      <c r="CZ122" s="177"/>
    </row>
    <row r="123" spans="2:104">
      <c r="B123" s="214"/>
      <c r="C123" s="211"/>
      <c r="D123" s="211"/>
      <c r="E123" s="211"/>
      <c r="F123" s="211"/>
      <c r="G123" s="211"/>
      <c r="H123" s="211"/>
      <c r="I123" s="211"/>
      <c r="J123" s="211"/>
      <c r="K123" s="211"/>
      <c r="L123" s="211"/>
      <c r="M123" s="211"/>
      <c r="N123" s="211"/>
      <c r="O123" s="211"/>
      <c r="P123" s="211"/>
      <c r="Q123" s="211"/>
      <c r="R123" s="211"/>
      <c r="S123" s="211"/>
      <c r="T123" s="211"/>
      <c r="U123" s="211"/>
      <c r="V123" s="211"/>
      <c r="W123" s="211"/>
      <c r="X123" s="211"/>
      <c r="Y123" s="211"/>
      <c r="Z123" s="211"/>
      <c r="AA123" s="211"/>
      <c r="AB123" s="177"/>
      <c r="AE123" s="177"/>
      <c r="AF123" s="177"/>
      <c r="AG123" s="177"/>
      <c r="AH123" s="177"/>
      <c r="AI123" s="177"/>
      <c r="AJ123" s="177"/>
      <c r="AK123" s="177"/>
      <c r="AL123" s="177"/>
      <c r="AM123" s="177"/>
      <c r="AN123" s="177"/>
      <c r="AO123" s="177"/>
      <c r="AP123" s="177"/>
      <c r="AQ123" s="177"/>
      <c r="AR123" s="177"/>
      <c r="AS123" s="177"/>
      <c r="AT123" s="177"/>
      <c r="AU123" s="177"/>
      <c r="AV123" s="177"/>
      <c r="AW123" s="177"/>
      <c r="AX123" s="177"/>
      <c r="AY123" s="177"/>
      <c r="AZ123" s="177"/>
      <c r="BA123" s="177"/>
      <c r="BB123" s="177"/>
      <c r="BC123" s="177"/>
      <c r="BD123" s="177"/>
      <c r="BE123" s="177"/>
      <c r="BF123" s="177"/>
      <c r="BG123" s="177"/>
      <c r="BH123" s="177"/>
      <c r="BI123" s="177"/>
      <c r="BJ123" s="177"/>
      <c r="BK123" s="177"/>
      <c r="BL123" s="177"/>
      <c r="BM123" s="177"/>
      <c r="BN123" s="177"/>
      <c r="BO123" s="177"/>
      <c r="BP123" s="177"/>
      <c r="BQ123" s="177"/>
      <c r="BR123" s="177"/>
      <c r="BS123" s="177"/>
      <c r="BT123" s="177"/>
      <c r="BU123" s="177"/>
      <c r="BV123" s="177"/>
      <c r="BW123" s="177"/>
      <c r="BX123" s="177"/>
      <c r="BY123" s="177"/>
      <c r="BZ123" s="177"/>
      <c r="CA123" s="177"/>
      <c r="CB123" s="177"/>
      <c r="CC123" s="177"/>
      <c r="CD123" s="177"/>
      <c r="CE123" s="177"/>
      <c r="CF123" s="177"/>
      <c r="CG123" s="177"/>
      <c r="CH123" s="177"/>
      <c r="CI123" s="177"/>
      <c r="CJ123" s="177"/>
      <c r="CK123" s="177"/>
      <c r="CL123" s="177"/>
      <c r="CM123" s="177"/>
      <c r="CN123" s="177"/>
      <c r="CO123" s="177"/>
      <c r="CP123" s="177"/>
      <c r="CQ123" s="177"/>
      <c r="CR123" s="177"/>
      <c r="CS123" s="177"/>
      <c r="CT123" s="177"/>
      <c r="CU123" s="177"/>
      <c r="CV123" s="177"/>
      <c r="CW123" s="177"/>
      <c r="CX123" s="177"/>
      <c r="CY123" s="177"/>
      <c r="CZ123" s="177"/>
    </row>
    <row r="124" spans="2:104">
      <c r="B124" s="214"/>
      <c r="C124" s="211"/>
      <c r="D124" s="211"/>
      <c r="E124" s="211"/>
      <c r="F124" s="211"/>
      <c r="G124" s="211"/>
      <c r="H124" s="211"/>
      <c r="I124" s="211"/>
      <c r="J124" s="211"/>
      <c r="K124" s="211"/>
      <c r="L124" s="211"/>
      <c r="M124" s="211"/>
      <c r="N124" s="211"/>
      <c r="O124" s="211"/>
      <c r="P124" s="211"/>
      <c r="Q124" s="211"/>
      <c r="R124" s="211"/>
      <c r="S124" s="211"/>
      <c r="T124" s="211"/>
      <c r="U124" s="211"/>
      <c r="V124" s="211"/>
      <c r="W124" s="211"/>
      <c r="X124" s="211"/>
      <c r="Y124" s="211"/>
      <c r="Z124" s="211"/>
      <c r="AA124" s="211"/>
      <c r="AB124" s="177"/>
      <c r="AE124" s="177"/>
      <c r="AF124" s="177"/>
      <c r="AG124" s="177"/>
      <c r="AH124" s="177"/>
      <c r="AI124" s="177"/>
      <c r="AJ124" s="177"/>
      <c r="AK124" s="177"/>
      <c r="AL124" s="177"/>
      <c r="AM124" s="177"/>
      <c r="AN124" s="177"/>
      <c r="AO124" s="177"/>
      <c r="AP124" s="177"/>
      <c r="AQ124" s="177"/>
      <c r="AR124" s="177"/>
      <c r="AS124" s="177"/>
      <c r="AT124" s="177"/>
      <c r="AU124" s="177"/>
      <c r="AV124" s="177"/>
      <c r="AW124" s="177"/>
      <c r="AX124" s="177"/>
      <c r="AY124" s="177"/>
      <c r="AZ124" s="177"/>
      <c r="BA124" s="177"/>
      <c r="BB124" s="177"/>
      <c r="BC124" s="177"/>
      <c r="BD124" s="177"/>
      <c r="BE124" s="177"/>
      <c r="BF124" s="177"/>
      <c r="BG124" s="177"/>
      <c r="BH124" s="177"/>
      <c r="BI124" s="177"/>
      <c r="BJ124" s="177"/>
      <c r="BK124" s="177"/>
      <c r="BL124" s="177"/>
      <c r="BM124" s="177"/>
      <c r="BN124" s="177"/>
      <c r="BO124" s="177"/>
      <c r="BP124" s="177"/>
      <c r="BQ124" s="177"/>
      <c r="BR124" s="177"/>
      <c r="BS124" s="177"/>
      <c r="BT124" s="177"/>
      <c r="BU124" s="177"/>
      <c r="BV124" s="177"/>
      <c r="BW124" s="177"/>
      <c r="BX124" s="177"/>
      <c r="BY124" s="177"/>
      <c r="BZ124" s="177"/>
      <c r="CA124" s="177"/>
      <c r="CB124" s="177"/>
      <c r="CC124" s="177"/>
      <c r="CD124" s="177"/>
      <c r="CE124" s="177"/>
      <c r="CF124" s="177"/>
      <c r="CG124" s="177"/>
      <c r="CH124" s="177"/>
      <c r="CI124" s="177"/>
      <c r="CJ124" s="177"/>
      <c r="CK124" s="177"/>
      <c r="CL124" s="177"/>
      <c r="CM124" s="177"/>
      <c r="CN124" s="177"/>
      <c r="CO124" s="177"/>
      <c r="CP124" s="177"/>
      <c r="CQ124" s="177"/>
      <c r="CR124" s="177"/>
      <c r="CS124" s="177"/>
      <c r="CT124" s="177"/>
      <c r="CU124" s="177"/>
      <c r="CV124" s="177"/>
      <c r="CW124" s="177"/>
      <c r="CX124" s="177"/>
      <c r="CY124" s="177"/>
      <c r="CZ124" s="177"/>
    </row>
    <row r="125" spans="2:104">
      <c r="B125" s="214"/>
      <c r="C125" s="211"/>
      <c r="D125" s="211"/>
      <c r="E125" s="211"/>
      <c r="F125" s="211"/>
      <c r="G125" s="211"/>
      <c r="H125" s="211"/>
      <c r="I125" s="211"/>
      <c r="J125" s="211"/>
      <c r="K125" s="211"/>
      <c r="L125" s="211"/>
      <c r="M125" s="211"/>
      <c r="N125" s="211"/>
      <c r="O125" s="211"/>
      <c r="P125" s="211"/>
      <c r="Q125" s="211"/>
      <c r="R125" s="211"/>
      <c r="S125" s="211"/>
      <c r="T125" s="211"/>
      <c r="U125" s="211"/>
      <c r="V125" s="211"/>
      <c r="W125" s="211"/>
      <c r="X125" s="211"/>
      <c r="Y125" s="211"/>
      <c r="Z125" s="211"/>
      <c r="AA125" s="211"/>
      <c r="AB125" s="177"/>
      <c r="AE125" s="177"/>
      <c r="AF125" s="177"/>
      <c r="AG125" s="177"/>
      <c r="AH125" s="177"/>
      <c r="AI125" s="177"/>
      <c r="AJ125" s="177"/>
      <c r="AK125" s="177"/>
      <c r="AL125" s="177"/>
      <c r="AM125" s="177"/>
      <c r="AN125" s="177"/>
      <c r="AO125" s="177"/>
      <c r="AP125" s="177"/>
      <c r="AQ125" s="177"/>
      <c r="AR125" s="177"/>
      <c r="AS125" s="177"/>
      <c r="AT125" s="177"/>
      <c r="AU125" s="177"/>
      <c r="AV125" s="177"/>
      <c r="AW125" s="177"/>
      <c r="AX125" s="177"/>
      <c r="AY125" s="177"/>
      <c r="AZ125" s="177"/>
      <c r="BA125" s="177"/>
      <c r="BB125" s="177"/>
      <c r="BC125" s="177"/>
      <c r="BD125" s="177"/>
      <c r="BE125" s="177"/>
      <c r="BF125" s="177"/>
      <c r="BG125" s="177"/>
      <c r="BH125" s="177"/>
      <c r="BI125" s="177"/>
      <c r="BJ125" s="177"/>
      <c r="BK125" s="177"/>
      <c r="BL125" s="177"/>
      <c r="BM125" s="177"/>
      <c r="BN125" s="177"/>
      <c r="BO125" s="177"/>
      <c r="BP125" s="177"/>
      <c r="BQ125" s="177"/>
      <c r="BR125" s="177"/>
      <c r="BS125" s="177"/>
      <c r="BT125" s="177"/>
      <c r="BU125" s="177"/>
      <c r="BV125" s="177"/>
      <c r="BW125" s="177"/>
      <c r="BX125" s="177"/>
      <c r="BY125" s="177"/>
      <c r="BZ125" s="177"/>
      <c r="CA125" s="177"/>
      <c r="CB125" s="177"/>
      <c r="CC125" s="177"/>
      <c r="CD125" s="177"/>
      <c r="CE125" s="177"/>
      <c r="CF125" s="177"/>
      <c r="CG125" s="177"/>
      <c r="CH125" s="177"/>
      <c r="CI125" s="177"/>
      <c r="CJ125" s="177"/>
      <c r="CK125" s="177"/>
      <c r="CL125" s="177"/>
      <c r="CM125" s="177"/>
      <c r="CN125" s="177"/>
      <c r="CO125" s="177"/>
      <c r="CP125" s="177"/>
      <c r="CQ125" s="177"/>
      <c r="CR125" s="177"/>
      <c r="CS125" s="177"/>
      <c r="CT125" s="177"/>
      <c r="CU125" s="177"/>
      <c r="CV125" s="177"/>
      <c r="CW125" s="177"/>
      <c r="CX125" s="177"/>
      <c r="CY125" s="177"/>
      <c r="CZ125" s="177"/>
    </row>
    <row r="126" spans="2:104">
      <c r="B126" s="214"/>
      <c r="C126" s="211"/>
      <c r="D126" s="211"/>
      <c r="E126" s="211"/>
      <c r="F126" s="211"/>
      <c r="G126" s="211"/>
      <c r="H126" s="211"/>
      <c r="I126" s="211"/>
      <c r="J126" s="211"/>
      <c r="K126" s="211"/>
      <c r="L126" s="211"/>
      <c r="M126" s="211"/>
      <c r="N126" s="211"/>
      <c r="O126" s="211"/>
      <c r="P126" s="211"/>
      <c r="Q126" s="211"/>
      <c r="R126" s="211"/>
      <c r="S126" s="211"/>
      <c r="T126" s="211"/>
      <c r="U126" s="211"/>
      <c r="V126" s="211"/>
      <c r="W126" s="211"/>
      <c r="X126" s="211"/>
      <c r="Y126" s="211"/>
      <c r="Z126" s="211"/>
      <c r="AA126" s="211"/>
      <c r="AB126" s="177"/>
      <c r="AE126" s="177"/>
      <c r="AF126" s="177"/>
      <c r="AG126" s="177"/>
      <c r="AH126" s="177"/>
      <c r="AI126" s="177"/>
      <c r="AJ126" s="177"/>
      <c r="AK126" s="177"/>
      <c r="AL126" s="177"/>
      <c r="AM126" s="177"/>
      <c r="AN126" s="177"/>
      <c r="AO126" s="177"/>
      <c r="AP126" s="177"/>
      <c r="AQ126" s="177"/>
      <c r="AR126" s="177"/>
      <c r="AS126" s="177"/>
      <c r="AT126" s="177"/>
      <c r="AU126" s="177"/>
      <c r="AV126" s="177"/>
      <c r="AW126" s="177"/>
      <c r="AX126" s="177"/>
      <c r="AY126" s="177"/>
      <c r="AZ126" s="177"/>
      <c r="BA126" s="177"/>
      <c r="BB126" s="177"/>
      <c r="BC126" s="177"/>
      <c r="BD126" s="177"/>
      <c r="BE126" s="177"/>
      <c r="BF126" s="177"/>
      <c r="BG126" s="177"/>
      <c r="BH126" s="177"/>
      <c r="BI126" s="177"/>
      <c r="BJ126" s="177"/>
      <c r="BK126" s="177"/>
      <c r="BL126" s="177"/>
      <c r="BM126" s="177"/>
      <c r="BN126" s="177"/>
      <c r="BO126" s="177"/>
      <c r="BP126" s="177"/>
      <c r="BQ126" s="177"/>
      <c r="BR126" s="177"/>
      <c r="BS126" s="177"/>
      <c r="BT126" s="177"/>
      <c r="BU126" s="177"/>
      <c r="BV126" s="177"/>
      <c r="BW126" s="177"/>
      <c r="BX126" s="177"/>
      <c r="BY126" s="177"/>
      <c r="BZ126" s="177"/>
      <c r="CA126" s="177"/>
      <c r="CB126" s="177"/>
      <c r="CC126" s="177"/>
      <c r="CD126" s="177"/>
      <c r="CE126" s="177"/>
      <c r="CF126" s="177"/>
      <c r="CG126" s="177"/>
      <c r="CH126" s="177"/>
      <c r="CI126" s="177"/>
      <c r="CJ126" s="177"/>
      <c r="CK126" s="177"/>
      <c r="CL126" s="177"/>
      <c r="CM126" s="177"/>
      <c r="CN126" s="177"/>
      <c r="CO126" s="177"/>
      <c r="CP126" s="177"/>
      <c r="CQ126" s="177"/>
      <c r="CR126" s="177"/>
      <c r="CS126" s="177"/>
      <c r="CT126" s="177"/>
      <c r="CU126" s="177"/>
      <c r="CV126" s="177"/>
      <c r="CW126" s="177"/>
      <c r="CX126" s="177"/>
      <c r="CY126" s="177"/>
      <c r="CZ126" s="177"/>
    </row>
    <row r="127" spans="2:104">
      <c r="B127" s="214"/>
      <c r="C127" s="211"/>
      <c r="D127" s="211"/>
      <c r="E127" s="211"/>
      <c r="F127" s="211"/>
      <c r="G127" s="211"/>
      <c r="H127" s="211"/>
      <c r="I127" s="211"/>
      <c r="J127" s="211"/>
      <c r="K127" s="211"/>
      <c r="L127" s="211"/>
      <c r="M127" s="211"/>
      <c r="N127" s="211"/>
      <c r="O127" s="211"/>
      <c r="P127" s="211"/>
      <c r="Q127" s="211"/>
      <c r="R127" s="211"/>
      <c r="S127" s="211"/>
      <c r="T127" s="211"/>
      <c r="U127" s="211"/>
      <c r="V127" s="211"/>
      <c r="W127" s="211"/>
      <c r="X127" s="211"/>
      <c r="Y127" s="211"/>
      <c r="Z127" s="211"/>
      <c r="AA127" s="211"/>
      <c r="AB127" s="177"/>
      <c r="AE127" s="177"/>
      <c r="AF127" s="177"/>
      <c r="AG127" s="177"/>
      <c r="AH127" s="177"/>
      <c r="AI127" s="177"/>
      <c r="AJ127" s="177"/>
      <c r="AK127" s="177"/>
      <c r="AL127" s="177"/>
      <c r="AM127" s="177"/>
      <c r="AN127" s="177"/>
      <c r="AO127" s="177"/>
      <c r="AP127" s="177"/>
      <c r="AQ127" s="177"/>
      <c r="AR127" s="177"/>
      <c r="AS127" s="177"/>
      <c r="AT127" s="177"/>
      <c r="AU127" s="177"/>
      <c r="AV127" s="177"/>
      <c r="AW127" s="177"/>
      <c r="AX127" s="177"/>
      <c r="AY127" s="177"/>
      <c r="AZ127" s="177"/>
      <c r="BA127" s="177"/>
      <c r="BB127" s="177"/>
      <c r="BC127" s="177"/>
      <c r="BD127" s="177"/>
      <c r="BE127" s="177"/>
      <c r="BF127" s="177"/>
      <c r="BG127" s="177"/>
      <c r="BH127" s="177"/>
      <c r="BI127" s="177"/>
      <c r="BJ127" s="177"/>
      <c r="BK127" s="177"/>
      <c r="BL127" s="177"/>
      <c r="BM127" s="177"/>
      <c r="BN127" s="177"/>
      <c r="BO127" s="177"/>
      <c r="BP127" s="177"/>
      <c r="BQ127" s="177"/>
      <c r="BR127" s="177"/>
      <c r="BS127" s="177"/>
      <c r="BT127" s="177"/>
      <c r="BU127" s="177"/>
      <c r="BV127" s="177"/>
      <c r="BW127" s="177"/>
      <c r="BX127" s="177"/>
      <c r="BY127" s="177"/>
      <c r="BZ127" s="177"/>
      <c r="CA127" s="177"/>
      <c r="CB127" s="177"/>
      <c r="CC127" s="177"/>
      <c r="CD127" s="177"/>
      <c r="CE127" s="177"/>
      <c r="CF127" s="177"/>
      <c r="CG127" s="177"/>
      <c r="CH127" s="177"/>
      <c r="CI127" s="177"/>
      <c r="CJ127" s="177"/>
      <c r="CK127" s="177"/>
      <c r="CL127" s="177"/>
      <c r="CM127" s="177"/>
      <c r="CN127" s="177"/>
      <c r="CO127" s="177"/>
      <c r="CP127" s="177"/>
      <c r="CQ127" s="177"/>
      <c r="CR127" s="177"/>
      <c r="CS127" s="177"/>
      <c r="CT127" s="177"/>
      <c r="CU127" s="177"/>
      <c r="CV127" s="177"/>
      <c r="CW127" s="177"/>
      <c r="CX127" s="177"/>
      <c r="CY127" s="177"/>
      <c r="CZ127" s="177"/>
    </row>
    <row r="128" spans="2:104">
      <c r="B128" s="214"/>
      <c r="C128" s="211"/>
      <c r="D128" s="211"/>
      <c r="E128" s="211"/>
      <c r="F128" s="211"/>
      <c r="G128" s="211"/>
      <c r="H128" s="211"/>
      <c r="I128" s="211"/>
      <c r="J128" s="211"/>
      <c r="K128" s="211"/>
      <c r="L128" s="211"/>
      <c r="M128" s="211"/>
      <c r="N128" s="211"/>
      <c r="O128" s="211"/>
      <c r="P128" s="211"/>
      <c r="Q128" s="211"/>
      <c r="R128" s="211"/>
      <c r="S128" s="211"/>
      <c r="T128" s="211"/>
      <c r="U128" s="211"/>
      <c r="V128" s="211"/>
      <c r="W128" s="211"/>
      <c r="X128" s="211"/>
      <c r="Y128" s="211"/>
      <c r="Z128" s="211"/>
      <c r="AA128" s="211"/>
      <c r="AB128" s="177"/>
      <c r="AE128" s="177"/>
      <c r="AF128" s="177"/>
      <c r="AG128" s="177"/>
      <c r="AH128" s="177"/>
      <c r="AI128" s="177"/>
      <c r="AJ128" s="177"/>
      <c r="AK128" s="177"/>
      <c r="AL128" s="177"/>
      <c r="AM128" s="177"/>
      <c r="AN128" s="177"/>
      <c r="AO128" s="177"/>
      <c r="AP128" s="177"/>
      <c r="AQ128" s="177"/>
      <c r="AR128" s="177"/>
      <c r="AS128" s="177"/>
      <c r="AT128" s="177"/>
      <c r="AU128" s="177"/>
      <c r="AV128" s="177"/>
      <c r="AW128" s="177"/>
      <c r="AX128" s="177"/>
      <c r="AY128" s="177"/>
      <c r="AZ128" s="177"/>
      <c r="BA128" s="177"/>
      <c r="BB128" s="177"/>
      <c r="BC128" s="177"/>
      <c r="BD128" s="177"/>
      <c r="BE128" s="177"/>
      <c r="BF128" s="177"/>
      <c r="BG128" s="177"/>
      <c r="BH128" s="177"/>
      <c r="BI128" s="177"/>
      <c r="BJ128" s="177"/>
      <c r="BK128" s="177"/>
      <c r="BL128" s="177"/>
      <c r="BM128" s="177"/>
      <c r="BN128" s="177"/>
      <c r="BO128" s="177"/>
      <c r="BP128" s="177"/>
      <c r="BQ128" s="177"/>
      <c r="BR128" s="177"/>
      <c r="BS128" s="177"/>
      <c r="BT128" s="177"/>
      <c r="BU128" s="177"/>
      <c r="BV128" s="177"/>
      <c r="BW128" s="177"/>
      <c r="BX128" s="177"/>
      <c r="BY128" s="177"/>
      <c r="BZ128" s="177"/>
      <c r="CA128" s="177"/>
      <c r="CB128" s="177"/>
      <c r="CC128" s="177"/>
      <c r="CD128" s="177"/>
      <c r="CE128" s="177"/>
      <c r="CF128" s="177"/>
      <c r="CG128" s="177"/>
      <c r="CH128" s="177"/>
      <c r="CI128" s="177"/>
      <c r="CJ128" s="177"/>
      <c r="CK128" s="177"/>
      <c r="CL128" s="177"/>
      <c r="CM128" s="177"/>
      <c r="CN128" s="177"/>
      <c r="CO128" s="177"/>
      <c r="CP128" s="177"/>
      <c r="CQ128" s="177"/>
      <c r="CR128" s="177"/>
      <c r="CS128" s="177"/>
      <c r="CT128" s="177"/>
      <c r="CU128" s="177"/>
      <c r="CV128" s="177"/>
      <c r="CW128" s="177"/>
      <c r="CX128" s="177"/>
      <c r="CY128" s="177"/>
      <c r="CZ128" s="177"/>
    </row>
    <row r="129" spans="2:104">
      <c r="B129" s="214"/>
      <c r="C129" s="211"/>
      <c r="D129" s="211"/>
      <c r="E129" s="211"/>
      <c r="F129" s="211"/>
      <c r="G129" s="211"/>
      <c r="H129" s="211"/>
      <c r="I129" s="211"/>
      <c r="J129" s="211"/>
      <c r="K129" s="211"/>
      <c r="L129" s="211"/>
      <c r="M129" s="211"/>
      <c r="N129" s="211"/>
      <c r="O129" s="211"/>
      <c r="P129" s="211"/>
      <c r="Q129" s="211"/>
      <c r="R129" s="211"/>
      <c r="S129" s="211"/>
      <c r="T129" s="211"/>
      <c r="U129" s="211"/>
      <c r="V129" s="211"/>
      <c r="W129" s="211"/>
      <c r="X129" s="211"/>
      <c r="Y129" s="211"/>
      <c r="Z129" s="211"/>
      <c r="AA129" s="211"/>
      <c r="AB129" s="177"/>
      <c r="AE129" s="177"/>
      <c r="AF129" s="177"/>
      <c r="AG129" s="177"/>
      <c r="AH129" s="177"/>
      <c r="AI129" s="177"/>
      <c r="AJ129" s="177"/>
      <c r="AK129" s="177"/>
      <c r="AL129" s="177"/>
      <c r="AM129" s="177"/>
      <c r="AN129" s="177"/>
      <c r="AO129" s="177"/>
      <c r="AP129" s="177"/>
      <c r="AQ129" s="177"/>
      <c r="AR129" s="177"/>
      <c r="AS129" s="177"/>
      <c r="AT129" s="177"/>
      <c r="AU129" s="177"/>
      <c r="AV129" s="177"/>
      <c r="AW129" s="177"/>
      <c r="AX129" s="177"/>
      <c r="AY129" s="177"/>
      <c r="AZ129" s="177"/>
      <c r="BA129" s="177"/>
      <c r="BB129" s="177"/>
      <c r="BC129" s="177"/>
      <c r="BD129" s="177"/>
      <c r="BE129" s="177"/>
      <c r="BF129" s="177"/>
      <c r="BG129" s="177"/>
      <c r="BH129" s="177"/>
      <c r="BI129" s="177"/>
      <c r="BJ129" s="177"/>
      <c r="BK129" s="177"/>
      <c r="BL129" s="177"/>
      <c r="BM129" s="177"/>
      <c r="BN129" s="177"/>
      <c r="BO129" s="177"/>
      <c r="BP129" s="177"/>
      <c r="BQ129" s="177"/>
      <c r="BR129" s="177"/>
      <c r="BS129" s="177"/>
      <c r="BT129" s="177"/>
      <c r="BU129" s="177"/>
      <c r="BV129" s="177"/>
      <c r="BW129" s="177"/>
      <c r="BX129" s="177"/>
      <c r="BY129" s="177"/>
      <c r="BZ129" s="177"/>
      <c r="CA129" s="177"/>
      <c r="CB129" s="177"/>
      <c r="CC129" s="177"/>
      <c r="CD129" s="177"/>
      <c r="CE129" s="177"/>
      <c r="CF129" s="177"/>
      <c r="CG129" s="177"/>
      <c r="CH129" s="177"/>
      <c r="CI129" s="177"/>
      <c r="CJ129" s="177"/>
      <c r="CK129" s="177"/>
      <c r="CL129" s="177"/>
      <c r="CM129" s="177"/>
      <c r="CN129" s="177"/>
      <c r="CO129" s="177"/>
      <c r="CP129" s="177"/>
      <c r="CQ129" s="177"/>
      <c r="CR129" s="177"/>
      <c r="CS129" s="177"/>
      <c r="CT129" s="177"/>
      <c r="CU129" s="177"/>
      <c r="CV129" s="177"/>
      <c r="CW129" s="177"/>
      <c r="CX129" s="177"/>
      <c r="CY129" s="177"/>
      <c r="CZ129" s="177"/>
    </row>
    <row r="130" spans="2:104">
      <c r="B130" s="214"/>
      <c r="C130" s="211"/>
      <c r="D130" s="211"/>
      <c r="E130" s="211"/>
      <c r="F130" s="211"/>
      <c r="G130" s="211"/>
      <c r="H130" s="211"/>
      <c r="I130" s="211"/>
      <c r="J130" s="211"/>
      <c r="K130" s="211"/>
      <c r="L130" s="211"/>
      <c r="M130" s="211"/>
      <c r="N130" s="211"/>
      <c r="O130" s="211"/>
      <c r="P130" s="211"/>
      <c r="Q130" s="211"/>
      <c r="R130" s="211"/>
      <c r="S130" s="211"/>
      <c r="T130" s="211"/>
      <c r="U130" s="211"/>
      <c r="V130" s="211"/>
      <c r="W130" s="211"/>
      <c r="X130" s="211"/>
      <c r="Y130" s="211"/>
      <c r="Z130" s="211"/>
      <c r="AA130" s="211"/>
      <c r="AB130" s="177"/>
      <c r="AE130" s="177"/>
      <c r="AF130" s="177"/>
      <c r="AG130" s="177"/>
      <c r="AH130" s="177"/>
      <c r="AI130" s="177"/>
      <c r="AJ130" s="177"/>
      <c r="AK130" s="177"/>
      <c r="AL130" s="177"/>
      <c r="AM130" s="177"/>
      <c r="AN130" s="177"/>
      <c r="AO130" s="177"/>
      <c r="AP130" s="177"/>
      <c r="AQ130" s="177"/>
      <c r="AR130" s="177"/>
      <c r="AS130" s="177"/>
      <c r="AT130" s="177"/>
      <c r="AU130" s="177"/>
      <c r="AV130" s="177"/>
      <c r="AW130" s="177"/>
      <c r="AX130" s="177"/>
      <c r="AY130" s="177"/>
      <c r="AZ130" s="177"/>
      <c r="BA130" s="177"/>
      <c r="BB130" s="177"/>
      <c r="BC130" s="177"/>
      <c r="BD130" s="177"/>
      <c r="BE130" s="177"/>
      <c r="BF130" s="177"/>
      <c r="BG130" s="177"/>
      <c r="BH130" s="177"/>
      <c r="BI130" s="177"/>
      <c r="BJ130" s="177"/>
      <c r="BK130" s="177"/>
      <c r="BL130" s="177"/>
      <c r="BM130" s="177"/>
      <c r="BN130" s="177"/>
      <c r="BO130" s="177"/>
      <c r="BP130" s="177"/>
      <c r="BQ130" s="177"/>
      <c r="BR130" s="177"/>
      <c r="BS130" s="177"/>
      <c r="BT130" s="177"/>
      <c r="BU130" s="177"/>
      <c r="BV130" s="177"/>
      <c r="BW130" s="177"/>
      <c r="BX130" s="177"/>
      <c r="BY130" s="177"/>
      <c r="BZ130" s="177"/>
      <c r="CA130" s="177"/>
      <c r="CB130" s="177"/>
      <c r="CC130" s="177"/>
      <c r="CD130" s="177"/>
      <c r="CE130" s="177"/>
      <c r="CF130" s="177"/>
      <c r="CG130" s="177"/>
      <c r="CH130" s="177"/>
      <c r="CI130" s="177"/>
      <c r="CJ130" s="177"/>
      <c r="CK130" s="177"/>
      <c r="CL130" s="177"/>
      <c r="CM130" s="177"/>
      <c r="CN130" s="177"/>
      <c r="CO130" s="177"/>
      <c r="CP130" s="177"/>
      <c r="CQ130" s="177"/>
      <c r="CR130" s="177"/>
      <c r="CS130" s="177"/>
      <c r="CT130" s="177"/>
      <c r="CU130" s="177"/>
      <c r="CV130" s="177"/>
      <c r="CW130" s="177"/>
      <c r="CX130" s="177"/>
      <c r="CY130" s="177"/>
      <c r="CZ130" s="177"/>
    </row>
    <row r="131" spans="2:104">
      <c r="B131" s="214"/>
      <c r="C131" s="211"/>
      <c r="D131" s="211"/>
      <c r="E131" s="211"/>
      <c r="F131" s="211"/>
      <c r="G131" s="211"/>
      <c r="H131" s="211"/>
      <c r="I131" s="211"/>
      <c r="J131" s="211"/>
      <c r="K131" s="211"/>
      <c r="L131" s="211"/>
      <c r="M131" s="211"/>
      <c r="N131" s="211"/>
      <c r="O131" s="211"/>
      <c r="P131" s="211"/>
      <c r="Q131" s="211"/>
      <c r="R131" s="211"/>
      <c r="S131" s="211"/>
      <c r="T131" s="211"/>
      <c r="U131" s="211"/>
      <c r="V131" s="211"/>
      <c r="W131" s="211"/>
      <c r="X131" s="211"/>
      <c r="Y131" s="211"/>
      <c r="Z131" s="211"/>
      <c r="AA131" s="211"/>
      <c r="AB131" s="177"/>
      <c r="AE131" s="177"/>
      <c r="AF131" s="177"/>
      <c r="AG131" s="177"/>
      <c r="AH131" s="177"/>
      <c r="AI131" s="177"/>
      <c r="AJ131" s="177"/>
      <c r="AK131" s="177"/>
      <c r="AL131" s="177"/>
      <c r="AM131" s="177"/>
      <c r="AN131" s="177"/>
      <c r="AO131" s="177"/>
      <c r="AP131" s="177"/>
      <c r="AQ131" s="177"/>
      <c r="AR131" s="177"/>
      <c r="AS131" s="177"/>
      <c r="AT131" s="177"/>
      <c r="AU131" s="177"/>
      <c r="AV131" s="177"/>
      <c r="AW131" s="177"/>
      <c r="AX131" s="177"/>
      <c r="AY131" s="177"/>
      <c r="AZ131" s="177"/>
      <c r="BA131" s="177"/>
      <c r="BB131" s="177"/>
      <c r="BC131" s="177"/>
      <c r="BD131" s="177"/>
      <c r="BE131" s="177"/>
      <c r="BF131" s="177"/>
      <c r="BG131" s="177"/>
      <c r="BH131" s="177"/>
      <c r="BI131" s="177"/>
      <c r="BJ131" s="177"/>
      <c r="BK131" s="177"/>
      <c r="BL131" s="177"/>
      <c r="BM131" s="177"/>
      <c r="BN131" s="177"/>
      <c r="BO131" s="177"/>
      <c r="BP131" s="177"/>
      <c r="BQ131" s="177"/>
      <c r="BR131" s="177"/>
      <c r="BS131" s="177"/>
      <c r="BT131" s="177"/>
      <c r="BU131" s="177"/>
      <c r="BV131" s="177"/>
      <c r="BW131" s="177"/>
      <c r="BX131" s="177"/>
      <c r="BY131" s="177"/>
      <c r="BZ131" s="177"/>
      <c r="CA131" s="177"/>
      <c r="CB131" s="177"/>
      <c r="CC131" s="177"/>
      <c r="CD131" s="177"/>
      <c r="CE131" s="177"/>
      <c r="CF131" s="177"/>
      <c r="CG131" s="177"/>
      <c r="CH131" s="177"/>
      <c r="CI131" s="177"/>
      <c r="CJ131" s="177"/>
      <c r="CK131" s="177"/>
      <c r="CL131" s="177"/>
      <c r="CM131" s="177"/>
      <c r="CN131" s="177"/>
      <c r="CO131" s="177"/>
      <c r="CP131" s="177"/>
      <c r="CQ131" s="177"/>
      <c r="CR131" s="177"/>
      <c r="CS131" s="177"/>
      <c r="CT131" s="177"/>
      <c r="CU131" s="177"/>
      <c r="CV131" s="177"/>
      <c r="CW131" s="177"/>
      <c r="CX131" s="177"/>
      <c r="CY131" s="177"/>
      <c r="CZ131" s="177"/>
    </row>
    <row r="132" spans="2:104">
      <c r="B132" s="214"/>
      <c r="C132" s="211"/>
      <c r="D132" s="211"/>
      <c r="E132" s="211"/>
      <c r="F132" s="211"/>
      <c r="G132" s="211"/>
      <c r="H132" s="211"/>
      <c r="I132" s="211"/>
      <c r="J132" s="211"/>
      <c r="K132" s="211"/>
      <c r="L132" s="211"/>
      <c r="M132" s="211"/>
      <c r="N132" s="211"/>
      <c r="O132" s="211"/>
      <c r="P132" s="211"/>
      <c r="Q132" s="211"/>
      <c r="R132" s="211"/>
      <c r="S132" s="211"/>
      <c r="T132" s="211"/>
      <c r="U132" s="211"/>
      <c r="V132" s="211"/>
      <c r="W132" s="211"/>
      <c r="X132" s="211"/>
      <c r="Y132" s="211"/>
      <c r="Z132" s="211"/>
      <c r="AA132" s="211"/>
      <c r="AB132" s="177"/>
      <c r="AE132" s="177"/>
      <c r="AF132" s="177"/>
      <c r="AG132" s="177"/>
      <c r="AH132" s="177"/>
      <c r="AI132" s="177"/>
      <c r="AJ132" s="177"/>
      <c r="AK132" s="177"/>
      <c r="AL132" s="177"/>
      <c r="AM132" s="177"/>
      <c r="AN132" s="177"/>
      <c r="AO132" s="177"/>
      <c r="AP132" s="177"/>
      <c r="AQ132" s="177"/>
      <c r="AR132" s="177"/>
      <c r="AS132" s="177"/>
      <c r="AT132" s="177"/>
      <c r="AU132" s="177"/>
      <c r="AV132" s="177"/>
      <c r="AW132" s="177"/>
      <c r="AX132" s="177"/>
      <c r="AY132" s="177"/>
      <c r="AZ132" s="177"/>
      <c r="BA132" s="177"/>
      <c r="BB132" s="177"/>
      <c r="BC132" s="177"/>
      <c r="BD132" s="177"/>
      <c r="BE132" s="177"/>
      <c r="BF132" s="177"/>
      <c r="BG132" s="177"/>
      <c r="BH132" s="177"/>
      <c r="BI132" s="177"/>
      <c r="BJ132" s="177"/>
      <c r="BK132" s="177"/>
      <c r="BL132" s="177"/>
      <c r="BM132" s="177"/>
      <c r="BN132" s="177"/>
      <c r="BO132" s="177"/>
      <c r="BP132" s="177"/>
      <c r="BQ132" s="177"/>
      <c r="BR132" s="177"/>
      <c r="BS132" s="177"/>
      <c r="BT132" s="177"/>
      <c r="BU132" s="177"/>
      <c r="BV132" s="177"/>
      <c r="BW132" s="177"/>
      <c r="BX132" s="177"/>
      <c r="BY132" s="177"/>
      <c r="BZ132" s="177"/>
      <c r="CA132" s="177"/>
      <c r="CB132" s="177"/>
      <c r="CC132" s="177"/>
      <c r="CD132" s="177"/>
      <c r="CE132" s="177"/>
      <c r="CF132" s="177"/>
      <c r="CG132" s="177"/>
      <c r="CH132" s="177"/>
      <c r="CI132" s="177"/>
      <c r="CJ132" s="177"/>
      <c r="CK132" s="177"/>
      <c r="CL132" s="177"/>
      <c r="CM132" s="177"/>
      <c r="CN132" s="177"/>
      <c r="CO132" s="177"/>
      <c r="CP132" s="177"/>
      <c r="CQ132" s="177"/>
      <c r="CR132" s="177"/>
      <c r="CS132" s="177"/>
      <c r="CT132" s="177"/>
      <c r="CU132" s="177"/>
      <c r="CV132" s="177"/>
      <c r="CW132" s="177"/>
      <c r="CX132" s="177"/>
      <c r="CY132" s="177"/>
      <c r="CZ132" s="177"/>
    </row>
    <row r="133" spans="2:104">
      <c r="B133" s="214"/>
      <c r="C133" s="211"/>
      <c r="D133" s="211"/>
      <c r="E133" s="211"/>
      <c r="F133" s="211"/>
      <c r="G133" s="211"/>
      <c r="H133" s="211"/>
      <c r="I133" s="211"/>
      <c r="J133" s="211"/>
      <c r="K133" s="211"/>
      <c r="L133" s="211"/>
      <c r="M133" s="211"/>
      <c r="N133" s="211"/>
      <c r="O133" s="211"/>
      <c r="P133" s="211"/>
      <c r="Q133" s="211"/>
      <c r="R133" s="211"/>
      <c r="S133" s="211"/>
      <c r="T133" s="211"/>
      <c r="U133" s="211"/>
      <c r="V133" s="211"/>
      <c r="W133" s="211"/>
      <c r="X133" s="211"/>
      <c r="Y133" s="211"/>
      <c r="Z133" s="211"/>
      <c r="AA133" s="211"/>
      <c r="AB133" s="177"/>
      <c r="AE133" s="177"/>
      <c r="AF133" s="177"/>
      <c r="AG133" s="177"/>
      <c r="AH133" s="177"/>
      <c r="AI133" s="177"/>
      <c r="AJ133" s="177"/>
      <c r="AK133" s="177"/>
      <c r="AL133" s="177"/>
      <c r="AM133" s="177"/>
      <c r="AN133" s="177"/>
      <c r="AO133" s="177"/>
      <c r="AP133" s="177"/>
      <c r="AQ133" s="177"/>
      <c r="AR133" s="177"/>
      <c r="AS133" s="177"/>
      <c r="AT133" s="177"/>
      <c r="AU133" s="177"/>
      <c r="AV133" s="177"/>
      <c r="AW133" s="177"/>
      <c r="AX133" s="177"/>
      <c r="AY133" s="177"/>
      <c r="AZ133" s="177"/>
      <c r="BA133" s="177"/>
      <c r="BB133" s="177"/>
      <c r="BC133" s="177"/>
      <c r="BD133" s="177"/>
      <c r="BE133" s="177"/>
      <c r="BF133" s="177"/>
      <c r="BG133" s="177"/>
      <c r="BH133" s="177"/>
      <c r="BI133" s="177"/>
      <c r="BJ133" s="177"/>
      <c r="BK133" s="177"/>
      <c r="BL133" s="177"/>
      <c r="BM133" s="177"/>
      <c r="BN133" s="177"/>
      <c r="BO133" s="177"/>
      <c r="BP133" s="177"/>
      <c r="BQ133" s="177"/>
      <c r="BR133" s="177"/>
      <c r="BS133" s="177"/>
      <c r="BT133" s="177"/>
      <c r="BU133" s="177"/>
      <c r="BV133" s="177"/>
      <c r="BW133" s="177"/>
      <c r="BX133" s="177"/>
      <c r="BY133" s="177"/>
      <c r="BZ133" s="177"/>
      <c r="CA133" s="177"/>
      <c r="CB133" s="177"/>
      <c r="CC133" s="177"/>
      <c r="CD133" s="177"/>
      <c r="CE133" s="177"/>
      <c r="CF133" s="177"/>
      <c r="CG133" s="177"/>
      <c r="CH133" s="177"/>
      <c r="CI133" s="177"/>
      <c r="CJ133" s="177"/>
      <c r="CK133" s="177"/>
      <c r="CL133" s="177"/>
      <c r="CM133" s="177"/>
      <c r="CN133" s="177"/>
      <c r="CO133" s="177"/>
      <c r="CP133" s="177"/>
      <c r="CQ133" s="177"/>
      <c r="CR133" s="177"/>
      <c r="CS133" s="177"/>
      <c r="CT133" s="177"/>
      <c r="CU133" s="177"/>
      <c r="CV133" s="177"/>
      <c r="CW133" s="177"/>
      <c r="CX133" s="177"/>
      <c r="CY133" s="177"/>
      <c r="CZ133" s="177"/>
    </row>
    <row r="134" spans="2:104">
      <c r="B134" s="214"/>
      <c r="C134" s="211"/>
      <c r="D134" s="211"/>
      <c r="E134" s="211"/>
      <c r="F134" s="211"/>
      <c r="G134" s="211"/>
      <c r="H134" s="211"/>
      <c r="I134" s="211"/>
      <c r="J134" s="211"/>
      <c r="K134" s="211"/>
      <c r="L134" s="211"/>
      <c r="M134" s="211"/>
      <c r="N134" s="211"/>
      <c r="O134" s="211"/>
      <c r="P134" s="211"/>
      <c r="Q134" s="211"/>
      <c r="R134" s="211"/>
      <c r="S134" s="211"/>
      <c r="T134" s="211"/>
      <c r="U134" s="211"/>
      <c r="V134" s="211"/>
      <c r="W134" s="211"/>
      <c r="X134" s="211"/>
      <c r="Y134" s="211"/>
      <c r="Z134" s="211"/>
      <c r="AA134" s="211"/>
      <c r="AB134" s="177"/>
      <c r="AE134" s="177"/>
      <c r="AF134" s="177"/>
      <c r="AG134" s="177"/>
      <c r="AH134" s="177"/>
      <c r="AI134" s="177"/>
      <c r="AJ134" s="177"/>
      <c r="AK134" s="177"/>
      <c r="AL134" s="177"/>
      <c r="AM134" s="177"/>
      <c r="AN134" s="177"/>
      <c r="AO134" s="177"/>
      <c r="AP134" s="177"/>
      <c r="AQ134" s="177"/>
      <c r="AR134" s="177"/>
      <c r="AS134" s="177"/>
      <c r="AT134" s="177"/>
      <c r="AU134" s="177"/>
      <c r="AV134" s="177"/>
      <c r="AW134" s="177"/>
      <c r="AX134" s="177"/>
      <c r="AY134" s="177"/>
      <c r="AZ134" s="177"/>
      <c r="BA134" s="177"/>
      <c r="BB134" s="177"/>
      <c r="BC134" s="177"/>
      <c r="BD134" s="177"/>
      <c r="BE134" s="177"/>
      <c r="BF134" s="177"/>
      <c r="BG134" s="177"/>
      <c r="BH134" s="177"/>
      <c r="BI134" s="177"/>
      <c r="BJ134" s="177"/>
      <c r="BK134" s="177"/>
      <c r="BL134" s="177"/>
      <c r="BM134" s="177"/>
      <c r="BN134" s="177"/>
      <c r="BO134" s="177"/>
      <c r="BP134" s="177"/>
      <c r="BQ134" s="177"/>
      <c r="BR134" s="177"/>
      <c r="BS134" s="177"/>
      <c r="BT134" s="177"/>
      <c r="BU134" s="177"/>
      <c r="BV134" s="177"/>
      <c r="BW134" s="177"/>
      <c r="BX134" s="177"/>
      <c r="BY134" s="177"/>
      <c r="BZ134" s="177"/>
      <c r="CA134" s="177"/>
      <c r="CB134" s="177"/>
      <c r="CC134" s="177"/>
      <c r="CD134" s="177"/>
      <c r="CE134" s="177"/>
      <c r="CF134" s="177"/>
      <c r="CG134" s="177"/>
      <c r="CH134" s="177"/>
      <c r="CI134" s="177"/>
      <c r="CJ134" s="177"/>
      <c r="CK134" s="177"/>
      <c r="CL134" s="177"/>
      <c r="CM134" s="177"/>
      <c r="CN134" s="177"/>
      <c r="CO134" s="177"/>
      <c r="CP134" s="177"/>
      <c r="CQ134" s="177"/>
      <c r="CR134" s="177"/>
      <c r="CS134" s="177"/>
      <c r="CT134" s="177"/>
      <c r="CU134" s="177"/>
      <c r="CV134" s="177"/>
      <c r="CW134" s="177"/>
      <c r="CX134" s="177"/>
      <c r="CY134" s="177"/>
      <c r="CZ134" s="177"/>
    </row>
    <row r="135" spans="2:104">
      <c r="B135" s="214"/>
      <c r="C135" s="211"/>
      <c r="D135" s="211"/>
      <c r="E135" s="211"/>
      <c r="F135" s="211"/>
      <c r="G135" s="211"/>
      <c r="H135" s="211"/>
      <c r="I135" s="211"/>
      <c r="J135" s="211"/>
      <c r="K135" s="211"/>
      <c r="L135" s="211"/>
      <c r="M135" s="211"/>
      <c r="N135" s="211"/>
      <c r="O135" s="211"/>
      <c r="P135" s="211"/>
      <c r="Q135" s="211"/>
      <c r="R135" s="211"/>
      <c r="S135" s="211"/>
      <c r="T135" s="211"/>
      <c r="U135" s="211"/>
      <c r="V135" s="211"/>
      <c r="W135" s="211"/>
      <c r="X135" s="211"/>
      <c r="Y135" s="211"/>
      <c r="Z135" s="211"/>
      <c r="AA135" s="211"/>
      <c r="AB135" s="177"/>
      <c r="AE135" s="177"/>
      <c r="AF135" s="177"/>
      <c r="AG135" s="177"/>
      <c r="AH135" s="177"/>
      <c r="AI135" s="177"/>
      <c r="AJ135" s="177"/>
      <c r="AK135" s="177"/>
      <c r="AL135" s="177"/>
      <c r="AM135" s="177"/>
      <c r="AN135" s="177"/>
      <c r="AO135" s="177"/>
      <c r="AP135" s="177"/>
      <c r="AQ135" s="177"/>
      <c r="AR135" s="177"/>
      <c r="AS135" s="177"/>
      <c r="AT135" s="177"/>
      <c r="AU135" s="177"/>
      <c r="AV135" s="177"/>
      <c r="AW135" s="177"/>
      <c r="AX135" s="177"/>
      <c r="AY135" s="177"/>
      <c r="AZ135" s="177"/>
      <c r="BA135" s="177"/>
      <c r="BB135" s="177"/>
      <c r="BC135" s="177"/>
      <c r="BD135" s="177"/>
      <c r="BE135" s="177"/>
      <c r="BF135" s="177"/>
      <c r="BG135" s="177"/>
      <c r="BH135" s="177"/>
      <c r="BI135" s="177"/>
      <c r="BJ135" s="177"/>
      <c r="BK135" s="177"/>
      <c r="BL135" s="177"/>
      <c r="BM135" s="177"/>
      <c r="BN135" s="177"/>
      <c r="BO135" s="177"/>
      <c r="BP135" s="177"/>
      <c r="BQ135" s="177"/>
      <c r="BR135" s="177"/>
      <c r="BS135" s="177"/>
      <c r="BT135" s="177"/>
      <c r="BU135" s="177"/>
      <c r="BV135" s="177"/>
      <c r="BW135" s="177"/>
      <c r="BX135" s="177"/>
      <c r="BY135" s="177"/>
      <c r="BZ135" s="177"/>
      <c r="CA135" s="177"/>
      <c r="CB135" s="177"/>
      <c r="CC135" s="177"/>
      <c r="CD135" s="177"/>
      <c r="CE135" s="177"/>
      <c r="CF135" s="177"/>
      <c r="CG135" s="177"/>
      <c r="CH135" s="177"/>
      <c r="CI135" s="177"/>
      <c r="CJ135" s="177"/>
      <c r="CK135" s="177"/>
      <c r="CL135" s="177"/>
      <c r="CM135" s="177"/>
      <c r="CN135" s="177"/>
      <c r="CO135" s="177"/>
      <c r="CP135" s="177"/>
      <c r="CQ135" s="177"/>
      <c r="CR135" s="177"/>
      <c r="CS135" s="177"/>
      <c r="CT135" s="177"/>
      <c r="CU135" s="177"/>
      <c r="CV135" s="177"/>
      <c r="CW135" s="177"/>
      <c r="CX135" s="177"/>
      <c r="CY135" s="177"/>
      <c r="CZ135" s="177"/>
    </row>
    <row r="136" spans="2:104">
      <c r="B136" s="214"/>
      <c r="C136" s="211"/>
      <c r="D136" s="211"/>
      <c r="E136" s="211"/>
      <c r="F136" s="211"/>
      <c r="G136" s="211"/>
      <c r="H136" s="211"/>
      <c r="I136" s="211"/>
      <c r="J136" s="211"/>
      <c r="K136" s="211"/>
      <c r="L136" s="211"/>
      <c r="M136" s="211"/>
      <c r="N136" s="211"/>
      <c r="O136" s="211"/>
      <c r="P136" s="211"/>
      <c r="Q136" s="211"/>
      <c r="R136" s="211"/>
      <c r="S136" s="211"/>
      <c r="T136" s="211"/>
      <c r="U136" s="211"/>
      <c r="V136" s="211"/>
      <c r="W136" s="211"/>
      <c r="X136" s="211"/>
      <c r="Y136" s="211"/>
      <c r="Z136" s="211"/>
      <c r="AA136" s="211"/>
      <c r="AB136" s="177"/>
      <c r="AE136" s="177"/>
      <c r="AF136" s="177"/>
      <c r="AG136" s="177"/>
      <c r="AH136" s="177"/>
      <c r="AI136" s="177"/>
      <c r="AJ136" s="177"/>
      <c r="AK136" s="177"/>
      <c r="AL136" s="177"/>
      <c r="AM136" s="177"/>
      <c r="AN136" s="177"/>
      <c r="AO136" s="177"/>
      <c r="AP136" s="177"/>
      <c r="AQ136" s="177"/>
      <c r="AR136" s="177"/>
      <c r="AS136" s="177"/>
      <c r="AT136" s="177"/>
      <c r="AU136" s="177"/>
      <c r="AV136" s="177"/>
      <c r="AW136" s="177"/>
      <c r="AX136" s="177"/>
      <c r="AY136" s="177"/>
      <c r="AZ136" s="177"/>
      <c r="BA136" s="177"/>
      <c r="BB136" s="177"/>
      <c r="BC136" s="177"/>
      <c r="BD136" s="177"/>
      <c r="BE136" s="177"/>
      <c r="BF136" s="177"/>
      <c r="BG136" s="177"/>
      <c r="BH136" s="177"/>
      <c r="BI136" s="177"/>
      <c r="BJ136" s="177"/>
      <c r="BK136" s="177"/>
      <c r="BL136" s="177"/>
      <c r="BM136" s="177"/>
      <c r="BN136" s="177"/>
      <c r="BO136" s="177"/>
      <c r="BP136" s="177"/>
      <c r="BQ136" s="177"/>
      <c r="BR136" s="177"/>
      <c r="BS136" s="177"/>
      <c r="BT136" s="177"/>
      <c r="BU136" s="177"/>
      <c r="BV136" s="177"/>
      <c r="BW136" s="177"/>
      <c r="BX136" s="177"/>
      <c r="BY136" s="177"/>
      <c r="BZ136" s="177"/>
      <c r="CA136" s="177"/>
      <c r="CB136" s="177"/>
      <c r="CC136" s="177"/>
      <c r="CD136" s="177"/>
      <c r="CE136" s="177"/>
      <c r="CF136" s="177"/>
      <c r="CG136" s="177"/>
      <c r="CH136" s="177"/>
      <c r="CI136" s="177"/>
      <c r="CJ136" s="177"/>
      <c r="CK136" s="177"/>
      <c r="CL136" s="177"/>
      <c r="CM136" s="177"/>
      <c r="CN136" s="177"/>
      <c r="CO136" s="177"/>
      <c r="CP136" s="177"/>
      <c r="CQ136" s="177"/>
      <c r="CR136" s="177"/>
      <c r="CS136" s="177"/>
      <c r="CT136" s="177"/>
      <c r="CU136" s="177"/>
      <c r="CV136" s="177"/>
      <c r="CW136" s="177"/>
      <c r="CX136" s="177"/>
      <c r="CY136" s="177"/>
      <c r="CZ136" s="177"/>
    </row>
    <row r="137" spans="2:104">
      <c r="B137" s="214"/>
      <c r="C137" s="211"/>
      <c r="D137" s="211"/>
      <c r="E137" s="211"/>
      <c r="F137" s="211"/>
      <c r="G137" s="211"/>
      <c r="H137" s="211"/>
      <c r="I137" s="211"/>
      <c r="J137" s="211"/>
      <c r="K137" s="211"/>
      <c r="L137" s="211"/>
      <c r="M137" s="211"/>
      <c r="N137" s="211"/>
      <c r="O137" s="211"/>
      <c r="P137" s="211"/>
      <c r="Q137" s="211"/>
      <c r="R137" s="211"/>
      <c r="S137" s="211"/>
      <c r="T137" s="211"/>
      <c r="U137" s="211"/>
      <c r="V137" s="211"/>
      <c r="W137" s="211"/>
      <c r="X137" s="211"/>
      <c r="Y137" s="211"/>
      <c r="Z137" s="211"/>
      <c r="AA137" s="211"/>
      <c r="AB137" s="177"/>
      <c r="AE137" s="177"/>
      <c r="AF137" s="177"/>
      <c r="AG137" s="177"/>
      <c r="AH137" s="177"/>
      <c r="AI137" s="177"/>
      <c r="AJ137" s="177"/>
      <c r="AK137" s="177"/>
      <c r="AL137" s="177"/>
      <c r="AM137" s="177"/>
      <c r="AN137" s="177"/>
      <c r="AO137" s="177"/>
      <c r="AP137" s="177"/>
      <c r="AQ137" s="177"/>
      <c r="AR137" s="177"/>
      <c r="AS137" s="177"/>
      <c r="AT137" s="177"/>
      <c r="AU137" s="177"/>
      <c r="AV137" s="177"/>
      <c r="AW137" s="177"/>
      <c r="AX137" s="177"/>
      <c r="AY137" s="177"/>
      <c r="AZ137" s="177"/>
      <c r="BA137" s="177"/>
      <c r="BB137" s="177"/>
      <c r="BC137" s="177"/>
      <c r="BD137" s="177"/>
      <c r="BE137" s="177"/>
      <c r="BF137" s="177"/>
      <c r="BG137" s="177"/>
      <c r="BH137" s="177"/>
      <c r="BI137" s="177"/>
      <c r="BJ137" s="177"/>
      <c r="BK137" s="177"/>
      <c r="BL137" s="177"/>
      <c r="BM137" s="177"/>
      <c r="BN137" s="177"/>
      <c r="BO137" s="177"/>
      <c r="BP137" s="177"/>
      <c r="BQ137" s="177"/>
      <c r="BR137" s="177"/>
      <c r="BS137" s="177"/>
      <c r="BT137" s="177"/>
      <c r="BU137" s="177"/>
      <c r="BV137" s="177"/>
      <c r="BW137" s="177"/>
      <c r="BX137" s="177"/>
      <c r="BY137" s="177"/>
      <c r="BZ137" s="177"/>
      <c r="CA137" s="177"/>
      <c r="CB137" s="177"/>
      <c r="CC137" s="177"/>
      <c r="CD137" s="177"/>
      <c r="CE137" s="177"/>
      <c r="CF137" s="177"/>
      <c r="CG137" s="177"/>
      <c r="CH137" s="177"/>
      <c r="CI137" s="177"/>
      <c r="CJ137" s="177"/>
      <c r="CK137" s="177"/>
      <c r="CL137" s="177"/>
      <c r="CM137" s="177"/>
      <c r="CN137" s="177"/>
      <c r="CO137" s="177"/>
      <c r="CP137" s="177"/>
      <c r="CQ137" s="177"/>
      <c r="CR137" s="177"/>
      <c r="CS137" s="177"/>
      <c r="CT137" s="177"/>
      <c r="CU137" s="177"/>
      <c r="CV137" s="177"/>
      <c r="CW137" s="177"/>
      <c r="CX137" s="177"/>
      <c r="CY137" s="177"/>
      <c r="CZ137" s="177"/>
    </row>
    <row r="138" spans="2:104">
      <c r="B138" s="214"/>
      <c r="C138" s="211"/>
      <c r="D138" s="211"/>
      <c r="E138" s="211"/>
      <c r="F138" s="211"/>
      <c r="G138" s="211"/>
      <c r="H138" s="211"/>
      <c r="I138" s="211"/>
      <c r="J138" s="211"/>
      <c r="K138" s="211"/>
      <c r="L138" s="211"/>
      <c r="M138" s="211"/>
      <c r="N138" s="211"/>
      <c r="O138" s="211"/>
      <c r="P138" s="211"/>
      <c r="Q138" s="211"/>
      <c r="R138" s="211"/>
      <c r="S138" s="211"/>
      <c r="T138" s="211"/>
      <c r="U138" s="211"/>
      <c r="V138" s="211"/>
      <c r="W138" s="211"/>
      <c r="X138" s="211"/>
      <c r="Y138" s="211"/>
      <c r="Z138" s="211"/>
      <c r="AA138" s="211"/>
      <c r="AB138" s="177"/>
      <c r="AE138" s="177"/>
      <c r="AF138" s="177"/>
      <c r="AG138" s="177"/>
      <c r="AH138" s="177"/>
      <c r="AI138" s="177"/>
      <c r="AJ138" s="177"/>
      <c r="AK138" s="177"/>
      <c r="AL138" s="177"/>
      <c r="AM138" s="177"/>
      <c r="AN138" s="177"/>
      <c r="AO138" s="177"/>
      <c r="AP138" s="177"/>
      <c r="AQ138" s="177"/>
      <c r="AR138" s="177"/>
      <c r="AS138" s="177"/>
      <c r="AT138" s="177"/>
      <c r="AU138" s="177"/>
      <c r="AV138" s="177"/>
      <c r="AW138" s="177"/>
      <c r="AX138" s="177"/>
      <c r="AY138" s="177"/>
      <c r="AZ138" s="177"/>
      <c r="BA138" s="177"/>
      <c r="BB138" s="177"/>
      <c r="BC138" s="177"/>
      <c r="BD138" s="177"/>
      <c r="BE138" s="177"/>
      <c r="BF138" s="177"/>
      <c r="BG138" s="177"/>
      <c r="BH138" s="177"/>
      <c r="BI138" s="177"/>
      <c r="BJ138" s="177"/>
      <c r="BK138" s="177"/>
      <c r="BL138" s="177"/>
      <c r="BM138" s="177"/>
      <c r="BN138" s="177"/>
      <c r="BO138" s="177"/>
      <c r="BP138" s="177"/>
      <c r="BQ138" s="177"/>
      <c r="BR138" s="177"/>
      <c r="BS138" s="177"/>
      <c r="BT138" s="177"/>
      <c r="BU138" s="177"/>
      <c r="BV138" s="177"/>
      <c r="BW138" s="177"/>
      <c r="BX138" s="177"/>
      <c r="BY138" s="177"/>
      <c r="BZ138" s="177"/>
      <c r="CA138" s="177"/>
      <c r="CB138" s="177"/>
      <c r="CC138" s="177"/>
      <c r="CD138" s="177"/>
      <c r="CE138" s="177"/>
      <c r="CF138" s="177"/>
      <c r="CG138" s="177"/>
      <c r="CH138" s="177"/>
      <c r="CI138" s="177"/>
      <c r="CJ138" s="177"/>
      <c r="CK138" s="177"/>
      <c r="CL138" s="177"/>
      <c r="CM138" s="177"/>
      <c r="CN138" s="177"/>
      <c r="CO138" s="177"/>
      <c r="CP138" s="177"/>
      <c r="CQ138" s="177"/>
      <c r="CR138" s="177"/>
      <c r="CS138" s="177"/>
      <c r="CT138" s="177"/>
      <c r="CU138" s="177"/>
      <c r="CV138" s="177"/>
      <c r="CW138" s="177"/>
      <c r="CX138" s="177"/>
      <c r="CY138" s="177"/>
      <c r="CZ138" s="177"/>
    </row>
    <row r="139" spans="2:104">
      <c r="B139" s="214"/>
      <c r="C139" s="211"/>
      <c r="D139" s="211"/>
      <c r="E139" s="211"/>
      <c r="F139" s="211"/>
      <c r="G139" s="211"/>
      <c r="H139" s="211"/>
      <c r="I139" s="211"/>
      <c r="J139" s="211"/>
      <c r="K139" s="211"/>
      <c r="L139" s="211"/>
      <c r="M139" s="211"/>
      <c r="N139" s="211"/>
      <c r="O139" s="211"/>
      <c r="P139" s="211"/>
      <c r="Q139" s="211"/>
      <c r="R139" s="211"/>
      <c r="S139" s="211"/>
      <c r="T139" s="211"/>
      <c r="U139" s="211"/>
      <c r="V139" s="211"/>
      <c r="W139" s="211"/>
      <c r="X139" s="211"/>
      <c r="Y139" s="211"/>
      <c r="Z139" s="211"/>
      <c r="AA139" s="211"/>
      <c r="AB139" s="177"/>
      <c r="AE139" s="177"/>
      <c r="AF139" s="177"/>
      <c r="AG139" s="177"/>
      <c r="AH139" s="177"/>
      <c r="AI139" s="177"/>
      <c r="AJ139" s="177"/>
      <c r="AK139" s="177"/>
      <c r="AL139" s="177"/>
      <c r="AM139" s="177"/>
      <c r="AN139" s="177"/>
      <c r="AO139" s="177"/>
      <c r="AP139" s="177"/>
      <c r="AQ139" s="177"/>
      <c r="AR139" s="177"/>
      <c r="AS139" s="177"/>
      <c r="AT139" s="177"/>
      <c r="AU139" s="177"/>
      <c r="AV139" s="177"/>
      <c r="AW139" s="177"/>
      <c r="AX139" s="177"/>
      <c r="AY139" s="177"/>
      <c r="AZ139" s="177"/>
      <c r="BA139" s="177"/>
      <c r="BB139" s="177"/>
      <c r="BC139" s="177"/>
      <c r="BD139" s="177"/>
      <c r="BE139" s="177"/>
      <c r="BF139" s="177"/>
      <c r="BG139" s="177"/>
      <c r="BH139" s="177"/>
      <c r="BI139" s="177"/>
      <c r="BJ139" s="177"/>
      <c r="BK139" s="177"/>
      <c r="BL139" s="177"/>
      <c r="BM139" s="177"/>
      <c r="BN139" s="177"/>
      <c r="BO139" s="177"/>
      <c r="BP139" s="177"/>
      <c r="BQ139" s="177"/>
      <c r="BR139" s="177"/>
      <c r="BS139" s="177"/>
      <c r="BT139" s="177"/>
      <c r="BU139" s="177"/>
      <c r="BV139" s="177"/>
      <c r="BW139" s="177"/>
      <c r="BX139" s="177"/>
      <c r="BY139" s="177"/>
      <c r="BZ139" s="177"/>
      <c r="CA139" s="177"/>
      <c r="CB139" s="177"/>
      <c r="CC139" s="177"/>
      <c r="CD139" s="177"/>
      <c r="CE139" s="177"/>
      <c r="CF139" s="177"/>
      <c r="CG139" s="177"/>
      <c r="CH139" s="177"/>
      <c r="CI139" s="177"/>
      <c r="CJ139" s="177"/>
      <c r="CK139" s="177"/>
      <c r="CL139" s="177"/>
      <c r="CM139" s="177"/>
      <c r="CN139" s="177"/>
      <c r="CO139" s="177"/>
      <c r="CP139" s="177"/>
      <c r="CQ139" s="177"/>
      <c r="CR139" s="177"/>
      <c r="CS139" s="177"/>
      <c r="CT139" s="177"/>
      <c r="CU139" s="177"/>
      <c r="CV139" s="177"/>
      <c r="CW139" s="177"/>
      <c r="CX139" s="177"/>
      <c r="CY139" s="177"/>
      <c r="CZ139" s="177"/>
    </row>
    <row r="140" spans="2:104">
      <c r="B140" s="214"/>
      <c r="C140" s="211"/>
      <c r="D140" s="211"/>
      <c r="E140" s="211"/>
      <c r="F140" s="211"/>
      <c r="G140" s="211"/>
      <c r="H140" s="211"/>
      <c r="I140" s="211"/>
      <c r="J140" s="211"/>
      <c r="K140" s="211"/>
      <c r="L140" s="211"/>
      <c r="M140" s="211"/>
      <c r="N140" s="211"/>
      <c r="O140" s="211"/>
      <c r="P140" s="211"/>
      <c r="Q140" s="211"/>
      <c r="R140" s="211"/>
      <c r="S140" s="211"/>
      <c r="T140" s="211"/>
      <c r="U140" s="211"/>
      <c r="V140" s="211"/>
      <c r="W140" s="211"/>
      <c r="X140" s="211"/>
      <c r="Y140" s="211"/>
      <c r="Z140" s="211"/>
      <c r="AA140" s="211"/>
      <c r="AB140" s="177"/>
      <c r="AE140" s="177"/>
      <c r="AF140" s="177"/>
      <c r="AG140" s="177"/>
      <c r="AH140" s="177"/>
      <c r="AI140" s="177"/>
      <c r="AJ140" s="177"/>
      <c r="AK140" s="177"/>
      <c r="AL140" s="177"/>
      <c r="AM140" s="177"/>
      <c r="AN140" s="177"/>
      <c r="AO140" s="177"/>
      <c r="AP140" s="177"/>
      <c r="AQ140" s="177"/>
      <c r="AR140" s="177"/>
      <c r="AS140" s="177"/>
      <c r="AT140" s="177"/>
      <c r="AU140" s="177"/>
      <c r="AV140" s="177"/>
      <c r="AW140" s="177"/>
      <c r="AX140" s="177"/>
      <c r="AY140" s="177"/>
      <c r="AZ140" s="177"/>
      <c r="BA140" s="177"/>
      <c r="BB140" s="177"/>
      <c r="BC140" s="177"/>
      <c r="BD140" s="177"/>
      <c r="BE140" s="177"/>
      <c r="BF140" s="177"/>
      <c r="BG140" s="177"/>
      <c r="BH140" s="177"/>
      <c r="BI140" s="177"/>
      <c r="BJ140" s="177"/>
      <c r="BK140" s="177"/>
      <c r="BL140" s="177"/>
      <c r="BM140" s="177"/>
      <c r="BN140" s="177"/>
      <c r="BO140" s="177"/>
      <c r="BP140" s="177"/>
      <c r="BQ140" s="177"/>
      <c r="BR140" s="177"/>
      <c r="BS140" s="177"/>
      <c r="BT140" s="177"/>
      <c r="BU140" s="177"/>
      <c r="BV140" s="177"/>
      <c r="BW140" s="177"/>
      <c r="BX140" s="177"/>
      <c r="BY140" s="177"/>
      <c r="BZ140" s="177"/>
      <c r="CA140" s="177"/>
      <c r="CB140" s="177"/>
      <c r="CC140" s="177"/>
      <c r="CD140" s="177"/>
      <c r="CE140" s="177"/>
      <c r="CF140" s="177"/>
      <c r="CG140" s="177"/>
      <c r="CH140" s="177"/>
      <c r="CI140" s="177"/>
      <c r="CJ140" s="177"/>
      <c r="CK140" s="177"/>
      <c r="CL140" s="177"/>
      <c r="CM140" s="177"/>
      <c r="CN140" s="177"/>
      <c r="CO140" s="177"/>
      <c r="CP140" s="177"/>
      <c r="CQ140" s="177"/>
      <c r="CR140" s="177"/>
      <c r="CS140" s="177"/>
      <c r="CT140" s="177"/>
      <c r="CU140" s="177"/>
      <c r="CV140" s="177"/>
      <c r="CW140" s="177"/>
      <c r="CX140" s="177"/>
      <c r="CY140" s="177"/>
      <c r="CZ140" s="177"/>
    </row>
    <row r="141" spans="2:104">
      <c r="B141" s="214"/>
      <c r="C141" s="211"/>
      <c r="D141" s="211"/>
      <c r="E141" s="211"/>
      <c r="F141" s="211"/>
      <c r="G141" s="211"/>
      <c r="H141" s="211"/>
      <c r="I141" s="211"/>
      <c r="J141" s="211"/>
      <c r="K141" s="211"/>
      <c r="L141" s="211"/>
      <c r="M141" s="211"/>
      <c r="N141" s="211"/>
      <c r="O141" s="211"/>
      <c r="P141" s="211"/>
      <c r="Q141" s="211"/>
      <c r="R141" s="211"/>
      <c r="S141" s="211"/>
      <c r="T141" s="211"/>
      <c r="U141" s="211"/>
      <c r="V141" s="211"/>
      <c r="W141" s="211"/>
      <c r="X141" s="211"/>
      <c r="Y141" s="211"/>
      <c r="Z141" s="211"/>
      <c r="AA141" s="211"/>
      <c r="AB141" s="177"/>
      <c r="AE141" s="177"/>
      <c r="AF141" s="177"/>
      <c r="AG141" s="177"/>
      <c r="AH141" s="177"/>
      <c r="AI141" s="177"/>
      <c r="AJ141" s="177"/>
      <c r="AK141" s="177"/>
      <c r="AL141" s="177"/>
      <c r="AM141" s="177"/>
      <c r="AN141" s="177"/>
      <c r="AO141" s="177"/>
      <c r="AP141" s="177"/>
      <c r="AQ141" s="177"/>
      <c r="AR141" s="177"/>
      <c r="AS141" s="177"/>
      <c r="AT141" s="177"/>
      <c r="AU141" s="177"/>
      <c r="AV141" s="177"/>
      <c r="AW141" s="177"/>
      <c r="AX141" s="177"/>
      <c r="AY141" s="177"/>
      <c r="AZ141" s="177"/>
      <c r="BA141" s="177"/>
      <c r="BB141" s="177"/>
      <c r="BC141" s="177"/>
      <c r="BD141" s="177"/>
      <c r="BE141" s="177"/>
      <c r="BF141" s="177"/>
      <c r="BG141" s="177"/>
      <c r="BH141" s="177"/>
      <c r="BI141" s="177"/>
      <c r="BJ141" s="177"/>
      <c r="BK141" s="177"/>
      <c r="BL141" s="177"/>
      <c r="BM141" s="177"/>
      <c r="BN141" s="177"/>
      <c r="BO141" s="177"/>
      <c r="BP141" s="177"/>
      <c r="BQ141" s="177"/>
      <c r="BR141" s="177"/>
      <c r="BS141" s="177"/>
      <c r="BT141" s="177"/>
      <c r="BU141" s="177"/>
      <c r="BV141" s="177"/>
      <c r="BW141" s="177"/>
      <c r="BX141" s="177"/>
      <c r="BY141" s="177"/>
      <c r="BZ141" s="177"/>
      <c r="CA141" s="177"/>
      <c r="CB141" s="177"/>
      <c r="CC141" s="177"/>
      <c r="CD141" s="177"/>
      <c r="CE141" s="177"/>
      <c r="CF141" s="177"/>
      <c r="CG141" s="177"/>
      <c r="CH141" s="177"/>
      <c r="CI141" s="177"/>
      <c r="CJ141" s="177"/>
      <c r="CK141" s="177"/>
      <c r="CL141" s="177"/>
      <c r="CM141" s="177"/>
      <c r="CN141" s="177"/>
      <c r="CO141" s="177"/>
      <c r="CP141" s="177"/>
      <c r="CQ141" s="177"/>
      <c r="CR141" s="177"/>
      <c r="CS141" s="177"/>
      <c r="CT141" s="177"/>
      <c r="CU141" s="177"/>
      <c r="CV141" s="177"/>
      <c r="CW141" s="177"/>
      <c r="CX141" s="177"/>
      <c r="CY141" s="177"/>
      <c r="CZ141" s="177"/>
    </row>
    <row r="142" spans="2:104">
      <c r="B142" s="214"/>
      <c r="C142" s="211"/>
      <c r="D142" s="211"/>
      <c r="E142" s="211"/>
      <c r="F142" s="211"/>
      <c r="G142" s="211"/>
      <c r="H142" s="211"/>
      <c r="I142" s="211"/>
      <c r="J142" s="211"/>
      <c r="K142" s="211"/>
      <c r="L142" s="211"/>
      <c r="M142" s="211"/>
      <c r="N142" s="211"/>
      <c r="O142" s="211"/>
      <c r="P142" s="211"/>
      <c r="Q142" s="211"/>
      <c r="R142" s="211"/>
      <c r="S142" s="211"/>
      <c r="T142" s="211"/>
      <c r="U142" s="211"/>
      <c r="V142" s="211"/>
      <c r="W142" s="211"/>
      <c r="X142" s="211"/>
      <c r="Y142" s="211"/>
      <c r="Z142" s="211"/>
      <c r="AA142" s="211"/>
      <c r="AB142" s="177"/>
      <c r="AE142" s="177"/>
      <c r="AF142" s="177"/>
      <c r="AG142" s="177"/>
      <c r="AH142" s="177"/>
      <c r="AI142" s="177"/>
      <c r="AJ142" s="177"/>
      <c r="AK142" s="177"/>
      <c r="AL142" s="177"/>
      <c r="AM142" s="177"/>
      <c r="AN142" s="177"/>
      <c r="AO142" s="177"/>
      <c r="AP142" s="177"/>
      <c r="AQ142" s="177"/>
      <c r="AR142" s="177"/>
      <c r="AS142" s="177"/>
      <c r="AT142" s="177"/>
      <c r="AU142" s="177"/>
      <c r="AV142" s="177"/>
      <c r="AW142" s="177"/>
      <c r="AX142" s="177"/>
      <c r="AY142" s="177"/>
      <c r="AZ142" s="177"/>
      <c r="BA142" s="177"/>
      <c r="BB142" s="177"/>
      <c r="BC142" s="177"/>
      <c r="BD142" s="177"/>
      <c r="BE142" s="177"/>
      <c r="BF142" s="177"/>
      <c r="BG142" s="177"/>
      <c r="BH142" s="177"/>
      <c r="BI142" s="177"/>
      <c r="BJ142" s="177"/>
      <c r="BK142" s="177"/>
      <c r="BL142" s="177"/>
      <c r="BM142" s="177"/>
      <c r="BN142" s="177"/>
      <c r="BO142" s="177"/>
      <c r="BP142" s="177"/>
      <c r="BQ142" s="177"/>
      <c r="BR142" s="177"/>
      <c r="BS142" s="177"/>
      <c r="BT142" s="177"/>
      <c r="BU142" s="177"/>
      <c r="BV142" s="177"/>
      <c r="BW142" s="177"/>
      <c r="BX142" s="177"/>
      <c r="BY142" s="177"/>
      <c r="BZ142" s="177"/>
      <c r="CA142" s="177"/>
      <c r="CB142" s="177"/>
      <c r="CC142" s="177"/>
      <c r="CD142" s="177"/>
      <c r="CE142" s="177"/>
      <c r="CF142" s="177"/>
      <c r="CG142" s="177"/>
      <c r="CH142" s="177"/>
      <c r="CI142" s="177"/>
      <c r="CJ142" s="177"/>
      <c r="CK142" s="177"/>
      <c r="CL142" s="177"/>
      <c r="CM142" s="177"/>
      <c r="CN142" s="177"/>
      <c r="CO142" s="177"/>
      <c r="CP142" s="177"/>
      <c r="CQ142" s="177"/>
      <c r="CR142" s="177"/>
      <c r="CS142" s="177"/>
      <c r="CT142" s="177"/>
      <c r="CU142" s="177"/>
      <c r="CV142" s="177"/>
      <c r="CW142" s="177"/>
      <c r="CX142" s="177"/>
      <c r="CY142" s="177"/>
      <c r="CZ142" s="177"/>
    </row>
    <row r="143" spans="2:104">
      <c r="B143" s="214"/>
      <c r="C143" s="211"/>
      <c r="D143" s="211"/>
      <c r="E143" s="211"/>
      <c r="F143" s="211"/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  <c r="R143" s="211"/>
      <c r="S143" s="211"/>
      <c r="T143" s="211"/>
      <c r="U143" s="211"/>
      <c r="V143" s="211"/>
      <c r="W143" s="211"/>
      <c r="X143" s="211"/>
      <c r="Y143" s="211"/>
      <c r="Z143" s="211"/>
      <c r="AA143" s="211"/>
      <c r="AB143" s="177"/>
      <c r="AE143" s="177"/>
      <c r="AF143" s="177"/>
      <c r="AG143" s="177"/>
      <c r="AH143" s="177"/>
      <c r="AI143" s="177"/>
      <c r="AJ143" s="177"/>
      <c r="AK143" s="177"/>
      <c r="AL143" s="177"/>
      <c r="AM143" s="177"/>
      <c r="AN143" s="177"/>
      <c r="AO143" s="177"/>
      <c r="AP143" s="177"/>
      <c r="AQ143" s="177"/>
      <c r="AR143" s="177"/>
      <c r="AS143" s="177"/>
      <c r="AT143" s="177"/>
      <c r="AU143" s="177"/>
      <c r="AV143" s="177"/>
      <c r="AW143" s="177"/>
      <c r="AX143" s="177"/>
      <c r="AY143" s="177"/>
      <c r="AZ143" s="177"/>
      <c r="BA143" s="177"/>
      <c r="BB143" s="177"/>
      <c r="BC143" s="177"/>
      <c r="BD143" s="177"/>
      <c r="BE143" s="177"/>
      <c r="BF143" s="177"/>
      <c r="BG143" s="177"/>
      <c r="BH143" s="177"/>
      <c r="BI143" s="177"/>
      <c r="BJ143" s="177"/>
      <c r="BK143" s="177"/>
      <c r="BL143" s="177"/>
      <c r="BM143" s="177"/>
      <c r="BN143" s="177"/>
      <c r="BO143" s="177"/>
      <c r="BP143" s="177"/>
      <c r="BQ143" s="177"/>
      <c r="BR143" s="177"/>
      <c r="BS143" s="177"/>
      <c r="BT143" s="177"/>
      <c r="BU143" s="177"/>
      <c r="BV143" s="177"/>
      <c r="BW143" s="177"/>
      <c r="BX143" s="177"/>
      <c r="BY143" s="177"/>
      <c r="BZ143" s="177"/>
      <c r="CA143" s="177"/>
      <c r="CB143" s="177"/>
      <c r="CC143" s="177"/>
      <c r="CD143" s="177"/>
      <c r="CE143" s="177"/>
      <c r="CF143" s="177"/>
      <c r="CG143" s="177"/>
      <c r="CH143" s="177"/>
      <c r="CI143" s="177"/>
      <c r="CJ143" s="177"/>
      <c r="CK143" s="177"/>
      <c r="CL143" s="177"/>
      <c r="CM143" s="177"/>
      <c r="CN143" s="177"/>
      <c r="CO143" s="177"/>
      <c r="CP143" s="177"/>
      <c r="CQ143" s="177"/>
      <c r="CR143" s="177"/>
      <c r="CS143" s="177"/>
      <c r="CT143" s="177"/>
      <c r="CU143" s="177"/>
      <c r="CV143" s="177"/>
      <c r="CW143" s="177"/>
      <c r="CX143" s="177"/>
      <c r="CY143" s="177"/>
      <c r="CZ143" s="177"/>
    </row>
    <row r="144" spans="2:104">
      <c r="B144" s="214"/>
      <c r="C144" s="211"/>
      <c r="D144" s="211"/>
      <c r="E144" s="211"/>
      <c r="F144" s="211"/>
      <c r="G144" s="211"/>
      <c r="H144" s="211"/>
      <c r="I144" s="211"/>
      <c r="J144" s="211"/>
      <c r="K144" s="211"/>
      <c r="L144" s="211"/>
      <c r="M144" s="211"/>
      <c r="N144" s="211"/>
      <c r="O144" s="211"/>
      <c r="P144" s="211"/>
      <c r="Q144" s="211"/>
      <c r="R144" s="211"/>
      <c r="S144" s="211"/>
      <c r="T144" s="211"/>
      <c r="U144" s="211"/>
      <c r="V144" s="211"/>
      <c r="W144" s="211"/>
      <c r="X144" s="211"/>
      <c r="Y144" s="211"/>
      <c r="Z144" s="211"/>
      <c r="AA144" s="211"/>
      <c r="AB144" s="177"/>
      <c r="AE144" s="177"/>
      <c r="AF144" s="177"/>
      <c r="AG144" s="177"/>
      <c r="AH144" s="177"/>
      <c r="AI144" s="177"/>
      <c r="AJ144" s="177"/>
      <c r="AK144" s="177"/>
      <c r="AL144" s="177"/>
      <c r="AM144" s="177"/>
      <c r="AN144" s="177"/>
      <c r="AO144" s="177"/>
      <c r="AP144" s="177"/>
      <c r="AQ144" s="177"/>
      <c r="AR144" s="177"/>
      <c r="AS144" s="177"/>
      <c r="AT144" s="177"/>
      <c r="AU144" s="177"/>
      <c r="AV144" s="177"/>
      <c r="AW144" s="177"/>
      <c r="AX144" s="177"/>
      <c r="AY144" s="177"/>
      <c r="AZ144" s="177"/>
      <c r="BA144" s="177"/>
      <c r="BB144" s="177"/>
      <c r="BC144" s="177"/>
      <c r="BD144" s="177"/>
      <c r="BE144" s="177"/>
      <c r="BF144" s="177"/>
      <c r="BG144" s="177"/>
      <c r="BH144" s="177"/>
      <c r="BI144" s="177"/>
      <c r="BJ144" s="177"/>
      <c r="BK144" s="177"/>
      <c r="BL144" s="177"/>
      <c r="BM144" s="177"/>
      <c r="BN144" s="177"/>
      <c r="BO144" s="177"/>
      <c r="BP144" s="177"/>
      <c r="BQ144" s="177"/>
      <c r="BR144" s="177"/>
      <c r="BS144" s="177"/>
      <c r="BT144" s="177"/>
      <c r="BU144" s="177"/>
      <c r="BV144" s="177"/>
      <c r="BW144" s="177"/>
      <c r="BX144" s="177"/>
      <c r="BY144" s="177"/>
      <c r="BZ144" s="177"/>
      <c r="CA144" s="177"/>
      <c r="CB144" s="177"/>
      <c r="CC144" s="177"/>
      <c r="CD144" s="177"/>
      <c r="CE144" s="177"/>
      <c r="CF144" s="177"/>
      <c r="CG144" s="177"/>
      <c r="CH144" s="177"/>
      <c r="CI144" s="177"/>
      <c r="CJ144" s="177"/>
      <c r="CK144" s="177"/>
      <c r="CL144" s="177"/>
      <c r="CM144" s="177"/>
      <c r="CN144" s="177"/>
      <c r="CO144" s="177"/>
      <c r="CP144" s="177"/>
      <c r="CQ144" s="177"/>
      <c r="CR144" s="177"/>
      <c r="CS144" s="177"/>
      <c r="CT144" s="177"/>
      <c r="CU144" s="177"/>
      <c r="CV144" s="177"/>
      <c r="CW144" s="177"/>
      <c r="CX144" s="177"/>
      <c r="CY144" s="177"/>
      <c r="CZ144" s="177"/>
    </row>
    <row r="145" spans="2:104">
      <c r="B145" s="214"/>
      <c r="C145" s="211"/>
      <c r="D145" s="211"/>
      <c r="E145" s="211"/>
      <c r="F145" s="211"/>
      <c r="G145" s="211"/>
      <c r="H145" s="211"/>
      <c r="I145" s="211"/>
      <c r="J145" s="211"/>
      <c r="K145" s="211"/>
      <c r="L145" s="211"/>
      <c r="M145" s="211"/>
      <c r="N145" s="211"/>
      <c r="O145" s="211"/>
      <c r="P145" s="211"/>
      <c r="Q145" s="211"/>
      <c r="R145" s="211"/>
      <c r="S145" s="211"/>
      <c r="T145" s="211"/>
      <c r="U145" s="211"/>
      <c r="V145" s="211"/>
      <c r="W145" s="211"/>
      <c r="X145" s="211"/>
      <c r="Y145" s="211"/>
      <c r="Z145" s="211"/>
      <c r="AA145" s="211"/>
      <c r="AB145" s="177"/>
      <c r="AE145" s="177"/>
      <c r="AF145" s="177"/>
      <c r="AG145" s="177"/>
      <c r="AH145" s="177"/>
      <c r="AI145" s="177"/>
      <c r="AJ145" s="177"/>
      <c r="AK145" s="177"/>
      <c r="AL145" s="177"/>
      <c r="AM145" s="177"/>
      <c r="AN145" s="177"/>
      <c r="AO145" s="177"/>
      <c r="AP145" s="177"/>
      <c r="AQ145" s="177"/>
      <c r="AR145" s="177"/>
      <c r="AS145" s="177"/>
      <c r="AT145" s="177"/>
      <c r="AU145" s="177"/>
      <c r="AV145" s="177"/>
      <c r="AW145" s="177"/>
      <c r="AX145" s="177"/>
      <c r="AY145" s="177"/>
      <c r="AZ145" s="177"/>
      <c r="BA145" s="177"/>
      <c r="BB145" s="177"/>
      <c r="BC145" s="177"/>
      <c r="BD145" s="177"/>
      <c r="BE145" s="177"/>
      <c r="BF145" s="177"/>
      <c r="BG145" s="177"/>
      <c r="BH145" s="177"/>
      <c r="BI145" s="177"/>
      <c r="BJ145" s="177"/>
      <c r="BK145" s="177"/>
      <c r="BL145" s="177"/>
      <c r="BM145" s="177"/>
      <c r="BN145" s="177"/>
      <c r="BO145" s="177"/>
      <c r="BP145" s="177"/>
      <c r="BQ145" s="177"/>
      <c r="BR145" s="177"/>
      <c r="BS145" s="177"/>
      <c r="BT145" s="177"/>
      <c r="BU145" s="177"/>
      <c r="BV145" s="177"/>
      <c r="BW145" s="177"/>
      <c r="BX145" s="177"/>
      <c r="BY145" s="177"/>
      <c r="BZ145" s="177"/>
      <c r="CA145" s="177"/>
      <c r="CB145" s="177"/>
      <c r="CC145" s="177"/>
      <c r="CD145" s="177"/>
      <c r="CE145" s="177"/>
      <c r="CF145" s="177"/>
      <c r="CG145" s="177"/>
      <c r="CH145" s="177"/>
      <c r="CI145" s="177"/>
      <c r="CJ145" s="177"/>
      <c r="CK145" s="177"/>
      <c r="CL145" s="177"/>
      <c r="CM145" s="177"/>
      <c r="CN145" s="177"/>
      <c r="CO145" s="177"/>
      <c r="CP145" s="177"/>
      <c r="CQ145" s="177"/>
      <c r="CR145" s="177"/>
      <c r="CS145" s="177"/>
      <c r="CT145" s="177"/>
      <c r="CU145" s="177"/>
      <c r="CV145" s="177"/>
      <c r="CW145" s="177"/>
      <c r="CX145" s="177"/>
      <c r="CY145" s="177"/>
      <c r="CZ145" s="177"/>
    </row>
    <row r="146" spans="2:104">
      <c r="B146" s="214"/>
      <c r="C146" s="211"/>
      <c r="D146" s="211"/>
      <c r="E146" s="211"/>
      <c r="F146" s="211"/>
      <c r="G146" s="211"/>
      <c r="H146" s="211"/>
      <c r="I146" s="211"/>
      <c r="J146" s="211"/>
      <c r="K146" s="211"/>
      <c r="L146" s="211"/>
      <c r="M146" s="211"/>
      <c r="N146" s="211"/>
      <c r="O146" s="211"/>
      <c r="P146" s="211"/>
      <c r="Q146" s="211"/>
      <c r="R146" s="211"/>
      <c r="S146" s="211"/>
      <c r="T146" s="211"/>
      <c r="U146" s="211"/>
      <c r="V146" s="211"/>
      <c r="W146" s="211"/>
      <c r="X146" s="211"/>
      <c r="Y146" s="211"/>
      <c r="Z146" s="211"/>
      <c r="AA146" s="211"/>
      <c r="AB146" s="177"/>
      <c r="AE146" s="177"/>
      <c r="AF146" s="177"/>
      <c r="AG146" s="177"/>
      <c r="AH146" s="177"/>
      <c r="AI146" s="177"/>
      <c r="AJ146" s="177"/>
      <c r="AK146" s="177"/>
      <c r="AL146" s="177"/>
      <c r="AM146" s="177"/>
      <c r="AN146" s="177"/>
      <c r="AO146" s="177"/>
      <c r="AP146" s="177"/>
      <c r="AQ146" s="177"/>
      <c r="AR146" s="177"/>
      <c r="AS146" s="177"/>
      <c r="AT146" s="177"/>
      <c r="AU146" s="177"/>
      <c r="AV146" s="177"/>
      <c r="AW146" s="177"/>
      <c r="AX146" s="177"/>
      <c r="AY146" s="177"/>
      <c r="AZ146" s="177"/>
      <c r="BA146" s="177"/>
      <c r="BB146" s="177"/>
      <c r="BC146" s="177"/>
      <c r="BD146" s="177"/>
      <c r="BE146" s="177"/>
      <c r="BF146" s="177"/>
      <c r="BG146" s="177"/>
      <c r="BH146" s="177"/>
      <c r="BI146" s="177"/>
      <c r="BJ146" s="177"/>
      <c r="BK146" s="177"/>
      <c r="BL146" s="177"/>
      <c r="BM146" s="177"/>
      <c r="BN146" s="177"/>
      <c r="BO146" s="177"/>
      <c r="BP146" s="177"/>
      <c r="BQ146" s="177"/>
      <c r="BR146" s="177"/>
      <c r="BS146" s="177"/>
      <c r="BT146" s="177"/>
      <c r="BU146" s="177"/>
      <c r="BV146" s="177"/>
      <c r="BW146" s="177"/>
      <c r="BX146" s="177"/>
      <c r="BY146" s="177"/>
      <c r="BZ146" s="177"/>
      <c r="CA146" s="177"/>
      <c r="CB146" s="177"/>
      <c r="CC146" s="177"/>
      <c r="CD146" s="177"/>
      <c r="CE146" s="177"/>
      <c r="CF146" s="177"/>
      <c r="CG146" s="177"/>
      <c r="CH146" s="177"/>
      <c r="CI146" s="177"/>
      <c r="CJ146" s="177"/>
      <c r="CK146" s="177"/>
      <c r="CL146" s="177"/>
      <c r="CM146" s="177"/>
      <c r="CN146" s="177"/>
      <c r="CO146" s="177"/>
      <c r="CP146" s="177"/>
      <c r="CQ146" s="177"/>
      <c r="CR146" s="177"/>
      <c r="CS146" s="177"/>
      <c r="CT146" s="177"/>
      <c r="CU146" s="177"/>
      <c r="CV146" s="177"/>
      <c r="CW146" s="177"/>
      <c r="CX146" s="177"/>
      <c r="CY146" s="177"/>
      <c r="CZ146" s="177"/>
    </row>
    <row r="147" spans="2:104">
      <c r="B147" s="214"/>
      <c r="C147" s="211"/>
      <c r="D147" s="211"/>
      <c r="E147" s="211"/>
      <c r="F147" s="211"/>
      <c r="G147" s="211"/>
      <c r="H147" s="211"/>
      <c r="I147" s="211"/>
      <c r="J147" s="211"/>
      <c r="K147" s="211"/>
      <c r="L147" s="211"/>
      <c r="M147" s="211"/>
      <c r="N147" s="211"/>
      <c r="O147" s="211"/>
      <c r="P147" s="211"/>
      <c r="Q147" s="211"/>
      <c r="R147" s="211"/>
      <c r="S147" s="211"/>
      <c r="T147" s="211"/>
      <c r="U147" s="211"/>
      <c r="V147" s="211"/>
      <c r="W147" s="211"/>
      <c r="X147" s="211"/>
      <c r="Y147" s="211"/>
      <c r="Z147" s="211"/>
      <c r="AA147" s="211"/>
      <c r="AB147" s="177"/>
      <c r="AE147" s="177"/>
      <c r="AF147" s="177"/>
      <c r="AG147" s="177"/>
      <c r="AH147" s="177"/>
      <c r="AI147" s="177"/>
      <c r="AJ147" s="177"/>
      <c r="AK147" s="177"/>
      <c r="AL147" s="177"/>
      <c r="AM147" s="177"/>
      <c r="AN147" s="177"/>
      <c r="AO147" s="177"/>
      <c r="AP147" s="177"/>
      <c r="AQ147" s="177"/>
      <c r="AR147" s="177"/>
      <c r="AS147" s="177"/>
      <c r="AT147" s="177"/>
      <c r="AU147" s="177"/>
      <c r="AV147" s="177"/>
      <c r="AW147" s="177"/>
      <c r="AX147" s="177"/>
      <c r="AY147" s="177"/>
      <c r="AZ147" s="177"/>
      <c r="BA147" s="177"/>
      <c r="BB147" s="177"/>
      <c r="BC147" s="177"/>
      <c r="BD147" s="177"/>
      <c r="BE147" s="177"/>
      <c r="BF147" s="177"/>
      <c r="BG147" s="177"/>
      <c r="BH147" s="177"/>
      <c r="BI147" s="177"/>
      <c r="BJ147" s="177"/>
      <c r="BK147" s="177"/>
      <c r="BL147" s="177"/>
      <c r="BM147" s="177"/>
      <c r="BN147" s="177"/>
      <c r="BO147" s="177"/>
      <c r="BP147" s="177"/>
      <c r="BQ147" s="177"/>
      <c r="BR147" s="177"/>
      <c r="BS147" s="177"/>
      <c r="BT147" s="177"/>
      <c r="BU147" s="177"/>
      <c r="BV147" s="177"/>
      <c r="BW147" s="177"/>
      <c r="BX147" s="177"/>
      <c r="BY147" s="177"/>
      <c r="BZ147" s="177"/>
      <c r="CA147" s="177"/>
      <c r="CB147" s="177"/>
      <c r="CC147" s="177"/>
      <c r="CD147" s="177"/>
      <c r="CE147" s="177"/>
      <c r="CF147" s="177"/>
      <c r="CG147" s="177"/>
      <c r="CH147" s="177"/>
      <c r="CI147" s="177"/>
      <c r="CJ147" s="177"/>
      <c r="CK147" s="177"/>
      <c r="CL147" s="177"/>
      <c r="CM147" s="177"/>
      <c r="CN147" s="177"/>
      <c r="CO147" s="177"/>
      <c r="CP147" s="177"/>
      <c r="CQ147" s="177"/>
      <c r="CR147" s="177"/>
      <c r="CS147" s="177"/>
      <c r="CT147" s="177"/>
      <c r="CU147" s="177"/>
      <c r="CV147" s="177"/>
      <c r="CW147" s="177"/>
      <c r="CX147" s="177"/>
      <c r="CY147" s="177"/>
      <c r="CZ147" s="177"/>
    </row>
    <row r="148" spans="2:104">
      <c r="B148" s="214"/>
      <c r="C148" s="211"/>
      <c r="D148" s="211"/>
      <c r="E148" s="211"/>
      <c r="F148" s="211"/>
      <c r="G148" s="211"/>
      <c r="H148" s="211"/>
      <c r="I148" s="211"/>
      <c r="J148" s="211"/>
      <c r="K148" s="211"/>
      <c r="L148" s="211"/>
      <c r="M148" s="211"/>
      <c r="N148" s="211"/>
      <c r="O148" s="211"/>
      <c r="P148" s="211"/>
      <c r="Q148" s="211"/>
      <c r="R148" s="211"/>
      <c r="S148" s="211"/>
      <c r="T148" s="211"/>
      <c r="U148" s="211"/>
      <c r="V148" s="211"/>
      <c r="W148" s="211"/>
      <c r="X148" s="211"/>
      <c r="Y148" s="211"/>
      <c r="Z148" s="211"/>
      <c r="AA148" s="211"/>
      <c r="AB148" s="177"/>
      <c r="AE148" s="177"/>
      <c r="AF148" s="177"/>
      <c r="AG148" s="177"/>
      <c r="AH148" s="177"/>
      <c r="AI148" s="177"/>
      <c r="AJ148" s="177"/>
      <c r="AK148" s="177"/>
      <c r="AL148" s="177"/>
      <c r="AM148" s="177"/>
      <c r="AN148" s="177"/>
      <c r="AO148" s="177"/>
      <c r="AP148" s="177"/>
      <c r="AQ148" s="177"/>
      <c r="AR148" s="177"/>
      <c r="AS148" s="177"/>
      <c r="AT148" s="177"/>
      <c r="AU148" s="177"/>
      <c r="AV148" s="177"/>
      <c r="AW148" s="177"/>
      <c r="AX148" s="177"/>
      <c r="AY148" s="177"/>
      <c r="AZ148" s="177"/>
      <c r="BA148" s="177"/>
      <c r="BB148" s="177"/>
      <c r="BC148" s="177"/>
      <c r="BD148" s="177"/>
      <c r="BE148" s="177"/>
      <c r="BF148" s="177"/>
      <c r="BG148" s="177"/>
      <c r="BH148" s="177"/>
      <c r="BI148" s="177"/>
      <c r="BJ148" s="177"/>
      <c r="BK148" s="177"/>
      <c r="BL148" s="177"/>
      <c r="BM148" s="177"/>
      <c r="BN148" s="177"/>
      <c r="BO148" s="177"/>
      <c r="BP148" s="177"/>
      <c r="BQ148" s="177"/>
      <c r="BR148" s="177"/>
      <c r="BS148" s="177"/>
      <c r="BT148" s="177"/>
      <c r="BU148" s="177"/>
      <c r="BV148" s="177"/>
      <c r="BW148" s="177"/>
      <c r="BX148" s="177"/>
      <c r="BY148" s="177"/>
      <c r="BZ148" s="177"/>
      <c r="CA148" s="177"/>
      <c r="CB148" s="177"/>
      <c r="CC148" s="177"/>
      <c r="CD148" s="177"/>
      <c r="CE148" s="177"/>
      <c r="CF148" s="177"/>
      <c r="CG148" s="177"/>
      <c r="CH148" s="177"/>
      <c r="CI148" s="177"/>
      <c r="CJ148" s="177"/>
      <c r="CK148" s="177"/>
      <c r="CL148" s="177"/>
      <c r="CM148" s="177"/>
      <c r="CN148" s="177"/>
      <c r="CO148" s="177"/>
      <c r="CP148" s="177"/>
      <c r="CQ148" s="177"/>
      <c r="CR148" s="177"/>
      <c r="CS148" s="177"/>
      <c r="CT148" s="177"/>
      <c r="CU148" s="177"/>
      <c r="CV148" s="177"/>
      <c r="CW148" s="177"/>
      <c r="CX148" s="177"/>
      <c r="CY148" s="177"/>
      <c r="CZ148" s="177"/>
    </row>
    <row r="149" spans="2:104">
      <c r="B149" s="214"/>
      <c r="C149" s="211"/>
      <c r="D149" s="211"/>
      <c r="E149" s="211"/>
      <c r="F149" s="211"/>
      <c r="G149" s="211"/>
      <c r="H149" s="211"/>
      <c r="I149" s="211"/>
      <c r="J149" s="211"/>
      <c r="K149" s="211"/>
      <c r="L149" s="211"/>
      <c r="M149" s="211"/>
      <c r="N149" s="211"/>
      <c r="O149" s="211"/>
      <c r="P149" s="211"/>
      <c r="Q149" s="211"/>
      <c r="R149" s="211"/>
      <c r="S149" s="211"/>
      <c r="T149" s="211"/>
      <c r="U149" s="211"/>
      <c r="V149" s="211"/>
      <c r="W149" s="211"/>
      <c r="X149" s="211"/>
      <c r="Y149" s="211"/>
      <c r="Z149" s="211"/>
      <c r="AA149" s="211"/>
      <c r="AB149" s="177"/>
      <c r="AE149" s="177"/>
      <c r="AF149" s="177"/>
      <c r="AG149" s="177"/>
      <c r="AH149" s="177"/>
      <c r="AI149" s="177"/>
      <c r="AJ149" s="177"/>
      <c r="AK149" s="177"/>
      <c r="AL149" s="177"/>
      <c r="AM149" s="177"/>
      <c r="AN149" s="177"/>
      <c r="AO149" s="177"/>
      <c r="AP149" s="177"/>
      <c r="AQ149" s="177"/>
      <c r="AR149" s="177"/>
      <c r="AS149" s="177"/>
      <c r="AT149" s="177"/>
      <c r="AU149" s="177"/>
      <c r="AV149" s="177"/>
      <c r="AW149" s="177"/>
      <c r="AX149" s="177"/>
      <c r="AY149" s="177"/>
      <c r="AZ149" s="177"/>
      <c r="BA149" s="177"/>
      <c r="BB149" s="177"/>
      <c r="BC149" s="177"/>
      <c r="BD149" s="177"/>
      <c r="BE149" s="177"/>
      <c r="BF149" s="177"/>
      <c r="BG149" s="177"/>
      <c r="BH149" s="177"/>
      <c r="BI149" s="177"/>
      <c r="BJ149" s="177"/>
      <c r="BK149" s="177"/>
      <c r="BL149" s="177"/>
      <c r="BM149" s="177"/>
      <c r="BN149" s="177"/>
      <c r="BO149" s="177"/>
      <c r="BP149" s="177"/>
      <c r="BQ149" s="177"/>
      <c r="BR149" s="177"/>
      <c r="BS149" s="177"/>
      <c r="BT149" s="177"/>
      <c r="BU149" s="177"/>
      <c r="BV149" s="177"/>
      <c r="BW149" s="177"/>
      <c r="BX149" s="177"/>
      <c r="BY149" s="177"/>
      <c r="BZ149" s="177"/>
      <c r="CA149" s="177"/>
      <c r="CB149" s="177"/>
      <c r="CC149" s="177"/>
      <c r="CD149" s="177"/>
      <c r="CE149" s="177"/>
      <c r="CF149" s="177"/>
      <c r="CG149" s="177"/>
      <c r="CH149" s="177"/>
      <c r="CI149" s="177"/>
      <c r="CJ149" s="177"/>
      <c r="CK149" s="177"/>
      <c r="CL149" s="177"/>
      <c r="CM149" s="177"/>
      <c r="CN149" s="177"/>
      <c r="CO149" s="177"/>
      <c r="CP149" s="177"/>
      <c r="CQ149" s="177"/>
      <c r="CR149" s="177"/>
      <c r="CS149" s="177"/>
      <c r="CT149" s="177"/>
      <c r="CU149" s="177"/>
      <c r="CV149" s="177"/>
      <c r="CW149" s="177"/>
      <c r="CX149" s="177"/>
      <c r="CY149" s="177"/>
      <c r="CZ149" s="177"/>
    </row>
    <row r="150" spans="2:104">
      <c r="B150" s="214"/>
      <c r="C150" s="211"/>
      <c r="D150" s="211"/>
      <c r="E150" s="211"/>
      <c r="F150" s="211"/>
      <c r="G150" s="211"/>
      <c r="H150" s="211"/>
      <c r="I150" s="211"/>
      <c r="J150" s="211"/>
      <c r="K150" s="211"/>
      <c r="L150" s="211"/>
      <c r="M150" s="211"/>
      <c r="N150" s="211"/>
      <c r="O150" s="211"/>
      <c r="P150" s="211"/>
      <c r="Q150" s="211"/>
      <c r="R150" s="211"/>
      <c r="S150" s="211"/>
      <c r="T150" s="211"/>
      <c r="U150" s="211"/>
      <c r="V150" s="211"/>
      <c r="W150" s="211"/>
      <c r="X150" s="211"/>
      <c r="Y150" s="211"/>
      <c r="Z150" s="211"/>
      <c r="AA150" s="211"/>
      <c r="AB150" s="177"/>
      <c r="AE150" s="177"/>
      <c r="AF150" s="177"/>
      <c r="AG150" s="177"/>
      <c r="AH150" s="177"/>
      <c r="AI150" s="177"/>
      <c r="AJ150" s="177"/>
      <c r="AK150" s="177"/>
      <c r="AL150" s="177"/>
      <c r="AM150" s="177"/>
      <c r="AN150" s="177"/>
      <c r="AO150" s="177"/>
      <c r="AP150" s="177"/>
      <c r="AQ150" s="177"/>
      <c r="AR150" s="177"/>
      <c r="AS150" s="177"/>
      <c r="AT150" s="177"/>
      <c r="AU150" s="177"/>
      <c r="AV150" s="177"/>
      <c r="AW150" s="177"/>
      <c r="AX150" s="177"/>
      <c r="AY150" s="177"/>
      <c r="AZ150" s="177"/>
      <c r="BA150" s="177"/>
      <c r="BB150" s="177"/>
      <c r="BC150" s="177"/>
      <c r="BD150" s="177"/>
      <c r="BE150" s="177"/>
      <c r="BF150" s="177"/>
      <c r="BG150" s="177"/>
      <c r="BH150" s="177"/>
      <c r="BI150" s="177"/>
      <c r="BJ150" s="177"/>
      <c r="BK150" s="177"/>
      <c r="BL150" s="177"/>
      <c r="BM150" s="177"/>
      <c r="BN150" s="177"/>
      <c r="BO150" s="177"/>
      <c r="BP150" s="177"/>
      <c r="BQ150" s="177"/>
      <c r="BR150" s="177"/>
      <c r="BS150" s="177"/>
      <c r="BT150" s="177"/>
      <c r="BU150" s="177"/>
      <c r="BV150" s="177"/>
      <c r="BW150" s="177"/>
      <c r="BX150" s="177"/>
      <c r="BY150" s="177"/>
      <c r="BZ150" s="177"/>
      <c r="CA150" s="177"/>
      <c r="CB150" s="177"/>
      <c r="CC150" s="177"/>
      <c r="CD150" s="177"/>
      <c r="CE150" s="177"/>
      <c r="CF150" s="177"/>
      <c r="CG150" s="177"/>
      <c r="CH150" s="177"/>
      <c r="CI150" s="177"/>
      <c r="CJ150" s="177"/>
      <c r="CK150" s="177"/>
      <c r="CL150" s="177"/>
      <c r="CM150" s="177"/>
      <c r="CN150" s="177"/>
      <c r="CO150" s="177"/>
      <c r="CP150" s="177"/>
      <c r="CQ150" s="177"/>
      <c r="CR150" s="177"/>
      <c r="CS150" s="177"/>
      <c r="CT150" s="177"/>
      <c r="CU150" s="177"/>
      <c r="CV150" s="177"/>
      <c r="CW150" s="177"/>
      <c r="CX150" s="177"/>
      <c r="CY150" s="177"/>
      <c r="CZ150" s="177"/>
    </row>
    <row r="151" spans="2:104">
      <c r="B151" s="214"/>
      <c r="C151" s="211"/>
      <c r="D151" s="211"/>
      <c r="E151" s="211"/>
      <c r="F151" s="211"/>
      <c r="G151" s="211"/>
      <c r="H151" s="211"/>
      <c r="I151" s="211"/>
      <c r="J151" s="211"/>
      <c r="K151" s="211"/>
      <c r="L151" s="211"/>
      <c r="M151" s="211"/>
      <c r="N151" s="211"/>
      <c r="O151" s="211"/>
      <c r="P151" s="211"/>
      <c r="Q151" s="211"/>
      <c r="R151" s="211"/>
      <c r="S151" s="211"/>
      <c r="T151" s="211"/>
      <c r="U151" s="211"/>
      <c r="V151" s="211"/>
      <c r="W151" s="211"/>
      <c r="X151" s="211"/>
      <c r="Y151" s="211"/>
      <c r="Z151" s="211"/>
      <c r="AA151" s="211"/>
      <c r="AB151" s="177"/>
      <c r="AE151" s="177"/>
      <c r="AF151" s="177"/>
      <c r="AG151" s="177"/>
      <c r="AH151" s="177"/>
      <c r="AI151" s="177"/>
      <c r="AJ151" s="177"/>
      <c r="AK151" s="177"/>
      <c r="AL151" s="177"/>
      <c r="AM151" s="177"/>
      <c r="AN151" s="177"/>
      <c r="AO151" s="177"/>
      <c r="AP151" s="177"/>
      <c r="AQ151" s="177"/>
      <c r="AR151" s="177"/>
      <c r="AS151" s="177"/>
      <c r="AT151" s="177"/>
      <c r="AU151" s="177"/>
      <c r="AV151" s="177"/>
      <c r="AW151" s="177"/>
      <c r="AX151" s="177"/>
      <c r="AY151" s="177"/>
      <c r="AZ151" s="177"/>
      <c r="BA151" s="177"/>
      <c r="BB151" s="177"/>
      <c r="BC151" s="177"/>
      <c r="BD151" s="177"/>
      <c r="BE151" s="177"/>
      <c r="BF151" s="177"/>
      <c r="BG151" s="177"/>
      <c r="BH151" s="177"/>
      <c r="BI151" s="177"/>
      <c r="BJ151" s="177"/>
      <c r="BK151" s="177"/>
      <c r="BL151" s="177"/>
      <c r="BM151" s="177"/>
      <c r="BN151" s="177"/>
      <c r="BO151" s="177"/>
      <c r="BP151" s="177"/>
      <c r="BQ151" s="177"/>
      <c r="BR151" s="177"/>
      <c r="BS151" s="177"/>
      <c r="BT151" s="177"/>
      <c r="BU151" s="177"/>
      <c r="BV151" s="177"/>
      <c r="BW151" s="177"/>
      <c r="BX151" s="177"/>
      <c r="BY151" s="177"/>
      <c r="BZ151" s="177"/>
      <c r="CA151" s="177"/>
      <c r="CB151" s="177"/>
      <c r="CC151" s="177"/>
      <c r="CD151" s="177"/>
      <c r="CE151" s="177"/>
      <c r="CF151" s="177"/>
      <c r="CG151" s="177"/>
      <c r="CH151" s="177"/>
      <c r="CI151" s="177"/>
      <c r="CJ151" s="177"/>
      <c r="CK151" s="177"/>
      <c r="CL151" s="177"/>
      <c r="CM151" s="177"/>
      <c r="CN151" s="177"/>
      <c r="CO151" s="177"/>
      <c r="CP151" s="177"/>
      <c r="CQ151" s="177"/>
      <c r="CR151" s="177"/>
      <c r="CS151" s="177"/>
      <c r="CT151" s="177"/>
      <c r="CU151" s="177"/>
      <c r="CV151" s="177"/>
      <c r="CW151" s="177"/>
      <c r="CX151" s="177"/>
      <c r="CY151" s="177"/>
      <c r="CZ151" s="177"/>
    </row>
    <row r="152" spans="2:104">
      <c r="B152" s="214"/>
      <c r="C152" s="211"/>
      <c r="D152" s="211"/>
      <c r="E152" s="211"/>
      <c r="F152" s="211"/>
      <c r="G152" s="211"/>
      <c r="H152" s="211"/>
      <c r="I152" s="211"/>
      <c r="J152" s="211"/>
      <c r="K152" s="211"/>
      <c r="L152" s="211"/>
      <c r="M152" s="211"/>
      <c r="N152" s="211"/>
      <c r="O152" s="211"/>
      <c r="P152" s="211"/>
      <c r="Q152" s="211"/>
      <c r="R152" s="211"/>
      <c r="S152" s="211"/>
      <c r="T152" s="211"/>
      <c r="U152" s="211"/>
      <c r="V152" s="211"/>
      <c r="W152" s="211"/>
      <c r="X152" s="211"/>
      <c r="Y152" s="211"/>
      <c r="Z152" s="211"/>
      <c r="AA152" s="211"/>
      <c r="AB152" s="177"/>
      <c r="AE152" s="177"/>
      <c r="AF152" s="177"/>
      <c r="AG152" s="177"/>
      <c r="AH152" s="177"/>
      <c r="AI152" s="177"/>
      <c r="AJ152" s="177"/>
      <c r="AK152" s="177"/>
      <c r="AL152" s="177"/>
      <c r="AM152" s="177"/>
      <c r="AN152" s="177"/>
      <c r="AO152" s="177"/>
      <c r="AP152" s="177"/>
      <c r="AQ152" s="177"/>
      <c r="AR152" s="177"/>
      <c r="AS152" s="177"/>
      <c r="AT152" s="177"/>
      <c r="AU152" s="177"/>
      <c r="AV152" s="177"/>
      <c r="AW152" s="177"/>
      <c r="AX152" s="177"/>
      <c r="AY152" s="177"/>
      <c r="AZ152" s="177"/>
      <c r="BA152" s="177"/>
      <c r="BB152" s="177"/>
      <c r="BC152" s="177"/>
      <c r="BD152" s="177"/>
      <c r="BE152" s="177"/>
      <c r="BF152" s="177"/>
      <c r="BG152" s="177"/>
      <c r="BH152" s="177"/>
      <c r="BI152" s="177"/>
      <c r="BJ152" s="177"/>
      <c r="BK152" s="177"/>
      <c r="BL152" s="177"/>
      <c r="BM152" s="177"/>
      <c r="BN152" s="177"/>
      <c r="BO152" s="177"/>
      <c r="BP152" s="177"/>
      <c r="BQ152" s="177"/>
      <c r="BR152" s="177"/>
      <c r="BS152" s="177"/>
      <c r="BT152" s="177"/>
      <c r="BU152" s="177"/>
      <c r="BV152" s="177"/>
      <c r="BW152" s="177"/>
      <c r="BX152" s="177"/>
      <c r="BY152" s="177"/>
      <c r="BZ152" s="177"/>
      <c r="CA152" s="177"/>
      <c r="CB152" s="177"/>
      <c r="CC152" s="177"/>
      <c r="CD152" s="177"/>
      <c r="CE152" s="177"/>
      <c r="CF152" s="177"/>
      <c r="CG152" s="177"/>
      <c r="CH152" s="177"/>
      <c r="CI152" s="177"/>
      <c r="CJ152" s="177"/>
      <c r="CK152" s="177"/>
      <c r="CL152" s="177"/>
      <c r="CM152" s="177"/>
      <c r="CN152" s="177"/>
      <c r="CO152" s="177"/>
      <c r="CP152" s="177"/>
      <c r="CQ152" s="177"/>
      <c r="CR152" s="177"/>
      <c r="CS152" s="177"/>
      <c r="CT152" s="177"/>
      <c r="CU152" s="177"/>
      <c r="CV152" s="177"/>
      <c r="CW152" s="177"/>
      <c r="CX152" s="177"/>
      <c r="CY152" s="177"/>
      <c r="CZ152" s="177"/>
    </row>
    <row r="153" spans="2:104">
      <c r="B153" s="214"/>
      <c r="C153" s="211"/>
      <c r="D153" s="211"/>
      <c r="E153" s="211"/>
      <c r="F153" s="211"/>
      <c r="G153" s="211"/>
      <c r="H153" s="211"/>
      <c r="I153" s="211"/>
      <c r="J153" s="211"/>
      <c r="K153" s="211"/>
      <c r="L153" s="211"/>
      <c r="M153" s="211"/>
      <c r="N153" s="211"/>
      <c r="O153" s="211"/>
      <c r="P153" s="211"/>
      <c r="Q153" s="211"/>
      <c r="R153" s="211"/>
      <c r="S153" s="211"/>
      <c r="T153" s="211"/>
      <c r="U153" s="211"/>
      <c r="V153" s="211"/>
      <c r="W153" s="211"/>
      <c r="X153" s="211"/>
      <c r="Y153" s="211"/>
      <c r="Z153" s="211"/>
      <c r="AA153" s="211"/>
      <c r="AB153" s="177"/>
      <c r="AE153" s="177"/>
      <c r="AF153" s="177"/>
      <c r="AG153" s="177"/>
      <c r="AH153" s="177"/>
      <c r="AI153" s="177"/>
      <c r="AJ153" s="177"/>
      <c r="AK153" s="177"/>
      <c r="AL153" s="177"/>
      <c r="AM153" s="177"/>
      <c r="AN153" s="177"/>
      <c r="AO153" s="177"/>
      <c r="AP153" s="177"/>
      <c r="AQ153" s="177"/>
      <c r="AR153" s="177"/>
      <c r="AS153" s="177"/>
      <c r="AT153" s="177"/>
      <c r="AU153" s="177"/>
      <c r="AV153" s="177"/>
      <c r="AW153" s="177"/>
      <c r="AX153" s="177"/>
      <c r="AY153" s="177"/>
      <c r="AZ153" s="177"/>
      <c r="BA153" s="177"/>
      <c r="BB153" s="177"/>
      <c r="BC153" s="177"/>
      <c r="BD153" s="177"/>
      <c r="BE153" s="177"/>
      <c r="BF153" s="177"/>
      <c r="BG153" s="177"/>
      <c r="BH153" s="177"/>
      <c r="BI153" s="177"/>
      <c r="BJ153" s="177"/>
      <c r="BK153" s="177"/>
      <c r="BL153" s="177"/>
      <c r="BM153" s="177"/>
      <c r="BN153" s="177"/>
      <c r="BO153" s="177"/>
      <c r="BP153" s="177"/>
      <c r="BQ153" s="177"/>
      <c r="BR153" s="177"/>
      <c r="BS153" s="177"/>
      <c r="BT153" s="177"/>
      <c r="BU153" s="177"/>
      <c r="BV153" s="177"/>
      <c r="BW153" s="177"/>
      <c r="BX153" s="177"/>
      <c r="BY153" s="177"/>
      <c r="BZ153" s="177"/>
      <c r="CA153" s="177"/>
      <c r="CB153" s="177"/>
      <c r="CC153" s="177"/>
      <c r="CD153" s="177"/>
      <c r="CE153" s="177"/>
      <c r="CF153" s="177"/>
      <c r="CG153" s="177"/>
      <c r="CH153" s="177"/>
      <c r="CI153" s="177"/>
      <c r="CJ153" s="177"/>
      <c r="CK153" s="177"/>
      <c r="CL153" s="177"/>
      <c r="CM153" s="177"/>
      <c r="CN153" s="177"/>
      <c r="CO153" s="177"/>
      <c r="CP153" s="177"/>
      <c r="CQ153" s="177"/>
      <c r="CR153" s="177"/>
      <c r="CS153" s="177"/>
      <c r="CT153" s="177"/>
      <c r="CU153" s="177"/>
      <c r="CV153" s="177"/>
      <c r="CW153" s="177"/>
      <c r="CX153" s="177"/>
      <c r="CY153" s="177"/>
      <c r="CZ153" s="177"/>
    </row>
    <row r="154" spans="2:104">
      <c r="B154" s="214"/>
      <c r="C154" s="211"/>
      <c r="D154" s="211"/>
      <c r="E154" s="211"/>
      <c r="F154" s="211"/>
      <c r="G154" s="211"/>
      <c r="H154" s="211"/>
      <c r="I154" s="211"/>
      <c r="J154" s="211"/>
      <c r="K154" s="211"/>
      <c r="L154" s="211"/>
      <c r="M154" s="211"/>
      <c r="N154" s="211"/>
      <c r="O154" s="211"/>
      <c r="P154" s="211"/>
      <c r="Q154" s="211"/>
      <c r="R154" s="211"/>
      <c r="S154" s="211"/>
      <c r="T154" s="211"/>
      <c r="U154" s="211"/>
      <c r="V154" s="211"/>
      <c r="W154" s="211"/>
      <c r="X154" s="211"/>
      <c r="Y154" s="211"/>
      <c r="Z154" s="211"/>
      <c r="AA154" s="211"/>
      <c r="AB154" s="177"/>
      <c r="AE154" s="177"/>
      <c r="AF154" s="177"/>
      <c r="AG154" s="177"/>
      <c r="AH154" s="177"/>
      <c r="AI154" s="177"/>
      <c r="AJ154" s="177"/>
      <c r="AK154" s="177"/>
      <c r="AL154" s="177"/>
      <c r="AM154" s="177"/>
      <c r="AN154" s="177"/>
      <c r="AO154" s="177"/>
      <c r="AP154" s="177"/>
      <c r="AQ154" s="177"/>
      <c r="AR154" s="177"/>
      <c r="AS154" s="177"/>
      <c r="AT154" s="177"/>
      <c r="AU154" s="177"/>
      <c r="AV154" s="177"/>
      <c r="AW154" s="177"/>
      <c r="AX154" s="177"/>
      <c r="AY154" s="177"/>
      <c r="AZ154" s="177"/>
      <c r="BA154" s="177"/>
      <c r="BB154" s="177"/>
      <c r="BC154" s="177"/>
      <c r="BD154" s="177"/>
      <c r="BE154" s="177"/>
      <c r="BF154" s="177"/>
      <c r="BG154" s="177"/>
      <c r="BH154" s="177"/>
      <c r="BI154" s="177"/>
      <c r="BJ154" s="177"/>
      <c r="BK154" s="177"/>
      <c r="BL154" s="177"/>
      <c r="BM154" s="177"/>
      <c r="BN154" s="177"/>
      <c r="BO154" s="177"/>
      <c r="BP154" s="177"/>
      <c r="BQ154" s="177"/>
      <c r="BR154" s="177"/>
      <c r="BS154" s="177"/>
      <c r="BT154" s="177"/>
      <c r="BU154" s="177"/>
      <c r="BV154" s="177"/>
      <c r="BW154" s="177"/>
      <c r="BX154" s="177"/>
      <c r="BY154" s="177"/>
      <c r="BZ154" s="177"/>
      <c r="CA154" s="177"/>
      <c r="CB154" s="177"/>
      <c r="CC154" s="177"/>
      <c r="CD154" s="177"/>
      <c r="CE154" s="177"/>
      <c r="CF154" s="177"/>
      <c r="CG154" s="177"/>
      <c r="CH154" s="177"/>
      <c r="CI154" s="177"/>
      <c r="CJ154" s="177"/>
      <c r="CK154" s="177"/>
      <c r="CL154" s="177"/>
      <c r="CM154" s="177"/>
      <c r="CN154" s="177"/>
      <c r="CO154" s="177"/>
      <c r="CP154" s="177"/>
      <c r="CQ154" s="177"/>
      <c r="CR154" s="177"/>
      <c r="CS154" s="177"/>
      <c r="CT154" s="177"/>
      <c r="CU154" s="177"/>
      <c r="CV154" s="177"/>
      <c r="CW154" s="177"/>
      <c r="CX154" s="177"/>
      <c r="CY154" s="177"/>
      <c r="CZ154" s="177"/>
    </row>
    <row r="155" spans="2:104">
      <c r="B155" s="214"/>
      <c r="C155" s="211"/>
      <c r="D155" s="211"/>
      <c r="E155" s="211"/>
      <c r="F155" s="211"/>
      <c r="G155" s="211"/>
      <c r="H155" s="211"/>
      <c r="I155" s="211"/>
      <c r="J155" s="211"/>
      <c r="K155" s="211"/>
      <c r="L155" s="211"/>
      <c r="M155" s="211"/>
      <c r="N155" s="211"/>
      <c r="O155" s="211"/>
      <c r="P155" s="211"/>
      <c r="Q155" s="211"/>
      <c r="R155" s="211"/>
      <c r="S155" s="211"/>
      <c r="T155" s="211"/>
      <c r="U155" s="211"/>
      <c r="V155" s="211"/>
      <c r="W155" s="211"/>
      <c r="X155" s="211"/>
      <c r="Y155" s="211"/>
      <c r="Z155" s="211"/>
      <c r="AA155" s="211"/>
      <c r="AB155" s="177"/>
      <c r="AE155" s="177"/>
      <c r="AF155" s="177"/>
      <c r="AG155" s="177"/>
      <c r="AH155" s="177"/>
      <c r="AI155" s="177"/>
      <c r="AJ155" s="177"/>
      <c r="AK155" s="177"/>
      <c r="AL155" s="177"/>
      <c r="AM155" s="177"/>
      <c r="AN155" s="177"/>
      <c r="AO155" s="177"/>
      <c r="AP155" s="177"/>
      <c r="AQ155" s="177"/>
      <c r="AR155" s="177"/>
      <c r="AS155" s="177"/>
      <c r="AT155" s="177"/>
      <c r="AU155" s="177"/>
      <c r="AV155" s="177"/>
      <c r="AW155" s="177"/>
      <c r="AX155" s="177"/>
      <c r="AY155" s="177"/>
      <c r="AZ155" s="177"/>
      <c r="BA155" s="177"/>
      <c r="BB155" s="177"/>
      <c r="BC155" s="177"/>
      <c r="BD155" s="177"/>
      <c r="BE155" s="177"/>
      <c r="BF155" s="177"/>
      <c r="BG155" s="177"/>
      <c r="BH155" s="177"/>
      <c r="BI155" s="177"/>
      <c r="BJ155" s="177"/>
      <c r="BK155" s="177"/>
      <c r="BL155" s="177"/>
      <c r="BM155" s="177"/>
      <c r="BN155" s="177"/>
      <c r="BO155" s="177"/>
      <c r="BP155" s="177"/>
      <c r="BQ155" s="177"/>
      <c r="BR155" s="177"/>
      <c r="BS155" s="177"/>
      <c r="BT155" s="177"/>
      <c r="BU155" s="177"/>
      <c r="BV155" s="177"/>
      <c r="BW155" s="177"/>
      <c r="BX155" s="177"/>
      <c r="BY155" s="177"/>
      <c r="BZ155" s="177"/>
      <c r="CA155" s="177"/>
      <c r="CB155" s="177"/>
      <c r="CC155" s="177"/>
      <c r="CD155" s="177"/>
      <c r="CE155" s="177"/>
      <c r="CF155" s="177"/>
      <c r="CG155" s="177"/>
      <c r="CH155" s="177"/>
      <c r="CI155" s="177"/>
      <c r="CJ155" s="177"/>
      <c r="CK155" s="177"/>
      <c r="CL155" s="177"/>
      <c r="CM155" s="177"/>
      <c r="CN155" s="177"/>
      <c r="CO155" s="177"/>
      <c r="CP155" s="177"/>
      <c r="CQ155" s="177"/>
      <c r="CR155" s="177"/>
      <c r="CS155" s="177"/>
      <c r="CT155" s="177"/>
      <c r="CU155" s="177"/>
      <c r="CV155" s="177"/>
      <c r="CW155" s="177"/>
      <c r="CX155" s="177"/>
      <c r="CY155" s="177"/>
      <c r="CZ155" s="177"/>
    </row>
    <row r="156" spans="2:104">
      <c r="B156" s="214"/>
      <c r="C156" s="211"/>
      <c r="D156" s="211"/>
      <c r="E156" s="211"/>
      <c r="F156" s="211"/>
      <c r="G156" s="211"/>
      <c r="H156" s="211"/>
      <c r="I156" s="211"/>
      <c r="J156" s="211"/>
      <c r="K156" s="211"/>
      <c r="L156" s="211"/>
      <c r="M156" s="211"/>
      <c r="N156" s="211"/>
      <c r="O156" s="211"/>
      <c r="P156" s="211"/>
      <c r="Q156" s="211"/>
      <c r="R156" s="211"/>
      <c r="S156" s="211"/>
      <c r="T156" s="211"/>
      <c r="U156" s="211"/>
      <c r="V156" s="211"/>
      <c r="W156" s="211"/>
      <c r="X156" s="211"/>
      <c r="Y156" s="211"/>
      <c r="Z156" s="211"/>
      <c r="AA156" s="211"/>
      <c r="AB156" s="177"/>
      <c r="AE156" s="177"/>
      <c r="AF156" s="177"/>
      <c r="AG156" s="177"/>
      <c r="AH156" s="177"/>
      <c r="AI156" s="177"/>
      <c r="AJ156" s="177"/>
      <c r="AK156" s="177"/>
      <c r="AL156" s="177"/>
      <c r="AM156" s="177"/>
      <c r="AN156" s="177"/>
      <c r="AO156" s="177"/>
      <c r="AP156" s="177"/>
      <c r="AQ156" s="177"/>
      <c r="AR156" s="177"/>
      <c r="AS156" s="177"/>
      <c r="AT156" s="177"/>
      <c r="AU156" s="177"/>
      <c r="AV156" s="177"/>
      <c r="AW156" s="177"/>
      <c r="AX156" s="177"/>
      <c r="AY156" s="177"/>
      <c r="AZ156" s="177"/>
      <c r="BA156" s="177"/>
      <c r="BB156" s="177"/>
      <c r="BC156" s="177"/>
      <c r="BD156" s="177"/>
      <c r="BE156" s="177"/>
      <c r="BF156" s="177"/>
      <c r="BG156" s="177"/>
      <c r="BH156" s="177"/>
      <c r="BI156" s="177"/>
      <c r="BJ156" s="177"/>
      <c r="BK156" s="177"/>
      <c r="BL156" s="177"/>
      <c r="BM156" s="177"/>
      <c r="BN156" s="177"/>
      <c r="BO156" s="177"/>
      <c r="BP156" s="177"/>
      <c r="BQ156" s="177"/>
      <c r="BR156" s="177"/>
      <c r="BS156" s="177"/>
      <c r="BT156" s="177"/>
      <c r="BU156" s="177"/>
      <c r="BV156" s="177"/>
      <c r="BW156" s="177"/>
      <c r="BX156" s="177"/>
      <c r="BY156" s="177"/>
      <c r="BZ156" s="177"/>
      <c r="CA156" s="177"/>
      <c r="CB156" s="177"/>
      <c r="CC156" s="177"/>
      <c r="CD156" s="177"/>
      <c r="CE156" s="177"/>
      <c r="CF156" s="177"/>
      <c r="CG156" s="177"/>
      <c r="CH156" s="177"/>
      <c r="CI156" s="177"/>
      <c r="CJ156" s="177"/>
      <c r="CK156" s="177"/>
      <c r="CL156" s="177"/>
      <c r="CM156" s="177"/>
      <c r="CN156" s="177"/>
      <c r="CO156" s="177"/>
      <c r="CP156" s="177"/>
      <c r="CQ156" s="177"/>
      <c r="CR156" s="177"/>
      <c r="CS156" s="177"/>
      <c r="CT156" s="177"/>
      <c r="CU156" s="177"/>
      <c r="CV156" s="177"/>
      <c r="CW156" s="177"/>
      <c r="CX156" s="177"/>
      <c r="CY156" s="177"/>
      <c r="CZ156" s="177"/>
    </row>
    <row r="157" spans="2:104">
      <c r="B157" s="214"/>
      <c r="C157" s="211"/>
      <c r="D157" s="211"/>
      <c r="E157" s="211"/>
      <c r="F157" s="211"/>
      <c r="G157" s="211"/>
      <c r="H157" s="211"/>
      <c r="I157" s="211"/>
      <c r="J157" s="211"/>
      <c r="K157" s="211"/>
      <c r="L157" s="211"/>
      <c r="M157" s="211"/>
      <c r="N157" s="211"/>
      <c r="O157" s="211"/>
      <c r="P157" s="211"/>
      <c r="Q157" s="211"/>
      <c r="R157" s="211"/>
      <c r="S157" s="211"/>
      <c r="T157" s="211"/>
      <c r="U157" s="211"/>
      <c r="V157" s="211"/>
      <c r="W157" s="211"/>
      <c r="X157" s="211"/>
      <c r="Y157" s="211"/>
      <c r="Z157" s="211"/>
      <c r="AA157" s="211"/>
      <c r="AB157" s="177"/>
      <c r="AE157" s="177"/>
      <c r="AF157" s="177"/>
      <c r="AG157" s="177"/>
      <c r="AH157" s="177"/>
      <c r="AI157" s="177"/>
      <c r="AJ157" s="177"/>
      <c r="AK157" s="177"/>
      <c r="AL157" s="177"/>
      <c r="AM157" s="177"/>
      <c r="AN157" s="177"/>
      <c r="AO157" s="177"/>
      <c r="AP157" s="177"/>
      <c r="AQ157" s="177"/>
      <c r="AR157" s="177"/>
      <c r="AS157" s="177"/>
      <c r="AT157" s="177"/>
      <c r="AU157" s="177"/>
      <c r="AV157" s="177"/>
      <c r="AW157" s="177"/>
      <c r="AX157" s="177"/>
      <c r="AY157" s="177"/>
      <c r="AZ157" s="177"/>
      <c r="BA157" s="177"/>
      <c r="BB157" s="177"/>
      <c r="BC157" s="177"/>
      <c r="BD157" s="177"/>
      <c r="BE157" s="177"/>
      <c r="BF157" s="177"/>
      <c r="BG157" s="177"/>
      <c r="BH157" s="177"/>
      <c r="BI157" s="177"/>
      <c r="BJ157" s="177"/>
      <c r="BK157" s="177"/>
      <c r="BL157" s="177"/>
      <c r="BM157" s="177"/>
      <c r="BN157" s="177"/>
      <c r="BO157" s="177"/>
      <c r="BP157" s="177"/>
      <c r="BQ157" s="177"/>
      <c r="BR157" s="177"/>
      <c r="BS157" s="177"/>
      <c r="BT157" s="177"/>
      <c r="BU157" s="177"/>
      <c r="BV157" s="177"/>
      <c r="BW157" s="177"/>
      <c r="BX157" s="177"/>
      <c r="BY157" s="177"/>
      <c r="BZ157" s="177"/>
      <c r="CA157" s="177"/>
      <c r="CB157" s="177"/>
      <c r="CC157" s="177"/>
      <c r="CD157" s="177"/>
      <c r="CE157" s="177"/>
      <c r="CF157" s="177"/>
      <c r="CG157" s="177"/>
      <c r="CH157" s="177"/>
      <c r="CI157" s="177"/>
      <c r="CJ157" s="177"/>
      <c r="CK157" s="177"/>
      <c r="CL157" s="177"/>
      <c r="CM157" s="177"/>
      <c r="CN157" s="177"/>
      <c r="CO157" s="177"/>
      <c r="CP157" s="177"/>
      <c r="CQ157" s="177"/>
      <c r="CR157" s="177"/>
      <c r="CS157" s="177"/>
      <c r="CT157" s="177"/>
      <c r="CU157" s="177"/>
      <c r="CV157" s="177"/>
      <c r="CW157" s="177"/>
      <c r="CX157" s="177"/>
      <c r="CY157" s="177"/>
      <c r="CZ157" s="177"/>
    </row>
    <row r="158" spans="2:104">
      <c r="B158" s="214"/>
      <c r="C158" s="211"/>
      <c r="D158" s="211"/>
      <c r="E158" s="211"/>
      <c r="F158" s="211"/>
      <c r="G158" s="211"/>
      <c r="H158" s="211"/>
      <c r="I158" s="211"/>
      <c r="J158" s="211"/>
      <c r="K158" s="211"/>
      <c r="L158" s="211"/>
      <c r="M158" s="211"/>
      <c r="N158" s="211"/>
      <c r="O158" s="211"/>
      <c r="P158" s="211"/>
      <c r="Q158" s="211"/>
      <c r="R158" s="211"/>
      <c r="S158" s="211"/>
      <c r="T158" s="211"/>
      <c r="U158" s="211"/>
      <c r="V158" s="211"/>
      <c r="W158" s="211"/>
      <c r="X158" s="211"/>
      <c r="Y158" s="211"/>
      <c r="Z158" s="211"/>
      <c r="AA158" s="211"/>
      <c r="AB158" s="177"/>
      <c r="AE158" s="177"/>
      <c r="AF158" s="177"/>
      <c r="AG158" s="177"/>
      <c r="AH158" s="177"/>
      <c r="AI158" s="177"/>
      <c r="AJ158" s="177"/>
      <c r="AK158" s="177"/>
      <c r="AL158" s="177"/>
      <c r="AM158" s="177"/>
      <c r="AN158" s="177"/>
      <c r="AO158" s="177"/>
      <c r="AP158" s="177"/>
      <c r="AQ158" s="177"/>
      <c r="AR158" s="177"/>
      <c r="AS158" s="177"/>
      <c r="AT158" s="177"/>
      <c r="AU158" s="177"/>
      <c r="AV158" s="177"/>
      <c r="AW158" s="177"/>
      <c r="AX158" s="177"/>
      <c r="AY158" s="177"/>
      <c r="AZ158" s="177"/>
      <c r="BA158" s="177"/>
      <c r="BB158" s="177"/>
      <c r="BC158" s="177"/>
      <c r="BD158" s="177"/>
      <c r="BE158" s="177"/>
      <c r="BF158" s="177"/>
      <c r="BG158" s="177"/>
      <c r="BH158" s="177"/>
      <c r="BI158" s="177"/>
      <c r="BJ158" s="177"/>
      <c r="BK158" s="177"/>
      <c r="BL158" s="177"/>
      <c r="BM158" s="177"/>
      <c r="BN158" s="177"/>
      <c r="BO158" s="177"/>
      <c r="BP158" s="177"/>
      <c r="BQ158" s="177"/>
      <c r="BR158" s="177"/>
      <c r="BS158" s="177"/>
      <c r="BT158" s="177"/>
      <c r="BU158" s="177"/>
      <c r="BV158" s="177"/>
      <c r="BW158" s="177"/>
      <c r="BX158" s="177"/>
      <c r="BY158" s="177"/>
      <c r="BZ158" s="177"/>
      <c r="CA158" s="177"/>
      <c r="CB158" s="177"/>
      <c r="CC158" s="177"/>
      <c r="CD158" s="177"/>
      <c r="CE158" s="177"/>
      <c r="CF158" s="177"/>
      <c r="CG158" s="177"/>
      <c r="CH158" s="177"/>
      <c r="CI158" s="177"/>
      <c r="CJ158" s="177"/>
      <c r="CK158" s="177"/>
      <c r="CL158" s="177"/>
      <c r="CM158" s="177"/>
      <c r="CN158" s="177"/>
      <c r="CO158" s="177"/>
      <c r="CP158" s="177"/>
      <c r="CQ158" s="177"/>
      <c r="CR158" s="177"/>
      <c r="CS158" s="177"/>
      <c r="CT158" s="177"/>
      <c r="CU158" s="177"/>
      <c r="CV158" s="177"/>
      <c r="CW158" s="177"/>
      <c r="CX158" s="177"/>
      <c r="CY158" s="177"/>
      <c r="CZ158" s="177"/>
    </row>
    <row r="159" spans="2:104">
      <c r="B159" s="214"/>
      <c r="C159" s="211"/>
      <c r="D159" s="211"/>
      <c r="E159" s="211"/>
      <c r="F159" s="211"/>
      <c r="G159" s="211"/>
      <c r="H159" s="211"/>
      <c r="I159" s="211"/>
      <c r="J159" s="211"/>
      <c r="K159" s="211"/>
      <c r="L159" s="211"/>
      <c r="M159" s="211"/>
      <c r="N159" s="211"/>
      <c r="O159" s="211"/>
      <c r="P159" s="211"/>
      <c r="Q159" s="211"/>
      <c r="R159" s="211"/>
      <c r="S159" s="211"/>
      <c r="T159" s="211"/>
      <c r="U159" s="211"/>
      <c r="V159" s="211"/>
      <c r="W159" s="211"/>
      <c r="X159" s="211"/>
      <c r="Y159" s="211"/>
      <c r="Z159" s="211"/>
      <c r="AA159" s="211"/>
      <c r="AB159" s="177"/>
      <c r="AE159" s="177"/>
      <c r="AF159" s="177"/>
      <c r="AG159" s="177"/>
      <c r="AH159" s="177"/>
      <c r="AI159" s="177"/>
      <c r="AJ159" s="177"/>
      <c r="AK159" s="177"/>
      <c r="AL159" s="177"/>
      <c r="AM159" s="177"/>
      <c r="AN159" s="177"/>
      <c r="AO159" s="177"/>
      <c r="AP159" s="177"/>
      <c r="AQ159" s="177"/>
      <c r="AR159" s="177"/>
      <c r="AS159" s="177"/>
      <c r="AT159" s="177"/>
      <c r="AU159" s="177"/>
      <c r="AV159" s="177"/>
      <c r="AW159" s="177"/>
      <c r="AX159" s="177"/>
      <c r="AY159" s="177"/>
      <c r="AZ159" s="177"/>
      <c r="BA159" s="177"/>
      <c r="BB159" s="177"/>
      <c r="BC159" s="177"/>
      <c r="BD159" s="177"/>
      <c r="BE159" s="177"/>
      <c r="BF159" s="177"/>
      <c r="BG159" s="177"/>
      <c r="BH159" s="177"/>
      <c r="BI159" s="177"/>
      <c r="BJ159" s="177"/>
      <c r="BK159" s="177"/>
      <c r="BL159" s="177"/>
      <c r="BM159" s="177"/>
      <c r="BN159" s="177"/>
      <c r="BO159" s="177"/>
      <c r="BP159" s="177"/>
      <c r="BQ159" s="177"/>
      <c r="BR159" s="177"/>
      <c r="BS159" s="177"/>
      <c r="BT159" s="177"/>
      <c r="BU159" s="177"/>
      <c r="BV159" s="177"/>
      <c r="BW159" s="177"/>
      <c r="BX159" s="177"/>
      <c r="BY159" s="177"/>
      <c r="BZ159" s="177"/>
      <c r="CA159" s="177"/>
      <c r="CB159" s="177"/>
      <c r="CC159" s="177"/>
      <c r="CD159" s="177"/>
      <c r="CE159" s="177"/>
      <c r="CF159" s="177"/>
      <c r="CG159" s="177"/>
      <c r="CH159" s="177"/>
      <c r="CI159" s="177"/>
      <c r="CJ159" s="177"/>
      <c r="CK159" s="177"/>
      <c r="CL159" s="177"/>
      <c r="CM159" s="177"/>
      <c r="CN159" s="177"/>
      <c r="CO159" s="177"/>
      <c r="CP159" s="177"/>
      <c r="CQ159" s="177"/>
      <c r="CR159" s="177"/>
      <c r="CS159" s="177"/>
      <c r="CT159" s="177"/>
      <c r="CU159" s="177"/>
      <c r="CV159" s="177"/>
      <c r="CW159" s="177"/>
      <c r="CX159" s="177"/>
      <c r="CY159" s="177"/>
      <c r="CZ159" s="177"/>
    </row>
    <row r="160" spans="2:104">
      <c r="B160" s="214"/>
      <c r="C160" s="211"/>
      <c r="D160" s="211"/>
      <c r="E160" s="211"/>
      <c r="F160" s="211"/>
      <c r="G160" s="211"/>
      <c r="H160" s="211"/>
      <c r="I160" s="211"/>
      <c r="J160" s="211"/>
      <c r="K160" s="211"/>
      <c r="L160" s="211"/>
      <c r="M160" s="211"/>
      <c r="N160" s="211"/>
      <c r="O160" s="211"/>
      <c r="P160" s="211"/>
      <c r="Q160" s="211"/>
      <c r="R160" s="211"/>
      <c r="S160" s="211"/>
      <c r="T160" s="211"/>
      <c r="U160" s="211"/>
      <c r="V160" s="211"/>
      <c r="W160" s="211"/>
      <c r="X160" s="211"/>
      <c r="Y160" s="211"/>
      <c r="Z160" s="211"/>
      <c r="AA160" s="211"/>
      <c r="AB160" s="177"/>
      <c r="AE160" s="177"/>
      <c r="AF160" s="177"/>
      <c r="AG160" s="177"/>
      <c r="AH160" s="177"/>
      <c r="AI160" s="177"/>
      <c r="AJ160" s="177"/>
      <c r="AK160" s="177"/>
      <c r="AL160" s="177"/>
      <c r="AM160" s="177"/>
      <c r="AN160" s="177"/>
      <c r="AO160" s="177"/>
      <c r="AP160" s="177"/>
      <c r="AQ160" s="177"/>
      <c r="AR160" s="177"/>
      <c r="AS160" s="177"/>
      <c r="AT160" s="177"/>
      <c r="AU160" s="177"/>
      <c r="AV160" s="177"/>
      <c r="AW160" s="177"/>
      <c r="AX160" s="177"/>
      <c r="AY160" s="177"/>
      <c r="AZ160" s="177"/>
      <c r="BA160" s="177"/>
      <c r="BB160" s="177"/>
      <c r="BC160" s="177"/>
      <c r="BD160" s="177"/>
      <c r="BE160" s="177"/>
      <c r="BF160" s="177"/>
      <c r="BG160" s="177"/>
      <c r="BH160" s="177"/>
      <c r="BI160" s="177"/>
      <c r="BJ160" s="177"/>
      <c r="BK160" s="177"/>
      <c r="BL160" s="177"/>
      <c r="BM160" s="177"/>
      <c r="BN160" s="177"/>
      <c r="BO160" s="177"/>
      <c r="BP160" s="177"/>
      <c r="BQ160" s="177"/>
      <c r="BR160" s="177"/>
      <c r="BS160" s="177"/>
      <c r="BT160" s="177"/>
      <c r="BU160" s="177"/>
      <c r="BV160" s="177"/>
      <c r="BW160" s="177"/>
      <c r="BX160" s="177"/>
      <c r="BY160" s="177"/>
      <c r="BZ160" s="177"/>
      <c r="CA160" s="177"/>
      <c r="CB160" s="177"/>
      <c r="CC160" s="177"/>
      <c r="CD160" s="177"/>
      <c r="CE160" s="177"/>
      <c r="CF160" s="177"/>
      <c r="CG160" s="177"/>
      <c r="CH160" s="177"/>
      <c r="CI160" s="177"/>
      <c r="CJ160" s="177"/>
      <c r="CK160" s="177"/>
      <c r="CL160" s="177"/>
      <c r="CM160" s="177"/>
      <c r="CN160" s="177"/>
      <c r="CO160" s="177"/>
      <c r="CP160" s="177"/>
      <c r="CQ160" s="177"/>
      <c r="CR160" s="177"/>
      <c r="CS160" s="177"/>
      <c r="CT160" s="177"/>
      <c r="CU160" s="177"/>
      <c r="CV160" s="177"/>
      <c r="CW160" s="177"/>
      <c r="CX160" s="177"/>
      <c r="CY160" s="177"/>
      <c r="CZ160" s="177"/>
    </row>
    <row r="161" spans="2:104">
      <c r="B161" s="214"/>
      <c r="C161" s="211"/>
      <c r="D161" s="211"/>
      <c r="E161" s="211"/>
      <c r="F161" s="211"/>
      <c r="G161" s="211"/>
      <c r="H161" s="211"/>
      <c r="I161" s="211"/>
      <c r="J161" s="211"/>
      <c r="K161" s="211"/>
      <c r="L161" s="211"/>
      <c r="M161" s="211"/>
      <c r="N161" s="211"/>
      <c r="O161" s="211"/>
      <c r="P161" s="211"/>
      <c r="Q161" s="211"/>
      <c r="R161" s="211"/>
      <c r="S161" s="211"/>
      <c r="T161" s="211"/>
      <c r="U161" s="211"/>
      <c r="V161" s="211"/>
      <c r="W161" s="211"/>
      <c r="X161" s="211"/>
      <c r="Y161" s="211"/>
      <c r="Z161" s="211"/>
      <c r="AA161" s="211"/>
      <c r="AB161" s="177"/>
      <c r="AE161" s="177"/>
      <c r="AF161" s="177"/>
      <c r="AG161" s="177"/>
      <c r="AH161" s="177"/>
      <c r="AI161" s="177"/>
      <c r="AJ161" s="177"/>
      <c r="AK161" s="177"/>
      <c r="AL161" s="177"/>
      <c r="AM161" s="177"/>
      <c r="AN161" s="177"/>
      <c r="AO161" s="177"/>
      <c r="AP161" s="177"/>
      <c r="AQ161" s="177"/>
      <c r="AR161" s="177"/>
      <c r="AS161" s="177"/>
      <c r="AT161" s="177"/>
      <c r="AU161" s="177"/>
      <c r="AV161" s="177"/>
      <c r="AW161" s="177"/>
      <c r="AX161" s="177"/>
      <c r="AY161" s="177"/>
      <c r="AZ161" s="177"/>
      <c r="BA161" s="177"/>
      <c r="BB161" s="177"/>
      <c r="BC161" s="177"/>
      <c r="BD161" s="177"/>
      <c r="BE161" s="177"/>
      <c r="BF161" s="177"/>
      <c r="BG161" s="177"/>
      <c r="BH161" s="177"/>
      <c r="BI161" s="177"/>
      <c r="BJ161" s="177"/>
      <c r="BK161" s="177"/>
      <c r="BL161" s="177"/>
      <c r="BM161" s="177"/>
      <c r="BN161" s="177"/>
      <c r="BO161" s="177"/>
      <c r="BP161" s="177"/>
      <c r="BQ161" s="177"/>
      <c r="BR161" s="177"/>
      <c r="BS161" s="177"/>
      <c r="BT161" s="177"/>
      <c r="BU161" s="177"/>
      <c r="BV161" s="177"/>
      <c r="BW161" s="177"/>
      <c r="BX161" s="177"/>
      <c r="BY161" s="177"/>
      <c r="BZ161" s="177"/>
      <c r="CA161" s="177"/>
      <c r="CB161" s="177"/>
      <c r="CC161" s="177"/>
      <c r="CD161" s="177"/>
      <c r="CE161" s="177"/>
      <c r="CF161" s="177"/>
      <c r="CG161" s="177"/>
      <c r="CH161" s="177"/>
      <c r="CI161" s="177"/>
      <c r="CJ161" s="177"/>
      <c r="CK161" s="177"/>
      <c r="CL161" s="177"/>
      <c r="CM161" s="177"/>
      <c r="CN161" s="177"/>
      <c r="CO161" s="177"/>
      <c r="CP161" s="177"/>
      <c r="CQ161" s="177"/>
      <c r="CR161" s="177"/>
      <c r="CS161" s="177"/>
      <c r="CT161" s="177"/>
      <c r="CU161" s="177"/>
      <c r="CV161" s="177"/>
      <c r="CW161" s="177"/>
      <c r="CX161" s="177"/>
      <c r="CY161" s="177"/>
      <c r="CZ161" s="177"/>
    </row>
    <row r="162" spans="2:104">
      <c r="B162" s="214"/>
      <c r="C162" s="211"/>
      <c r="D162" s="211"/>
      <c r="E162" s="211"/>
      <c r="F162" s="211"/>
      <c r="G162" s="211"/>
      <c r="H162" s="211"/>
      <c r="I162" s="211"/>
      <c r="J162" s="211"/>
      <c r="K162" s="211"/>
      <c r="L162" s="211"/>
      <c r="M162" s="211"/>
      <c r="N162" s="211"/>
      <c r="O162" s="211"/>
      <c r="P162" s="211"/>
      <c r="Q162" s="211"/>
      <c r="R162" s="211"/>
      <c r="S162" s="211"/>
      <c r="T162" s="211"/>
      <c r="U162" s="211"/>
      <c r="V162" s="211"/>
      <c r="W162" s="211"/>
      <c r="X162" s="211"/>
      <c r="Y162" s="211"/>
      <c r="Z162" s="211"/>
      <c r="AA162" s="211"/>
      <c r="AB162" s="177"/>
      <c r="AE162" s="177"/>
      <c r="AF162" s="177"/>
      <c r="AG162" s="177"/>
      <c r="AH162" s="177"/>
      <c r="AI162" s="177"/>
      <c r="AJ162" s="177"/>
      <c r="AK162" s="177"/>
      <c r="AL162" s="177"/>
      <c r="AM162" s="177"/>
      <c r="AN162" s="177"/>
      <c r="AO162" s="177"/>
      <c r="AP162" s="177"/>
      <c r="AQ162" s="177"/>
      <c r="AR162" s="177"/>
      <c r="AS162" s="177"/>
      <c r="AT162" s="177"/>
      <c r="AU162" s="177"/>
      <c r="AV162" s="177"/>
      <c r="AW162" s="177"/>
      <c r="AX162" s="177"/>
      <c r="AY162" s="177"/>
      <c r="AZ162" s="177"/>
      <c r="BA162" s="177"/>
      <c r="BB162" s="177"/>
      <c r="BC162" s="177"/>
      <c r="BD162" s="177"/>
      <c r="BE162" s="177"/>
      <c r="BF162" s="177"/>
      <c r="BG162" s="177"/>
      <c r="BH162" s="177"/>
      <c r="BI162" s="177"/>
      <c r="BJ162" s="177"/>
      <c r="BK162" s="177"/>
      <c r="BL162" s="177"/>
      <c r="BM162" s="177"/>
      <c r="BN162" s="177"/>
      <c r="BO162" s="177"/>
      <c r="BP162" s="177"/>
      <c r="BQ162" s="177"/>
      <c r="BR162" s="177"/>
      <c r="BS162" s="177"/>
      <c r="BT162" s="177"/>
      <c r="BU162" s="177"/>
      <c r="BV162" s="177"/>
      <c r="BW162" s="177"/>
      <c r="BX162" s="177"/>
      <c r="BY162" s="177"/>
      <c r="BZ162" s="177"/>
      <c r="CA162" s="177"/>
      <c r="CB162" s="177"/>
      <c r="CC162" s="177"/>
      <c r="CD162" s="177"/>
      <c r="CE162" s="177"/>
      <c r="CF162" s="177"/>
      <c r="CG162" s="177"/>
      <c r="CH162" s="177"/>
      <c r="CI162" s="177"/>
      <c r="CJ162" s="177"/>
      <c r="CK162" s="177"/>
      <c r="CL162" s="177"/>
      <c r="CM162" s="177"/>
      <c r="CN162" s="177"/>
      <c r="CO162" s="177"/>
      <c r="CP162" s="177"/>
      <c r="CQ162" s="177"/>
      <c r="CR162" s="177"/>
      <c r="CS162" s="177"/>
      <c r="CT162" s="177"/>
      <c r="CU162" s="177"/>
      <c r="CV162" s="177"/>
      <c r="CW162" s="177"/>
      <c r="CX162" s="177"/>
      <c r="CY162" s="177"/>
      <c r="CZ162" s="177"/>
    </row>
    <row r="163" spans="2:104">
      <c r="B163" s="214"/>
      <c r="C163" s="211"/>
      <c r="D163" s="211"/>
      <c r="E163" s="211"/>
      <c r="F163" s="211"/>
      <c r="G163" s="211"/>
      <c r="H163" s="211"/>
      <c r="I163" s="211"/>
      <c r="J163" s="211"/>
      <c r="K163" s="211"/>
      <c r="L163" s="211"/>
      <c r="M163" s="211"/>
      <c r="N163" s="211"/>
      <c r="O163" s="211"/>
      <c r="P163" s="211"/>
      <c r="Q163" s="211"/>
      <c r="R163" s="211"/>
      <c r="S163" s="211"/>
      <c r="T163" s="211"/>
      <c r="U163" s="211"/>
      <c r="V163" s="211"/>
      <c r="W163" s="211"/>
      <c r="X163" s="211"/>
      <c r="Y163" s="211"/>
      <c r="Z163" s="211"/>
      <c r="AA163" s="211"/>
      <c r="AB163" s="177"/>
      <c r="AE163" s="177"/>
      <c r="AF163" s="177"/>
      <c r="AG163" s="177"/>
      <c r="AH163" s="177"/>
      <c r="AI163" s="177"/>
      <c r="AJ163" s="177"/>
      <c r="AK163" s="177"/>
      <c r="AL163" s="177"/>
      <c r="AM163" s="177"/>
      <c r="AN163" s="177"/>
      <c r="AO163" s="177"/>
      <c r="AP163" s="177"/>
      <c r="AQ163" s="177"/>
      <c r="AR163" s="177"/>
      <c r="AS163" s="177"/>
      <c r="AT163" s="177"/>
      <c r="AU163" s="177"/>
      <c r="AV163" s="177"/>
      <c r="AW163" s="177"/>
      <c r="AX163" s="177"/>
      <c r="AY163" s="177"/>
      <c r="AZ163" s="177"/>
      <c r="BA163" s="177"/>
      <c r="BB163" s="177"/>
      <c r="BC163" s="177"/>
      <c r="BD163" s="177"/>
      <c r="BE163" s="177"/>
      <c r="BF163" s="177"/>
      <c r="BG163" s="177"/>
      <c r="BH163" s="177"/>
      <c r="BI163" s="177"/>
      <c r="BJ163" s="177"/>
      <c r="BK163" s="177"/>
      <c r="BL163" s="177"/>
      <c r="BM163" s="177"/>
      <c r="BN163" s="177"/>
      <c r="BO163" s="177"/>
      <c r="BP163" s="177"/>
      <c r="BQ163" s="177"/>
      <c r="BR163" s="177"/>
      <c r="BS163" s="177"/>
      <c r="BT163" s="177"/>
      <c r="BU163" s="177"/>
      <c r="BV163" s="177"/>
      <c r="BW163" s="177"/>
      <c r="BX163" s="177"/>
      <c r="BY163" s="177"/>
      <c r="BZ163" s="177"/>
      <c r="CA163" s="177"/>
      <c r="CB163" s="177"/>
      <c r="CC163" s="177"/>
      <c r="CD163" s="177"/>
      <c r="CE163" s="177"/>
      <c r="CF163" s="177"/>
      <c r="CG163" s="177"/>
      <c r="CH163" s="177"/>
      <c r="CI163" s="177"/>
      <c r="CJ163" s="177"/>
      <c r="CK163" s="177"/>
      <c r="CL163" s="177"/>
      <c r="CM163" s="177"/>
      <c r="CN163" s="177"/>
      <c r="CO163" s="177"/>
      <c r="CP163" s="177"/>
      <c r="CQ163" s="177"/>
      <c r="CR163" s="177"/>
      <c r="CS163" s="177"/>
      <c r="CT163" s="177"/>
      <c r="CU163" s="177"/>
      <c r="CV163" s="177"/>
      <c r="CW163" s="177"/>
      <c r="CX163" s="177"/>
      <c r="CY163" s="177"/>
      <c r="CZ163" s="177"/>
    </row>
    <row r="164" spans="2:104">
      <c r="B164" s="214"/>
      <c r="C164" s="211"/>
      <c r="D164" s="211"/>
      <c r="E164" s="211"/>
      <c r="F164" s="211"/>
      <c r="G164" s="211"/>
      <c r="H164" s="211"/>
      <c r="I164" s="211"/>
      <c r="J164" s="211"/>
      <c r="K164" s="211"/>
      <c r="L164" s="211"/>
      <c r="M164" s="211"/>
      <c r="N164" s="211"/>
      <c r="O164" s="211"/>
      <c r="P164" s="211"/>
      <c r="Q164" s="211"/>
      <c r="R164" s="211"/>
      <c r="S164" s="211"/>
      <c r="T164" s="211"/>
      <c r="U164" s="211"/>
      <c r="V164" s="211"/>
      <c r="W164" s="211"/>
      <c r="X164" s="211"/>
      <c r="Y164" s="211"/>
      <c r="Z164" s="211"/>
      <c r="AA164" s="211"/>
      <c r="AB164" s="177"/>
      <c r="AE164" s="177"/>
      <c r="AF164" s="177"/>
      <c r="AG164" s="177"/>
      <c r="AH164" s="177"/>
      <c r="AI164" s="177"/>
      <c r="AJ164" s="177"/>
      <c r="AK164" s="177"/>
      <c r="AL164" s="177"/>
      <c r="AM164" s="177"/>
      <c r="AN164" s="177"/>
      <c r="AO164" s="177"/>
      <c r="AP164" s="177"/>
      <c r="AQ164" s="177"/>
      <c r="AR164" s="177"/>
      <c r="AS164" s="177"/>
      <c r="AT164" s="177"/>
      <c r="AU164" s="177"/>
      <c r="AV164" s="177"/>
      <c r="AW164" s="177"/>
      <c r="AX164" s="177"/>
      <c r="AY164" s="177"/>
      <c r="AZ164" s="177"/>
      <c r="BA164" s="177"/>
      <c r="BB164" s="177"/>
      <c r="BC164" s="177"/>
      <c r="BD164" s="177"/>
      <c r="BE164" s="177"/>
      <c r="BF164" s="177"/>
      <c r="BG164" s="177"/>
      <c r="BH164" s="177"/>
      <c r="BI164" s="177"/>
      <c r="BJ164" s="177"/>
      <c r="BK164" s="177"/>
      <c r="BL164" s="177"/>
      <c r="BM164" s="177"/>
      <c r="BN164" s="177"/>
      <c r="BO164" s="177"/>
      <c r="BP164" s="177"/>
      <c r="BQ164" s="177"/>
      <c r="BR164" s="177"/>
      <c r="BS164" s="177"/>
      <c r="BT164" s="177"/>
      <c r="BU164" s="177"/>
      <c r="BV164" s="177"/>
      <c r="BW164" s="177"/>
      <c r="BX164" s="177"/>
      <c r="BY164" s="177"/>
      <c r="BZ164" s="177"/>
      <c r="CA164" s="177"/>
      <c r="CB164" s="177"/>
      <c r="CC164" s="177"/>
      <c r="CD164" s="177"/>
      <c r="CE164" s="177"/>
      <c r="CF164" s="177"/>
      <c r="CG164" s="177"/>
      <c r="CH164" s="177"/>
      <c r="CI164" s="177"/>
      <c r="CJ164" s="177"/>
      <c r="CK164" s="177"/>
      <c r="CL164" s="177"/>
      <c r="CM164" s="177"/>
      <c r="CN164" s="177"/>
      <c r="CO164" s="177"/>
      <c r="CP164" s="177"/>
      <c r="CQ164" s="177"/>
      <c r="CR164" s="177"/>
      <c r="CS164" s="177"/>
      <c r="CT164" s="177"/>
      <c r="CU164" s="177"/>
      <c r="CV164" s="177"/>
      <c r="CW164" s="177"/>
      <c r="CX164" s="177"/>
      <c r="CY164" s="177"/>
      <c r="CZ164" s="177"/>
    </row>
    <row r="165" spans="2:104">
      <c r="B165" s="214"/>
      <c r="C165" s="211"/>
      <c r="D165" s="211"/>
      <c r="E165" s="211"/>
      <c r="F165" s="211"/>
      <c r="G165" s="211"/>
      <c r="H165" s="211"/>
      <c r="I165" s="211"/>
      <c r="J165" s="211"/>
      <c r="K165" s="211"/>
      <c r="L165" s="211"/>
      <c r="M165" s="211"/>
      <c r="N165" s="211"/>
      <c r="O165" s="211"/>
      <c r="P165" s="211"/>
      <c r="Q165" s="211"/>
      <c r="R165" s="211"/>
      <c r="S165" s="211"/>
      <c r="T165" s="211"/>
      <c r="U165" s="211"/>
      <c r="V165" s="211"/>
      <c r="W165" s="211"/>
      <c r="X165" s="211"/>
      <c r="Y165" s="211"/>
      <c r="Z165" s="211"/>
      <c r="AA165" s="211"/>
      <c r="AB165" s="177"/>
      <c r="AE165" s="177"/>
      <c r="AF165" s="177"/>
      <c r="AG165" s="177"/>
      <c r="AH165" s="177"/>
      <c r="AI165" s="177"/>
      <c r="AJ165" s="177"/>
      <c r="AK165" s="177"/>
      <c r="AL165" s="177"/>
      <c r="AM165" s="177"/>
      <c r="AN165" s="177"/>
      <c r="AO165" s="177"/>
      <c r="AP165" s="177"/>
      <c r="AQ165" s="177"/>
      <c r="AR165" s="177"/>
      <c r="AS165" s="177"/>
      <c r="AT165" s="177"/>
      <c r="AU165" s="177"/>
      <c r="AV165" s="177"/>
      <c r="AW165" s="177"/>
      <c r="AX165" s="177"/>
      <c r="AY165" s="177"/>
      <c r="AZ165" s="177"/>
      <c r="BA165" s="177"/>
      <c r="BB165" s="177"/>
      <c r="BC165" s="177"/>
      <c r="BD165" s="177"/>
      <c r="BE165" s="177"/>
      <c r="BF165" s="177"/>
      <c r="BG165" s="177"/>
      <c r="BH165" s="177"/>
      <c r="BI165" s="177"/>
      <c r="BJ165" s="177"/>
      <c r="BK165" s="177"/>
      <c r="BL165" s="177"/>
      <c r="BM165" s="177"/>
      <c r="BN165" s="177"/>
      <c r="BO165" s="177"/>
      <c r="BP165" s="177"/>
      <c r="BQ165" s="177"/>
      <c r="BR165" s="177"/>
      <c r="BS165" s="177"/>
      <c r="BT165" s="177"/>
      <c r="BU165" s="177"/>
      <c r="BV165" s="177"/>
      <c r="BW165" s="177"/>
      <c r="BX165" s="177"/>
      <c r="BY165" s="177"/>
      <c r="BZ165" s="177"/>
      <c r="CA165" s="177"/>
      <c r="CB165" s="177"/>
      <c r="CC165" s="177"/>
      <c r="CD165" s="177"/>
      <c r="CE165" s="177"/>
      <c r="CF165" s="177"/>
      <c r="CG165" s="177"/>
      <c r="CH165" s="177"/>
      <c r="CI165" s="177"/>
      <c r="CJ165" s="177"/>
      <c r="CK165" s="177"/>
      <c r="CL165" s="177"/>
      <c r="CM165" s="177"/>
      <c r="CN165" s="177"/>
      <c r="CO165" s="177"/>
      <c r="CP165" s="177"/>
      <c r="CQ165" s="177"/>
      <c r="CR165" s="177"/>
      <c r="CS165" s="177"/>
      <c r="CT165" s="177"/>
      <c r="CU165" s="177"/>
      <c r="CV165" s="177"/>
      <c r="CW165" s="177"/>
      <c r="CX165" s="177"/>
      <c r="CY165" s="177"/>
      <c r="CZ165" s="177"/>
    </row>
    <row r="166" spans="2:104">
      <c r="B166" s="214"/>
      <c r="C166" s="211"/>
      <c r="D166" s="211"/>
      <c r="E166" s="211"/>
      <c r="F166" s="211"/>
      <c r="G166" s="211"/>
      <c r="H166" s="211"/>
      <c r="I166" s="211"/>
      <c r="J166" s="211"/>
      <c r="K166" s="211"/>
      <c r="L166" s="211"/>
      <c r="M166" s="211"/>
      <c r="N166" s="211"/>
      <c r="O166" s="211"/>
      <c r="P166" s="211"/>
      <c r="Q166" s="211"/>
      <c r="R166" s="211"/>
      <c r="S166" s="211"/>
      <c r="T166" s="211"/>
      <c r="U166" s="211"/>
      <c r="V166" s="211"/>
      <c r="W166" s="211"/>
      <c r="X166" s="211"/>
      <c r="Y166" s="211"/>
      <c r="Z166" s="211"/>
      <c r="AA166" s="211"/>
      <c r="AB166" s="177"/>
      <c r="AE166" s="177"/>
      <c r="AF166" s="177"/>
      <c r="AG166" s="177"/>
      <c r="AH166" s="177"/>
      <c r="AI166" s="177"/>
      <c r="AJ166" s="177"/>
      <c r="AK166" s="177"/>
      <c r="AL166" s="177"/>
      <c r="AM166" s="177"/>
      <c r="AN166" s="177"/>
      <c r="AO166" s="177"/>
      <c r="AP166" s="177"/>
      <c r="AQ166" s="177"/>
      <c r="AR166" s="177"/>
      <c r="AS166" s="177"/>
      <c r="AT166" s="177"/>
      <c r="AU166" s="177"/>
      <c r="AV166" s="177"/>
      <c r="AW166" s="177"/>
      <c r="AX166" s="177"/>
      <c r="AY166" s="177"/>
      <c r="AZ166" s="177"/>
      <c r="BA166" s="177"/>
      <c r="BB166" s="177"/>
      <c r="BC166" s="177"/>
      <c r="BD166" s="177"/>
      <c r="BE166" s="177"/>
      <c r="BF166" s="177"/>
      <c r="BG166" s="177"/>
      <c r="BH166" s="177"/>
      <c r="BI166" s="177"/>
      <c r="BJ166" s="177"/>
      <c r="BK166" s="177"/>
      <c r="BL166" s="177"/>
      <c r="BM166" s="177"/>
      <c r="BN166" s="177"/>
      <c r="BO166" s="177"/>
      <c r="BP166" s="177"/>
      <c r="BQ166" s="177"/>
      <c r="BR166" s="177"/>
      <c r="BS166" s="177"/>
      <c r="BT166" s="177"/>
      <c r="BU166" s="177"/>
      <c r="BV166" s="177"/>
      <c r="BW166" s="177"/>
      <c r="BX166" s="177"/>
      <c r="BY166" s="177"/>
      <c r="BZ166" s="177"/>
      <c r="CA166" s="177"/>
      <c r="CB166" s="177"/>
      <c r="CC166" s="177"/>
      <c r="CD166" s="177"/>
      <c r="CE166" s="177"/>
      <c r="CF166" s="177"/>
      <c r="CG166" s="177"/>
      <c r="CH166" s="177"/>
      <c r="CI166" s="177"/>
      <c r="CJ166" s="177"/>
      <c r="CK166" s="177"/>
      <c r="CL166" s="177"/>
      <c r="CM166" s="177"/>
      <c r="CN166" s="177"/>
      <c r="CO166" s="177"/>
      <c r="CP166" s="177"/>
      <c r="CQ166" s="177"/>
      <c r="CR166" s="177"/>
      <c r="CS166" s="177"/>
      <c r="CT166" s="177"/>
      <c r="CU166" s="177"/>
      <c r="CV166" s="177"/>
      <c r="CW166" s="177"/>
      <c r="CX166" s="177"/>
      <c r="CY166" s="177"/>
      <c r="CZ166" s="177"/>
    </row>
    <row r="167" spans="2:104">
      <c r="B167" s="214"/>
      <c r="C167" s="211"/>
      <c r="D167" s="211"/>
      <c r="E167" s="211"/>
      <c r="F167" s="211"/>
      <c r="G167" s="211"/>
      <c r="H167" s="211"/>
      <c r="I167" s="211"/>
      <c r="J167" s="211"/>
      <c r="K167" s="211"/>
      <c r="L167" s="211"/>
      <c r="M167" s="211"/>
      <c r="N167" s="211"/>
      <c r="O167" s="211"/>
      <c r="P167" s="211"/>
      <c r="Q167" s="211"/>
      <c r="R167" s="211"/>
      <c r="S167" s="211"/>
      <c r="T167" s="211"/>
      <c r="U167" s="211"/>
      <c r="V167" s="211"/>
      <c r="W167" s="211"/>
      <c r="X167" s="211"/>
      <c r="Y167" s="211"/>
      <c r="Z167" s="211"/>
      <c r="AA167" s="211"/>
      <c r="AB167" s="177"/>
      <c r="AE167" s="177"/>
      <c r="AF167" s="177"/>
      <c r="AG167" s="177"/>
      <c r="AH167" s="177"/>
      <c r="AI167" s="177"/>
      <c r="AJ167" s="177"/>
      <c r="AK167" s="177"/>
      <c r="AL167" s="177"/>
      <c r="AM167" s="177"/>
      <c r="AN167" s="177"/>
      <c r="AO167" s="177"/>
      <c r="AP167" s="177"/>
      <c r="AQ167" s="177"/>
      <c r="AR167" s="177"/>
      <c r="AS167" s="177"/>
      <c r="AT167" s="177"/>
      <c r="AU167" s="177"/>
      <c r="AV167" s="177"/>
      <c r="AW167" s="177"/>
      <c r="AX167" s="177"/>
      <c r="AY167" s="177"/>
      <c r="AZ167" s="177"/>
      <c r="BA167" s="177"/>
      <c r="BB167" s="177"/>
      <c r="BC167" s="177"/>
      <c r="BD167" s="177"/>
      <c r="BE167" s="177"/>
      <c r="BF167" s="177"/>
      <c r="BG167" s="177"/>
      <c r="BH167" s="177"/>
      <c r="BI167" s="177"/>
      <c r="BJ167" s="177"/>
      <c r="BK167" s="177"/>
      <c r="BL167" s="177"/>
      <c r="BM167" s="177"/>
      <c r="BN167" s="177"/>
      <c r="BO167" s="177"/>
      <c r="BP167" s="177"/>
      <c r="BQ167" s="177"/>
      <c r="BR167" s="177"/>
      <c r="BS167" s="177"/>
      <c r="BT167" s="177"/>
      <c r="BU167" s="177"/>
      <c r="BV167" s="177"/>
      <c r="BW167" s="177"/>
      <c r="BX167" s="177"/>
      <c r="BY167" s="177"/>
      <c r="BZ167" s="177"/>
      <c r="CA167" s="177"/>
      <c r="CB167" s="177"/>
      <c r="CC167" s="177"/>
      <c r="CD167" s="177"/>
      <c r="CE167" s="177"/>
      <c r="CF167" s="177"/>
      <c r="CG167" s="177"/>
      <c r="CH167" s="177"/>
      <c r="CI167" s="177"/>
      <c r="CJ167" s="177"/>
      <c r="CK167" s="177"/>
      <c r="CL167" s="177"/>
      <c r="CM167" s="177"/>
      <c r="CN167" s="177"/>
      <c r="CO167" s="177"/>
      <c r="CP167" s="177"/>
      <c r="CQ167" s="177"/>
      <c r="CR167" s="177"/>
      <c r="CS167" s="177"/>
      <c r="CT167" s="177"/>
      <c r="CU167" s="177"/>
      <c r="CV167" s="177"/>
      <c r="CW167" s="177"/>
      <c r="CX167" s="177"/>
      <c r="CY167" s="177"/>
      <c r="CZ167" s="177"/>
    </row>
    <row r="168" spans="2:104">
      <c r="B168" s="214"/>
      <c r="C168" s="211"/>
      <c r="D168" s="211"/>
      <c r="E168" s="211"/>
      <c r="F168" s="211"/>
      <c r="G168" s="211"/>
      <c r="H168" s="211"/>
      <c r="I168" s="211"/>
      <c r="J168" s="211"/>
      <c r="K168" s="211"/>
      <c r="L168" s="211"/>
      <c r="M168" s="211"/>
      <c r="N168" s="211"/>
      <c r="O168" s="211"/>
      <c r="P168" s="211"/>
      <c r="Q168" s="211"/>
      <c r="R168" s="211"/>
      <c r="S168" s="211"/>
      <c r="T168" s="211"/>
      <c r="U168" s="211"/>
      <c r="V168" s="211"/>
      <c r="W168" s="211"/>
      <c r="X168" s="211"/>
      <c r="Y168" s="211"/>
      <c r="Z168" s="211"/>
      <c r="AA168" s="211"/>
      <c r="AB168" s="177"/>
      <c r="AE168" s="177"/>
      <c r="AF168" s="177"/>
      <c r="AG168" s="177"/>
      <c r="AH168" s="177"/>
      <c r="AI168" s="177"/>
      <c r="AJ168" s="177"/>
      <c r="AK168" s="177"/>
      <c r="AL168" s="177"/>
      <c r="AM168" s="177"/>
      <c r="AN168" s="177"/>
      <c r="AO168" s="177"/>
      <c r="AP168" s="177"/>
      <c r="AQ168" s="177"/>
      <c r="AR168" s="177"/>
      <c r="AS168" s="177"/>
      <c r="AT168" s="177"/>
      <c r="AU168" s="177"/>
      <c r="AV168" s="177"/>
      <c r="AW168" s="177"/>
      <c r="AX168" s="177"/>
      <c r="AY168" s="177"/>
      <c r="AZ168" s="177"/>
      <c r="BA168" s="177"/>
      <c r="BB168" s="177"/>
      <c r="BC168" s="177"/>
      <c r="BD168" s="177"/>
      <c r="BE168" s="177"/>
      <c r="BF168" s="177"/>
      <c r="BG168" s="177"/>
      <c r="BH168" s="177"/>
      <c r="BI168" s="177"/>
      <c r="BJ168" s="177"/>
      <c r="BK168" s="177"/>
      <c r="BL168" s="177"/>
      <c r="BM168" s="177"/>
      <c r="BN168" s="177"/>
      <c r="BO168" s="177"/>
      <c r="BP168" s="177"/>
      <c r="BQ168" s="177"/>
      <c r="BR168" s="177"/>
      <c r="BS168" s="177"/>
      <c r="BT168" s="177"/>
      <c r="BU168" s="177"/>
      <c r="BV168" s="177"/>
      <c r="BW168" s="177"/>
      <c r="BX168" s="177"/>
      <c r="BY168" s="177"/>
      <c r="BZ168" s="177"/>
      <c r="CA168" s="177"/>
      <c r="CB168" s="177"/>
      <c r="CC168" s="177"/>
      <c r="CD168" s="177"/>
      <c r="CE168" s="177"/>
      <c r="CF168" s="177"/>
      <c r="CG168" s="177"/>
      <c r="CH168" s="177"/>
      <c r="CI168" s="177"/>
      <c r="CJ168" s="177"/>
      <c r="CK168" s="177"/>
      <c r="CL168" s="177"/>
      <c r="CM168" s="177"/>
      <c r="CN168" s="177"/>
      <c r="CO168" s="177"/>
      <c r="CP168" s="177"/>
      <c r="CQ168" s="177"/>
      <c r="CR168" s="177"/>
      <c r="CS168" s="177"/>
      <c r="CT168" s="177"/>
      <c r="CU168" s="177"/>
      <c r="CV168" s="177"/>
      <c r="CW168" s="177"/>
      <c r="CX168" s="177"/>
      <c r="CY168" s="177"/>
      <c r="CZ168" s="177"/>
    </row>
    <row r="169" spans="2:104">
      <c r="B169" s="214"/>
      <c r="C169" s="211"/>
      <c r="D169" s="211"/>
      <c r="E169" s="211"/>
      <c r="F169" s="211"/>
      <c r="G169" s="211"/>
      <c r="H169" s="211"/>
      <c r="I169" s="211"/>
      <c r="J169" s="211"/>
      <c r="K169" s="211"/>
      <c r="L169" s="211"/>
      <c r="M169" s="211"/>
      <c r="N169" s="211"/>
      <c r="O169" s="211"/>
      <c r="P169" s="211"/>
      <c r="Q169" s="211"/>
      <c r="R169" s="211"/>
      <c r="S169" s="211"/>
      <c r="T169" s="211"/>
      <c r="U169" s="211"/>
      <c r="V169" s="211"/>
      <c r="W169" s="211"/>
      <c r="X169" s="211"/>
      <c r="Y169" s="211"/>
      <c r="Z169" s="211"/>
      <c r="AA169" s="211"/>
      <c r="AB169" s="177"/>
      <c r="AE169" s="177"/>
      <c r="AF169" s="177"/>
      <c r="AG169" s="177"/>
      <c r="AH169" s="177"/>
      <c r="AI169" s="177"/>
      <c r="AJ169" s="177"/>
      <c r="AK169" s="177"/>
      <c r="AL169" s="177"/>
      <c r="AM169" s="177"/>
      <c r="AN169" s="177"/>
      <c r="AO169" s="177"/>
      <c r="AP169" s="177"/>
      <c r="AQ169" s="177"/>
      <c r="AR169" s="177"/>
      <c r="AS169" s="177"/>
      <c r="AT169" s="177"/>
      <c r="AU169" s="177"/>
      <c r="AV169" s="177"/>
      <c r="AW169" s="177"/>
      <c r="AX169" s="177"/>
      <c r="AY169" s="177"/>
      <c r="AZ169" s="177"/>
      <c r="BA169" s="177"/>
      <c r="BB169" s="177"/>
      <c r="BC169" s="177"/>
      <c r="BD169" s="177"/>
      <c r="BE169" s="177"/>
      <c r="BF169" s="177"/>
      <c r="BG169" s="177"/>
      <c r="BH169" s="177"/>
      <c r="BI169" s="177"/>
      <c r="BJ169" s="177"/>
      <c r="BK169" s="177"/>
      <c r="BL169" s="177"/>
      <c r="BM169" s="177"/>
      <c r="BN169" s="177"/>
      <c r="BO169" s="177"/>
      <c r="BP169" s="177"/>
      <c r="BQ169" s="177"/>
      <c r="BR169" s="177"/>
      <c r="BS169" s="177"/>
      <c r="BT169" s="177"/>
      <c r="BU169" s="177"/>
      <c r="BV169" s="177"/>
      <c r="BW169" s="177"/>
      <c r="BX169" s="177"/>
      <c r="BY169" s="177"/>
      <c r="BZ169" s="177"/>
      <c r="CA169" s="177"/>
      <c r="CB169" s="177"/>
      <c r="CC169" s="177"/>
      <c r="CD169" s="177"/>
      <c r="CE169" s="177"/>
      <c r="CF169" s="177"/>
      <c r="CG169" s="177"/>
      <c r="CH169" s="177"/>
      <c r="CI169" s="177"/>
      <c r="CJ169" s="177"/>
      <c r="CK169" s="177"/>
      <c r="CL169" s="177"/>
      <c r="CM169" s="177"/>
      <c r="CN169" s="177"/>
      <c r="CO169" s="177"/>
      <c r="CP169" s="177"/>
      <c r="CQ169" s="177"/>
      <c r="CR169" s="177"/>
      <c r="CS169" s="177"/>
      <c r="CT169" s="177"/>
      <c r="CU169" s="177"/>
      <c r="CV169" s="177"/>
      <c r="CW169" s="177"/>
      <c r="CX169" s="177"/>
      <c r="CY169" s="177"/>
      <c r="CZ169" s="177"/>
    </row>
    <row r="170" spans="2:104">
      <c r="B170" s="214"/>
      <c r="C170" s="211"/>
      <c r="D170" s="211"/>
      <c r="E170" s="211"/>
      <c r="F170" s="211"/>
      <c r="G170" s="211"/>
      <c r="H170" s="211"/>
      <c r="I170" s="211"/>
      <c r="J170" s="211"/>
      <c r="K170" s="211"/>
      <c r="L170" s="211"/>
      <c r="M170" s="211"/>
      <c r="N170" s="211"/>
      <c r="O170" s="211"/>
      <c r="P170" s="211"/>
      <c r="Q170" s="211"/>
      <c r="R170" s="211"/>
      <c r="S170" s="211"/>
      <c r="T170" s="211"/>
      <c r="U170" s="211"/>
      <c r="V170" s="211"/>
      <c r="W170" s="211"/>
      <c r="X170" s="211"/>
      <c r="Y170" s="211"/>
      <c r="Z170" s="211"/>
      <c r="AA170" s="211"/>
      <c r="AB170" s="177"/>
      <c r="AE170" s="177"/>
      <c r="AF170" s="177"/>
      <c r="AG170" s="177"/>
      <c r="AH170" s="177"/>
      <c r="AI170" s="177"/>
      <c r="AJ170" s="177"/>
      <c r="AK170" s="177"/>
      <c r="AL170" s="177"/>
      <c r="AM170" s="177"/>
      <c r="AN170" s="177"/>
      <c r="AO170" s="177"/>
      <c r="AP170" s="177"/>
      <c r="AQ170" s="177"/>
      <c r="AR170" s="177"/>
      <c r="AS170" s="177"/>
      <c r="AT170" s="177"/>
      <c r="AU170" s="177"/>
      <c r="AV170" s="177"/>
      <c r="AW170" s="177"/>
      <c r="AX170" s="177"/>
      <c r="AY170" s="177"/>
      <c r="AZ170" s="177"/>
      <c r="BA170" s="177"/>
      <c r="BB170" s="177"/>
      <c r="BC170" s="177"/>
      <c r="BD170" s="177"/>
      <c r="BE170" s="177"/>
      <c r="BF170" s="177"/>
      <c r="BG170" s="177"/>
      <c r="BH170" s="177"/>
      <c r="BI170" s="177"/>
      <c r="BJ170" s="177"/>
      <c r="BK170" s="177"/>
      <c r="BL170" s="177"/>
      <c r="BM170" s="177"/>
      <c r="BN170" s="177"/>
      <c r="BO170" s="177"/>
      <c r="BP170" s="177"/>
      <c r="BQ170" s="177"/>
      <c r="BR170" s="177"/>
      <c r="BS170" s="177"/>
      <c r="BT170" s="177"/>
      <c r="BU170" s="177"/>
      <c r="BV170" s="177"/>
      <c r="BW170" s="177"/>
      <c r="BX170" s="177"/>
      <c r="BY170" s="177"/>
      <c r="BZ170" s="177"/>
      <c r="CA170" s="177"/>
      <c r="CB170" s="177"/>
      <c r="CC170" s="177"/>
      <c r="CD170" s="177"/>
      <c r="CE170" s="177"/>
      <c r="CF170" s="177"/>
      <c r="CG170" s="177"/>
      <c r="CH170" s="177"/>
      <c r="CI170" s="177"/>
      <c r="CJ170" s="177"/>
      <c r="CK170" s="177"/>
      <c r="CL170" s="177"/>
      <c r="CM170" s="177"/>
      <c r="CN170" s="177"/>
      <c r="CO170" s="177"/>
      <c r="CP170" s="177"/>
      <c r="CQ170" s="177"/>
      <c r="CR170" s="177"/>
      <c r="CS170" s="177"/>
      <c r="CT170" s="177"/>
      <c r="CU170" s="177"/>
      <c r="CV170" s="177"/>
      <c r="CW170" s="177"/>
      <c r="CX170" s="177"/>
      <c r="CY170" s="177"/>
      <c r="CZ170" s="177"/>
    </row>
    <row r="171" spans="2:104">
      <c r="B171" s="214"/>
      <c r="C171" s="211"/>
      <c r="D171" s="211"/>
      <c r="E171" s="211"/>
      <c r="F171" s="211"/>
      <c r="G171" s="211"/>
      <c r="H171" s="211"/>
      <c r="I171" s="211"/>
      <c r="J171" s="211"/>
      <c r="K171" s="211"/>
      <c r="L171" s="211"/>
      <c r="M171" s="211"/>
      <c r="N171" s="211"/>
      <c r="O171" s="211"/>
      <c r="P171" s="211"/>
      <c r="Q171" s="211"/>
      <c r="R171" s="211"/>
      <c r="S171" s="211"/>
      <c r="T171" s="211"/>
      <c r="U171" s="211"/>
      <c r="V171" s="211"/>
      <c r="W171" s="211"/>
      <c r="X171" s="211"/>
      <c r="Y171" s="211"/>
      <c r="Z171" s="211"/>
      <c r="AA171" s="211"/>
      <c r="AB171" s="177"/>
      <c r="AE171" s="177"/>
      <c r="AF171" s="177"/>
      <c r="AG171" s="177"/>
      <c r="AH171" s="177"/>
      <c r="AI171" s="177"/>
      <c r="AJ171" s="177"/>
      <c r="AK171" s="177"/>
      <c r="AL171" s="177"/>
      <c r="AM171" s="177"/>
      <c r="AN171" s="177"/>
      <c r="AO171" s="177"/>
      <c r="AP171" s="177"/>
      <c r="AQ171" s="177"/>
      <c r="AR171" s="177"/>
      <c r="AS171" s="177"/>
      <c r="AT171" s="177"/>
      <c r="AU171" s="177"/>
      <c r="AV171" s="177"/>
      <c r="AW171" s="177"/>
      <c r="AX171" s="177"/>
      <c r="AY171" s="177"/>
      <c r="AZ171" s="177"/>
      <c r="BA171" s="177"/>
      <c r="BB171" s="177"/>
      <c r="BC171" s="177"/>
      <c r="BD171" s="177"/>
      <c r="BE171" s="177"/>
      <c r="BF171" s="177"/>
      <c r="BG171" s="177"/>
      <c r="BH171" s="177"/>
      <c r="BI171" s="177"/>
      <c r="BJ171" s="177"/>
      <c r="BK171" s="177"/>
      <c r="BL171" s="177"/>
      <c r="BM171" s="177"/>
      <c r="BN171" s="177"/>
      <c r="BO171" s="177"/>
      <c r="BP171" s="177"/>
      <c r="BQ171" s="177"/>
      <c r="BR171" s="177"/>
      <c r="BS171" s="177"/>
      <c r="BT171" s="177"/>
      <c r="BU171" s="177"/>
      <c r="BV171" s="177"/>
      <c r="BW171" s="177"/>
      <c r="BX171" s="177"/>
      <c r="BY171" s="177"/>
      <c r="BZ171" s="177"/>
      <c r="CA171" s="177"/>
      <c r="CB171" s="177"/>
      <c r="CC171" s="177"/>
      <c r="CD171" s="177"/>
      <c r="CE171" s="177"/>
      <c r="CF171" s="177"/>
      <c r="CG171" s="177"/>
      <c r="CH171" s="177"/>
      <c r="CI171" s="177"/>
      <c r="CJ171" s="177"/>
      <c r="CK171" s="177"/>
      <c r="CL171" s="177"/>
      <c r="CM171" s="177"/>
      <c r="CN171" s="177"/>
      <c r="CO171" s="177"/>
      <c r="CP171" s="177"/>
      <c r="CQ171" s="177"/>
      <c r="CR171" s="177"/>
      <c r="CS171" s="177"/>
      <c r="CT171" s="177"/>
      <c r="CU171" s="177"/>
      <c r="CV171" s="177"/>
      <c r="CW171" s="177"/>
      <c r="CX171" s="177"/>
      <c r="CY171" s="177"/>
      <c r="CZ171" s="177"/>
    </row>
    <row r="172" spans="2:104">
      <c r="B172" s="214"/>
      <c r="C172" s="211"/>
      <c r="D172" s="211"/>
      <c r="E172" s="211"/>
      <c r="F172" s="211"/>
      <c r="G172" s="211"/>
      <c r="H172" s="211"/>
      <c r="I172" s="211"/>
      <c r="J172" s="211"/>
      <c r="K172" s="211"/>
      <c r="L172" s="211"/>
      <c r="M172" s="211"/>
      <c r="N172" s="211"/>
      <c r="O172" s="211"/>
      <c r="P172" s="211"/>
      <c r="Q172" s="211"/>
      <c r="R172" s="211"/>
      <c r="S172" s="211"/>
      <c r="T172" s="211"/>
      <c r="U172" s="211"/>
      <c r="V172" s="211"/>
      <c r="W172" s="211"/>
      <c r="X172" s="211"/>
      <c r="Y172" s="211"/>
      <c r="Z172" s="211"/>
      <c r="AA172" s="211"/>
      <c r="AB172" s="177"/>
      <c r="AE172" s="177"/>
      <c r="AF172" s="177"/>
      <c r="AG172" s="177"/>
      <c r="AH172" s="177"/>
      <c r="AI172" s="177"/>
      <c r="AJ172" s="177"/>
      <c r="AK172" s="177"/>
      <c r="AL172" s="177"/>
      <c r="AM172" s="177"/>
      <c r="AN172" s="177"/>
      <c r="AO172" s="177"/>
      <c r="AP172" s="177"/>
      <c r="AQ172" s="177"/>
      <c r="AR172" s="177"/>
      <c r="AS172" s="177"/>
      <c r="AT172" s="177"/>
      <c r="AU172" s="177"/>
      <c r="AV172" s="177"/>
      <c r="AW172" s="177"/>
      <c r="AX172" s="177"/>
      <c r="AY172" s="177"/>
      <c r="AZ172" s="177"/>
      <c r="BA172" s="177"/>
      <c r="BB172" s="177"/>
      <c r="BC172" s="177"/>
      <c r="BD172" s="177"/>
      <c r="BE172" s="177"/>
      <c r="BF172" s="177"/>
      <c r="BG172" s="177"/>
      <c r="BH172" s="177"/>
      <c r="BI172" s="177"/>
      <c r="BJ172" s="177"/>
      <c r="BK172" s="177"/>
      <c r="BL172" s="177"/>
      <c r="BM172" s="177"/>
      <c r="BN172" s="177"/>
      <c r="BO172" s="177"/>
      <c r="BP172" s="177"/>
      <c r="BQ172" s="177"/>
      <c r="BR172" s="177"/>
      <c r="BS172" s="177"/>
      <c r="BT172" s="177"/>
      <c r="BU172" s="177"/>
      <c r="BV172" s="177"/>
      <c r="BW172" s="177"/>
      <c r="BX172" s="177"/>
      <c r="BY172" s="177"/>
      <c r="BZ172" s="177"/>
      <c r="CA172" s="177"/>
      <c r="CB172" s="177"/>
      <c r="CC172" s="177"/>
      <c r="CD172" s="177"/>
      <c r="CE172" s="177"/>
      <c r="CF172" s="177"/>
      <c r="CG172" s="177"/>
      <c r="CH172" s="177"/>
      <c r="CI172" s="177"/>
      <c r="CJ172" s="177"/>
      <c r="CK172" s="177"/>
      <c r="CL172" s="177"/>
      <c r="CM172" s="177"/>
      <c r="CN172" s="177"/>
      <c r="CO172" s="177"/>
      <c r="CP172" s="177"/>
      <c r="CQ172" s="177"/>
      <c r="CR172" s="177"/>
      <c r="CS172" s="177"/>
      <c r="CT172" s="177"/>
      <c r="CU172" s="177"/>
      <c r="CV172" s="177"/>
      <c r="CW172" s="177"/>
      <c r="CX172" s="177"/>
      <c r="CY172" s="177"/>
      <c r="CZ172" s="177"/>
    </row>
    <row r="173" spans="2:104">
      <c r="B173" s="214"/>
      <c r="C173" s="211"/>
      <c r="D173" s="211"/>
      <c r="E173" s="211"/>
      <c r="F173" s="211"/>
      <c r="G173" s="211"/>
      <c r="H173" s="211"/>
      <c r="I173" s="211"/>
      <c r="J173" s="211"/>
      <c r="K173" s="211"/>
      <c r="L173" s="211"/>
      <c r="M173" s="211"/>
      <c r="N173" s="211"/>
      <c r="O173" s="211"/>
      <c r="P173" s="211"/>
      <c r="Q173" s="211"/>
      <c r="R173" s="211"/>
      <c r="S173" s="211"/>
      <c r="T173" s="211"/>
      <c r="U173" s="211"/>
      <c r="V173" s="211"/>
      <c r="W173" s="211"/>
      <c r="X173" s="211"/>
      <c r="Y173" s="211"/>
      <c r="Z173" s="211"/>
      <c r="AA173" s="211"/>
      <c r="AB173" s="177"/>
      <c r="AE173" s="177"/>
      <c r="AF173" s="177"/>
      <c r="AG173" s="177"/>
      <c r="AH173" s="177"/>
      <c r="AI173" s="177"/>
      <c r="AJ173" s="177"/>
      <c r="AK173" s="177"/>
      <c r="AL173" s="177"/>
      <c r="AM173" s="177"/>
      <c r="AN173" s="177"/>
      <c r="AO173" s="177"/>
      <c r="AP173" s="177"/>
      <c r="AQ173" s="177"/>
      <c r="AR173" s="177"/>
      <c r="AS173" s="177"/>
      <c r="AT173" s="177"/>
      <c r="AU173" s="177"/>
      <c r="AV173" s="177"/>
      <c r="AW173" s="177"/>
      <c r="AX173" s="177"/>
      <c r="AY173" s="177"/>
      <c r="AZ173" s="177"/>
      <c r="BA173" s="177"/>
      <c r="BB173" s="177"/>
      <c r="BC173" s="177"/>
      <c r="BD173" s="177"/>
      <c r="BE173" s="177"/>
      <c r="BF173" s="177"/>
      <c r="BG173" s="177"/>
      <c r="BH173" s="177"/>
      <c r="BI173" s="177"/>
      <c r="BJ173" s="177"/>
      <c r="BK173" s="177"/>
      <c r="BL173" s="177"/>
      <c r="BM173" s="177"/>
      <c r="BN173" s="177"/>
      <c r="BO173" s="177"/>
      <c r="BP173" s="177"/>
      <c r="BQ173" s="177"/>
      <c r="BR173" s="177"/>
      <c r="BS173" s="177"/>
      <c r="BT173" s="177"/>
      <c r="BU173" s="177"/>
      <c r="BV173" s="177"/>
      <c r="BW173" s="177"/>
      <c r="BX173" s="177"/>
      <c r="BY173" s="177"/>
      <c r="BZ173" s="177"/>
      <c r="CA173" s="177"/>
      <c r="CB173" s="177"/>
      <c r="CC173" s="177"/>
      <c r="CD173" s="177"/>
      <c r="CE173" s="177"/>
      <c r="CF173" s="177"/>
      <c r="CG173" s="177"/>
      <c r="CH173" s="177"/>
      <c r="CI173" s="177"/>
      <c r="CJ173" s="177"/>
      <c r="CK173" s="177"/>
      <c r="CL173" s="177"/>
      <c r="CM173" s="177"/>
      <c r="CN173" s="177"/>
      <c r="CO173" s="177"/>
      <c r="CP173" s="177"/>
      <c r="CQ173" s="177"/>
      <c r="CR173" s="177"/>
      <c r="CS173" s="177"/>
      <c r="CT173" s="177"/>
      <c r="CU173" s="177"/>
      <c r="CV173" s="177"/>
      <c r="CW173" s="177"/>
      <c r="CX173" s="177"/>
      <c r="CY173" s="177"/>
      <c r="CZ173" s="177"/>
    </row>
    <row r="174" spans="2:104">
      <c r="B174" s="214"/>
      <c r="C174" s="211"/>
      <c r="D174" s="211"/>
      <c r="E174" s="211"/>
      <c r="F174" s="211"/>
      <c r="G174" s="211"/>
      <c r="H174" s="211"/>
      <c r="I174" s="211"/>
      <c r="J174" s="211"/>
      <c r="K174" s="211"/>
      <c r="L174" s="211"/>
      <c r="M174" s="211"/>
      <c r="N174" s="211"/>
      <c r="O174" s="211"/>
      <c r="P174" s="211"/>
      <c r="Q174" s="211"/>
      <c r="R174" s="211"/>
      <c r="S174" s="211"/>
      <c r="T174" s="211"/>
      <c r="U174" s="211"/>
      <c r="V174" s="211"/>
      <c r="W174" s="211"/>
      <c r="X174" s="211"/>
      <c r="Y174" s="211"/>
      <c r="Z174" s="211"/>
      <c r="AA174" s="211"/>
      <c r="AB174" s="177"/>
      <c r="AE174" s="177"/>
      <c r="AF174" s="177"/>
      <c r="AG174" s="177"/>
      <c r="AH174" s="177"/>
      <c r="AI174" s="177"/>
      <c r="AJ174" s="177"/>
      <c r="AK174" s="177"/>
      <c r="AL174" s="177"/>
      <c r="AM174" s="177"/>
      <c r="AN174" s="177"/>
      <c r="AO174" s="177"/>
      <c r="AP174" s="177"/>
      <c r="AQ174" s="177"/>
      <c r="AR174" s="177"/>
      <c r="AS174" s="177"/>
      <c r="AT174" s="177"/>
      <c r="AU174" s="177"/>
      <c r="AV174" s="177"/>
      <c r="AW174" s="177"/>
      <c r="AX174" s="177"/>
      <c r="AY174" s="177"/>
      <c r="AZ174" s="177"/>
      <c r="BA174" s="177"/>
      <c r="BB174" s="177"/>
      <c r="BC174" s="177"/>
      <c r="BD174" s="177"/>
      <c r="BE174" s="177"/>
      <c r="BF174" s="177"/>
      <c r="BG174" s="177"/>
      <c r="BH174" s="177"/>
      <c r="BI174" s="177"/>
      <c r="BJ174" s="177"/>
      <c r="BK174" s="177"/>
      <c r="BL174" s="177"/>
      <c r="BM174" s="177"/>
      <c r="BN174" s="177"/>
      <c r="BO174" s="177"/>
      <c r="BP174" s="177"/>
      <c r="BQ174" s="177"/>
      <c r="BR174" s="177"/>
      <c r="BS174" s="177"/>
      <c r="BT174" s="177"/>
      <c r="BU174" s="177"/>
      <c r="BV174" s="177"/>
      <c r="BW174" s="177"/>
      <c r="BX174" s="177"/>
      <c r="BY174" s="177"/>
      <c r="BZ174" s="177"/>
      <c r="CA174" s="177"/>
      <c r="CB174" s="177"/>
      <c r="CC174" s="177"/>
      <c r="CD174" s="177"/>
      <c r="CE174" s="177"/>
      <c r="CF174" s="177"/>
      <c r="CG174" s="177"/>
      <c r="CH174" s="177"/>
      <c r="CI174" s="177"/>
      <c r="CJ174" s="177"/>
      <c r="CK174" s="177"/>
      <c r="CL174" s="177"/>
      <c r="CM174" s="177"/>
      <c r="CN174" s="177"/>
      <c r="CO174" s="177"/>
      <c r="CP174" s="177"/>
      <c r="CQ174" s="177"/>
      <c r="CR174" s="177"/>
      <c r="CS174" s="177"/>
      <c r="CT174" s="177"/>
      <c r="CU174" s="177"/>
      <c r="CV174" s="177"/>
      <c r="CW174" s="177"/>
      <c r="CX174" s="177"/>
      <c r="CY174" s="177"/>
      <c r="CZ174" s="177"/>
    </row>
    <row r="175" spans="2:104">
      <c r="B175" s="214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  <c r="P175" s="211"/>
      <c r="Q175" s="211"/>
      <c r="R175" s="211"/>
      <c r="S175" s="211"/>
      <c r="T175" s="211"/>
      <c r="U175" s="211"/>
      <c r="V175" s="211"/>
      <c r="W175" s="211"/>
      <c r="X175" s="211"/>
      <c r="Y175" s="211"/>
      <c r="Z175" s="211"/>
      <c r="AA175" s="211"/>
      <c r="AB175" s="177"/>
      <c r="AE175" s="177"/>
      <c r="AF175" s="177"/>
      <c r="AG175" s="177"/>
      <c r="AH175" s="177"/>
      <c r="AI175" s="177"/>
      <c r="AJ175" s="177"/>
      <c r="AK175" s="177"/>
      <c r="AL175" s="177"/>
      <c r="AM175" s="177"/>
      <c r="AN175" s="177"/>
      <c r="AO175" s="177"/>
      <c r="AP175" s="177"/>
      <c r="AQ175" s="177"/>
      <c r="AR175" s="177"/>
      <c r="AS175" s="177"/>
      <c r="AT175" s="177"/>
      <c r="AU175" s="177"/>
      <c r="AV175" s="177"/>
      <c r="AW175" s="177"/>
      <c r="AX175" s="177"/>
      <c r="AY175" s="177"/>
      <c r="AZ175" s="177"/>
      <c r="BA175" s="177"/>
      <c r="BB175" s="177"/>
      <c r="BC175" s="177"/>
      <c r="BD175" s="177"/>
      <c r="BE175" s="177"/>
      <c r="BF175" s="177"/>
      <c r="BG175" s="177"/>
      <c r="BH175" s="177"/>
      <c r="BI175" s="177"/>
      <c r="BJ175" s="177"/>
      <c r="BK175" s="177"/>
      <c r="BL175" s="177"/>
      <c r="BM175" s="177"/>
      <c r="BN175" s="177"/>
      <c r="BO175" s="177"/>
      <c r="BP175" s="177"/>
      <c r="BQ175" s="177"/>
      <c r="BR175" s="177"/>
      <c r="BS175" s="177"/>
      <c r="BT175" s="177"/>
      <c r="BU175" s="177"/>
      <c r="BV175" s="177"/>
      <c r="BW175" s="177"/>
      <c r="BX175" s="177"/>
      <c r="BY175" s="177"/>
      <c r="BZ175" s="177"/>
      <c r="CA175" s="177"/>
      <c r="CB175" s="177"/>
      <c r="CC175" s="177"/>
      <c r="CD175" s="177"/>
      <c r="CE175" s="177"/>
      <c r="CF175" s="177"/>
      <c r="CG175" s="177"/>
      <c r="CH175" s="177"/>
      <c r="CI175" s="177"/>
      <c r="CJ175" s="177"/>
      <c r="CK175" s="177"/>
      <c r="CL175" s="177"/>
      <c r="CM175" s="177"/>
      <c r="CN175" s="177"/>
      <c r="CO175" s="177"/>
      <c r="CP175" s="177"/>
      <c r="CQ175" s="177"/>
      <c r="CR175" s="177"/>
      <c r="CS175" s="177"/>
      <c r="CT175" s="177"/>
      <c r="CU175" s="177"/>
      <c r="CV175" s="177"/>
      <c r="CW175" s="177"/>
      <c r="CX175" s="177"/>
      <c r="CY175" s="177"/>
      <c r="CZ175" s="177"/>
    </row>
    <row r="176" spans="2:104">
      <c r="B176" s="214"/>
      <c r="C176" s="211"/>
      <c r="D176" s="211"/>
      <c r="E176" s="211"/>
      <c r="F176" s="211"/>
      <c r="G176" s="211"/>
      <c r="H176" s="211"/>
      <c r="I176" s="211"/>
      <c r="J176" s="211"/>
      <c r="K176" s="211"/>
      <c r="L176" s="211"/>
      <c r="M176" s="211"/>
      <c r="N176" s="211"/>
      <c r="O176" s="211"/>
      <c r="P176" s="211"/>
      <c r="Q176" s="211"/>
      <c r="R176" s="211"/>
      <c r="S176" s="211"/>
      <c r="T176" s="211"/>
      <c r="U176" s="211"/>
      <c r="V176" s="211"/>
      <c r="W176" s="211"/>
      <c r="X176" s="211"/>
      <c r="Y176" s="211"/>
      <c r="Z176" s="211"/>
      <c r="AA176" s="211"/>
      <c r="AB176" s="177"/>
      <c r="AE176" s="177"/>
      <c r="AF176" s="177"/>
      <c r="AG176" s="177"/>
      <c r="AH176" s="177"/>
      <c r="AI176" s="177"/>
      <c r="AJ176" s="177"/>
      <c r="AK176" s="177"/>
      <c r="AL176" s="177"/>
      <c r="AM176" s="177"/>
      <c r="AN176" s="177"/>
      <c r="AO176" s="177"/>
      <c r="AP176" s="177"/>
      <c r="AQ176" s="177"/>
      <c r="AR176" s="177"/>
      <c r="AS176" s="177"/>
      <c r="AT176" s="177"/>
      <c r="AU176" s="177"/>
      <c r="AV176" s="177"/>
      <c r="AW176" s="177"/>
      <c r="AX176" s="177"/>
      <c r="AY176" s="177"/>
      <c r="AZ176" s="177"/>
      <c r="BA176" s="177"/>
      <c r="BB176" s="177"/>
      <c r="BC176" s="177"/>
      <c r="BD176" s="177"/>
      <c r="BE176" s="177"/>
      <c r="BF176" s="177"/>
      <c r="BG176" s="177"/>
      <c r="BH176" s="177"/>
      <c r="BI176" s="177"/>
      <c r="BJ176" s="177"/>
      <c r="BK176" s="177"/>
      <c r="BL176" s="177"/>
      <c r="BM176" s="177"/>
      <c r="BN176" s="177"/>
      <c r="BO176" s="177"/>
      <c r="BP176" s="177"/>
      <c r="BQ176" s="177"/>
      <c r="BR176" s="177"/>
      <c r="BS176" s="177"/>
      <c r="BT176" s="177"/>
      <c r="BU176" s="177"/>
      <c r="BV176" s="177"/>
      <c r="BW176" s="177"/>
      <c r="BX176" s="177"/>
      <c r="BY176" s="177"/>
      <c r="BZ176" s="177"/>
      <c r="CA176" s="177"/>
      <c r="CB176" s="177"/>
      <c r="CC176" s="177"/>
      <c r="CD176" s="177"/>
      <c r="CE176" s="177"/>
      <c r="CF176" s="177"/>
      <c r="CG176" s="177"/>
      <c r="CH176" s="177"/>
      <c r="CI176" s="177"/>
      <c r="CJ176" s="177"/>
      <c r="CK176" s="177"/>
      <c r="CL176" s="177"/>
      <c r="CM176" s="177"/>
      <c r="CN176" s="177"/>
      <c r="CO176" s="177"/>
      <c r="CP176" s="177"/>
      <c r="CQ176" s="177"/>
      <c r="CR176" s="177"/>
      <c r="CS176" s="177"/>
      <c r="CT176" s="177"/>
      <c r="CU176" s="177"/>
      <c r="CV176" s="177"/>
      <c r="CW176" s="177"/>
      <c r="CX176" s="177"/>
      <c r="CY176" s="177"/>
      <c r="CZ176" s="177"/>
    </row>
    <row r="177" spans="2:104">
      <c r="B177" s="214"/>
      <c r="C177" s="211"/>
      <c r="D177" s="211"/>
      <c r="E177" s="211"/>
      <c r="F177" s="211"/>
      <c r="G177" s="211"/>
      <c r="H177" s="211"/>
      <c r="I177" s="211"/>
      <c r="J177" s="211"/>
      <c r="K177" s="211"/>
      <c r="L177" s="211"/>
      <c r="M177" s="211"/>
      <c r="N177" s="211"/>
      <c r="O177" s="211"/>
      <c r="P177" s="211"/>
      <c r="Q177" s="211"/>
      <c r="R177" s="211"/>
      <c r="S177" s="211"/>
      <c r="T177" s="211"/>
      <c r="U177" s="211"/>
      <c r="V177" s="211"/>
      <c r="W177" s="211"/>
      <c r="X177" s="211"/>
      <c r="Y177" s="211"/>
      <c r="Z177" s="211"/>
      <c r="AA177" s="211"/>
      <c r="AB177" s="177"/>
      <c r="AE177" s="177"/>
      <c r="AF177" s="177"/>
      <c r="AG177" s="177"/>
      <c r="AH177" s="177"/>
      <c r="AI177" s="177"/>
      <c r="AJ177" s="177"/>
      <c r="AK177" s="177"/>
      <c r="AL177" s="177"/>
      <c r="AM177" s="177"/>
      <c r="AN177" s="177"/>
      <c r="AO177" s="177"/>
      <c r="AP177" s="177"/>
      <c r="AQ177" s="177"/>
      <c r="AR177" s="177"/>
      <c r="AS177" s="177"/>
      <c r="AT177" s="177"/>
      <c r="AU177" s="177"/>
      <c r="AV177" s="177"/>
      <c r="AW177" s="177"/>
      <c r="AX177" s="177"/>
      <c r="AY177" s="177"/>
      <c r="AZ177" s="177"/>
      <c r="BA177" s="177"/>
      <c r="BB177" s="177"/>
      <c r="BC177" s="177"/>
      <c r="BD177" s="177"/>
      <c r="BE177" s="177"/>
      <c r="BF177" s="177"/>
      <c r="BG177" s="177"/>
      <c r="BH177" s="177"/>
      <c r="BI177" s="177"/>
      <c r="BJ177" s="177"/>
      <c r="BK177" s="177"/>
      <c r="BL177" s="177"/>
      <c r="BM177" s="177"/>
      <c r="BN177" s="177"/>
      <c r="BO177" s="177"/>
      <c r="BP177" s="177"/>
      <c r="BQ177" s="177"/>
      <c r="BR177" s="177"/>
      <c r="BS177" s="177"/>
      <c r="BT177" s="177"/>
      <c r="BU177" s="177"/>
      <c r="BV177" s="177"/>
      <c r="BW177" s="177"/>
      <c r="BX177" s="177"/>
      <c r="BY177" s="177"/>
      <c r="BZ177" s="177"/>
      <c r="CA177" s="177"/>
      <c r="CB177" s="177"/>
      <c r="CC177" s="177"/>
      <c r="CD177" s="177"/>
      <c r="CE177" s="177"/>
      <c r="CF177" s="177"/>
      <c r="CG177" s="177"/>
      <c r="CH177" s="177"/>
      <c r="CI177" s="177"/>
      <c r="CJ177" s="177"/>
      <c r="CK177" s="177"/>
      <c r="CL177" s="177"/>
      <c r="CM177" s="177"/>
      <c r="CN177" s="177"/>
      <c r="CO177" s="177"/>
      <c r="CP177" s="177"/>
      <c r="CQ177" s="177"/>
      <c r="CR177" s="177"/>
      <c r="CS177" s="177"/>
      <c r="CT177" s="177"/>
      <c r="CU177" s="177"/>
      <c r="CV177" s="177"/>
      <c r="CW177" s="177"/>
      <c r="CX177" s="177"/>
      <c r="CY177" s="177"/>
      <c r="CZ177" s="177"/>
    </row>
    <row r="178" spans="2:104">
      <c r="B178" s="214"/>
      <c r="C178" s="211"/>
      <c r="D178" s="211"/>
      <c r="E178" s="211"/>
      <c r="F178" s="211"/>
      <c r="G178" s="211"/>
      <c r="H178" s="211"/>
      <c r="I178" s="211"/>
      <c r="J178" s="211"/>
      <c r="K178" s="211"/>
      <c r="L178" s="211"/>
      <c r="M178" s="211"/>
      <c r="N178" s="211"/>
      <c r="O178" s="211"/>
      <c r="P178" s="211"/>
      <c r="Q178" s="211"/>
      <c r="R178" s="211"/>
      <c r="S178" s="211"/>
      <c r="T178" s="211"/>
      <c r="U178" s="211"/>
      <c r="V178" s="211"/>
      <c r="W178" s="211"/>
      <c r="X178" s="211"/>
      <c r="Y178" s="211"/>
      <c r="Z178" s="211"/>
      <c r="AA178" s="211"/>
      <c r="AB178" s="177"/>
      <c r="AE178" s="177"/>
      <c r="AF178" s="177"/>
      <c r="AG178" s="177"/>
      <c r="AH178" s="177"/>
      <c r="AI178" s="177"/>
      <c r="AJ178" s="177"/>
      <c r="AK178" s="177"/>
      <c r="AL178" s="177"/>
      <c r="AM178" s="177"/>
      <c r="AN178" s="177"/>
      <c r="AO178" s="177"/>
      <c r="AP178" s="177"/>
      <c r="AQ178" s="177"/>
      <c r="AR178" s="177"/>
      <c r="AS178" s="177"/>
      <c r="AT178" s="177"/>
      <c r="AU178" s="177"/>
      <c r="AV178" s="177"/>
      <c r="AW178" s="177"/>
      <c r="AX178" s="177"/>
      <c r="AY178" s="177"/>
      <c r="AZ178" s="177"/>
      <c r="BA178" s="177"/>
      <c r="BB178" s="177"/>
      <c r="BC178" s="177"/>
      <c r="BD178" s="177"/>
      <c r="BE178" s="177"/>
      <c r="BF178" s="177"/>
      <c r="BG178" s="177"/>
      <c r="BH178" s="177"/>
      <c r="BI178" s="177"/>
      <c r="BJ178" s="177"/>
      <c r="BK178" s="177"/>
      <c r="BL178" s="177"/>
      <c r="BM178" s="177"/>
      <c r="BN178" s="177"/>
      <c r="BO178" s="177"/>
      <c r="BP178" s="177"/>
      <c r="BQ178" s="177"/>
      <c r="BR178" s="177"/>
      <c r="BS178" s="177"/>
      <c r="BT178" s="177"/>
      <c r="BU178" s="177"/>
      <c r="BV178" s="177"/>
      <c r="BW178" s="177"/>
      <c r="BX178" s="177"/>
      <c r="BY178" s="177"/>
      <c r="BZ178" s="177"/>
      <c r="CA178" s="177"/>
      <c r="CB178" s="177"/>
      <c r="CC178" s="177"/>
      <c r="CD178" s="177"/>
      <c r="CE178" s="177"/>
      <c r="CF178" s="177"/>
      <c r="CG178" s="177"/>
      <c r="CH178" s="177"/>
      <c r="CI178" s="177"/>
      <c r="CJ178" s="177"/>
      <c r="CK178" s="177"/>
      <c r="CL178" s="177"/>
      <c r="CM178" s="177"/>
      <c r="CN178" s="177"/>
      <c r="CO178" s="177"/>
      <c r="CP178" s="177"/>
      <c r="CQ178" s="177"/>
      <c r="CR178" s="177"/>
      <c r="CS178" s="177"/>
      <c r="CT178" s="177"/>
      <c r="CU178" s="177"/>
      <c r="CV178" s="177"/>
      <c r="CW178" s="177"/>
      <c r="CX178" s="177"/>
      <c r="CY178" s="177"/>
      <c r="CZ178" s="177"/>
    </row>
    <row r="179" spans="2:104">
      <c r="B179" s="214"/>
      <c r="C179" s="211"/>
      <c r="D179" s="211"/>
      <c r="E179" s="211"/>
      <c r="F179" s="211"/>
      <c r="G179" s="211"/>
      <c r="H179" s="211"/>
      <c r="I179" s="211"/>
      <c r="J179" s="211"/>
      <c r="K179" s="211"/>
      <c r="L179" s="211"/>
      <c r="M179" s="211"/>
      <c r="N179" s="211"/>
      <c r="O179" s="211"/>
      <c r="P179" s="211"/>
      <c r="Q179" s="211"/>
      <c r="R179" s="211"/>
      <c r="S179" s="211"/>
      <c r="T179" s="211"/>
      <c r="U179" s="211"/>
      <c r="V179" s="211"/>
      <c r="W179" s="211"/>
      <c r="X179" s="211"/>
      <c r="Y179" s="211"/>
      <c r="Z179" s="211"/>
      <c r="AA179" s="211"/>
      <c r="AB179" s="177"/>
      <c r="AE179" s="177"/>
      <c r="AF179" s="177"/>
      <c r="AG179" s="177"/>
      <c r="AH179" s="177"/>
      <c r="AI179" s="177"/>
      <c r="AJ179" s="177"/>
      <c r="AK179" s="177"/>
      <c r="AL179" s="177"/>
      <c r="AM179" s="177"/>
      <c r="AN179" s="177"/>
      <c r="AO179" s="177"/>
      <c r="AP179" s="177"/>
      <c r="AQ179" s="177"/>
      <c r="AR179" s="177"/>
      <c r="AS179" s="177"/>
      <c r="AT179" s="177"/>
      <c r="AU179" s="177"/>
      <c r="AV179" s="177"/>
      <c r="AW179" s="177"/>
      <c r="AX179" s="177"/>
      <c r="AY179" s="177"/>
      <c r="AZ179" s="177"/>
      <c r="BA179" s="177"/>
      <c r="BB179" s="177"/>
      <c r="BC179" s="177"/>
      <c r="BD179" s="177"/>
      <c r="BE179" s="177"/>
      <c r="BF179" s="177"/>
      <c r="BG179" s="177"/>
      <c r="BH179" s="177"/>
      <c r="BI179" s="177"/>
      <c r="BJ179" s="177"/>
      <c r="BK179" s="177"/>
      <c r="BL179" s="177"/>
      <c r="BM179" s="177"/>
      <c r="BN179" s="177"/>
      <c r="BO179" s="177"/>
      <c r="BP179" s="177"/>
      <c r="BQ179" s="177"/>
      <c r="BR179" s="177"/>
      <c r="BS179" s="177"/>
      <c r="BT179" s="177"/>
      <c r="BU179" s="177"/>
      <c r="BV179" s="177"/>
      <c r="BW179" s="177"/>
      <c r="BX179" s="177"/>
      <c r="BY179" s="177"/>
      <c r="BZ179" s="177"/>
      <c r="CA179" s="177"/>
      <c r="CB179" s="177"/>
      <c r="CC179" s="177"/>
      <c r="CD179" s="177"/>
      <c r="CE179" s="177"/>
      <c r="CF179" s="177"/>
      <c r="CG179" s="177"/>
      <c r="CH179" s="177"/>
      <c r="CI179" s="177"/>
      <c r="CJ179" s="177"/>
      <c r="CK179" s="177"/>
      <c r="CL179" s="177"/>
      <c r="CM179" s="177"/>
      <c r="CN179" s="177"/>
      <c r="CO179" s="177"/>
      <c r="CP179" s="177"/>
      <c r="CQ179" s="177"/>
      <c r="CR179" s="177"/>
      <c r="CS179" s="177"/>
      <c r="CT179" s="177"/>
      <c r="CU179" s="177"/>
      <c r="CV179" s="177"/>
      <c r="CW179" s="177"/>
      <c r="CX179" s="177"/>
      <c r="CY179" s="177"/>
      <c r="CZ179" s="177"/>
    </row>
    <row r="180" spans="2:104">
      <c r="B180" s="214"/>
      <c r="C180" s="211"/>
      <c r="D180" s="211"/>
      <c r="E180" s="211"/>
      <c r="F180" s="211"/>
      <c r="G180" s="211"/>
      <c r="H180" s="211"/>
      <c r="I180" s="211"/>
      <c r="J180" s="211"/>
      <c r="K180" s="211"/>
      <c r="L180" s="211"/>
      <c r="M180" s="211"/>
      <c r="N180" s="211"/>
      <c r="O180" s="211"/>
      <c r="P180" s="211"/>
      <c r="Q180" s="211"/>
      <c r="R180" s="211"/>
      <c r="S180" s="211"/>
      <c r="T180" s="211"/>
      <c r="U180" s="211"/>
      <c r="V180" s="211"/>
      <c r="W180" s="211"/>
      <c r="X180" s="211"/>
      <c r="Y180" s="211"/>
      <c r="Z180" s="211"/>
      <c r="AA180" s="211"/>
      <c r="AB180" s="177"/>
      <c r="AE180" s="177"/>
      <c r="AF180" s="177"/>
      <c r="AG180" s="177"/>
      <c r="AH180" s="177"/>
      <c r="AI180" s="177"/>
      <c r="AJ180" s="177"/>
      <c r="AK180" s="177"/>
      <c r="AL180" s="177"/>
      <c r="AM180" s="177"/>
      <c r="AN180" s="177"/>
      <c r="AO180" s="177"/>
      <c r="AP180" s="177"/>
      <c r="AQ180" s="177"/>
      <c r="AR180" s="177"/>
      <c r="AS180" s="177"/>
      <c r="AT180" s="177"/>
      <c r="AU180" s="177"/>
      <c r="AV180" s="177"/>
      <c r="AW180" s="177"/>
      <c r="AX180" s="177"/>
      <c r="AY180" s="177"/>
      <c r="AZ180" s="177"/>
      <c r="BA180" s="177"/>
      <c r="BB180" s="177"/>
      <c r="BC180" s="177"/>
      <c r="BD180" s="177"/>
      <c r="BE180" s="177"/>
      <c r="BF180" s="177"/>
      <c r="BG180" s="177"/>
      <c r="BH180" s="177"/>
      <c r="BI180" s="177"/>
      <c r="BJ180" s="177"/>
      <c r="BK180" s="177"/>
      <c r="BL180" s="177"/>
      <c r="BM180" s="177"/>
      <c r="BN180" s="177"/>
      <c r="BO180" s="177"/>
      <c r="BP180" s="177"/>
      <c r="BQ180" s="177"/>
      <c r="BR180" s="177"/>
      <c r="BS180" s="177"/>
      <c r="BT180" s="177"/>
      <c r="BU180" s="177"/>
      <c r="BV180" s="177"/>
      <c r="BW180" s="177"/>
      <c r="BX180" s="177"/>
      <c r="BY180" s="177"/>
      <c r="BZ180" s="177"/>
      <c r="CA180" s="177"/>
      <c r="CB180" s="177"/>
      <c r="CC180" s="177"/>
      <c r="CD180" s="177"/>
      <c r="CE180" s="177"/>
      <c r="CF180" s="177"/>
      <c r="CG180" s="177"/>
      <c r="CH180" s="177"/>
      <c r="CI180" s="177"/>
      <c r="CJ180" s="177"/>
      <c r="CK180" s="177"/>
      <c r="CL180" s="177"/>
      <c r="CM180" s="177"/>
      <c r="CN180" s="177"/>
      <c r="CO180" s="177"/>
      <c r="CP180" s="177"/>
      <c r="CQ180" s="177"/>
      <c r="CR180" s="177"/>
      <c r="CS180" s="177"/>
      <c r="CT180" s="177"/>
      <c r="CU180" s="177"/>
      <c r="CV180" s="177"/>
      <c r="CW180" s="177"/>
      <c r="CX180" s="177"/>
      <c r="CY180" s="177"/>
      <c r="CZ180" s="177"/>
    </row>
    <row r="181" spans="2:104">
      <c r="B181" s="214"/>
      <c r="C181" s="211"/>
      <c r="D181" s="211"/>
      <c r="E181" s="211"/>
      <c r="F181" s="211"/>
      <c r="G181" s="211"/>
      <c r="H181" s="211"/>
      <c r="I181" s="211"/>
      <c r="J181" s="211"/>
      <c r="K181" s="211"/>
      <c r="L181" s="211"/>
      <c r="M181" s="211"/>
      <c r="N181" s="211"/>
      <c r="O181" s="211"/>
      <c r="P181" s="211"/>
      <c r="Q181" s="211"/>
      <c r="R181" s="211"/>
      <c r="S181" s="211"/>
      <c r="T181" s="211"/>
      <c r="U181" s="211"/>
      <c r="V181" s="211"/>
      <c r="W181" s="211"/>
      <c r="X181" s="211"/>
      <c r="Y181" s="211"/>
      <c r="Z181" s="211"/>
      <c r="AA181" s="211"/>
      <c r="AB181" s="177"/>
      <c r="AE181" s="177"/>
      <c r="AF181" s="177"/>
      <c r="AG181" s="177"/>
      <c r="AH181" s="177"/>
      <c r="AI181" s="177"/>
      <c r="AJ181" s="177"/>
      <c r="AK181" s="177"/>
      <c r="AL181" s="177"/>
      <c r="AM181" s="177"/>
      <c r="AN181" s="177"/>
      <c r="AO181" s="177"/>
      <c r="AP181" s="177"/>
      <c r="AQ181" s="177"/>
      <c r="AR181" s="177"/>
      <c r="AS181" s="177"/>
      <c r="AT181" s="177"/>
      <c r="AU181" s="177"/>
      <c r="AV181" s="177"/>
      <c r="AW181" s="177"/>
      <c r="AX181" s="177"/>
      <c r="AY181" s="177"/>
      <c r="AZ181" s="177"/>
      <c r="BA181" s="177"/>
      <c r="BB181" s="177"/>
      <c r="BC181" s="177"/>
      <c r="BD181" s="177"/>
      <c r="BE181" s="177"/>
      <c r="BF181" s="177"/>
      <c r="BG181" s="177"/>
      <c r="BH181" s="177"/>
      <c r="BI181" s="177"/>
      <c r="BJ181" s="177"/>
      <c r="BK181" s="177"/>
      <c r="BL181" s="177"/>
      <c r="BM181" s="177"/>
      <c r="BN181" s="177"/>
      <c r="BO181" s="177"/>
      <c r="BP181" s="177"/>
      <c r="BQ181" s="177"/>
      <c r="BR181" s="177"/>
      <c r="BS181" s="177"/>
      <c r="BT181" s="177"/>
      <c r="BU181" s="177"/>
      <c r="BV181" s="177"/>
      <c r="BW181" s="177"/>
      <c r="BX181" s="177"/>
      <c r="BY181" s="177"/>
      <c r="BZ181" s="177"/>
      <c r="CA181" s="177"/>
      <c r="CB181" s="177"/>
      <c r="CC181" s="177"/>
      <c r="CD181" s="177"/>
      <c r="CE181" s="177"/>
      <c r="CF181" s="177"/>
      <c r="CG181" s="177"/>
      <c r="CH181" s="177"/>
      <c r="CI181" s="177"/>
      <c r="CJ181" s="177"/>
      <c r="CK181" s="177"/>
      <c r="CL181" s="177"/>
      <c r="CM181" s="177"/>
      <c r="CN181" s="177"/>
      <c r="CO181" s="177"/>
      <c r="CP181" s="177"/>
      <c r="CQ181" s="177"/>
      <c r="CR181" s="177"/>
      <c r="CS181" s="177"/>
      <c r="CT181" s="177"/>
      <c r="CU181" s="177"/>
      <c r="CV181" s="177"/>
      <c r="CW181" s="177"/>
      <c r="CX181" s="177"/>
      <c r="CY181" s="177"/>
      <c r="CZ181" s="177"/>
    </row>
    <row r="182" spans="2:104">
      <c r="B182" s="214"/>
      <c r="C182" s="211"/>
      <c r="D182" s="211"/>
      <c r="E182" s="211"/>
      <c r="F182" s="211"/>
      <c r="G182" s="211"/>
      <c r="H182" s="211"/>
      <c r="I182" s="211"/>
      <c r="J182" s="211"/>
      <c r="K182" s="211"/>
      <c r="L182" s="211"/>
      <c r="M182" s="211"/>
      <c r="N182" s="211"/>
      <c r="O182" s="211"/>
      <c r="P182" s="211"/>
      <c r="Q182" s="211"/>
      <c r="R182" s="211"/>
      <c r="S182" s="211"/>
      <c r="T182" s="211"/>
      <c r="U182" s="211"/>
      <c r="V182" s="211"/>
      <c r="W182" s="211"/>
      <c r="X182" s="211"/>
      <c r="Y182" s="211"/>
      <c r="Z182" s="211"/>
      <c r="AA182" s="211"/>
      <c r="AB182" s="177"/>
      <c r="AE182" s="177"/>
      <c r="AF182" s="177"/>
      <c r="AG182" s="177"/>
      <c r="AH182" s="177"/>
      <c r="AI182" s="177"/>
      <c r="AJ182" s="177"/>
      <c r="AK182" s="177"/>
      <c r="AL182" s="177"/>
      <c r="AM182" s="177"/>
      <c r="AN182" s="177"/>
      <c r="AO182" s="177"/>
      <c r="AP182" s="177"/>
      <c r="AQ182" s="177"/>
      <c r="AR182" s="177"/>
      <c r="AS182" s="177"/>
      <c r="AT182" s="177"/>
      <c r="AU182" s="177"/>
      <c r="AV182" s="177"/>
      <c r="AW182" s="177"/>
      <c r="AX182" s="177"/>
      <c r="AY182" s="177"/>
      <c r="AZ182" s="177"/>
      <c r="BA182" s="177"/>
      <c r="BB182" s="177"/>
      <c r="BC182" s="177"/>
      <c r="BD182" s="177"/>
      <c r="BE182" s="177"/>
      <c r="BF182" s="177"/>
      <c r="BG182" s="177"/>
      <c r="BH182" s="177"/>
      <c r="BI182" s="177"/>
      <c r="BJ182" s="177"/>
      <c r="BK182" s="177"/>
      <c r="BL182" s="177"/>
      <c r="BM182" s="177"/>
      <c r="BN182" s="177"/>
      <c r="BO182" s="177"/>
      <c r="BP182" s="177"/>
      <c r="BQ182" s="177"/>
      <c r="BR182" s="177"/>
      <c r="BS182" s="177"/>
      <c r="BT182" s="177"/>
      <c r="BU182" s="177"/>
      <c r="BV182" s="177"/>
      <c r="BW182" s="177"/>
      <c r="BX182" s="177"/>
      <c r="BY182" s="177"/>
      <c r="BZ182" s="177"/>
      <c r="CA182" s="177"/>
      <c r="CB182" s="177"/>
      <c r="CC182" s="177"/>
      <c r="CD182" s="177"/>
      <c r="CE182" s="177"/>
      <c r="CF182" s="177"/>
      <c r="CG182" s="177"/>
      <c r="CH182" s="177"/>
      <c r="CI182" s="177"/>
      <c r="CJ182" s="177"/>
      <c r="CK182" s="177"/>
      <c r="CL182" s="177"/>
      <c r="CM182" s="177"/>
      <c r="CN182" s="177"/>
      <c r="CO182" s="177"/>
      <c r="CP182" s="177"/>
      <c r="CQ182" s="177"/>
      <c r="CR182" s="177"/>
      <c r="CS182" s="177"/>
      <c r="CT182" s="177"/>
      <c r="CU182" s="177"/>
      <c r="CV182" s="177"/>
      <c r="CW182" s="177"/>
      <c r="CX182" s="177"/>
      <c r="CY182" s="177"/>
      <c r="CZ182" s="177"/>
    </row>
    <row r="183" spans="2:104">
      <c r="B183" s="214"/>
      <c r="C183" s="211"/>
      <c r="D183" s="211"/>
      <c r="E183" s="211"/>
      <c r="F183" s="211"/>
      <c r="G183" s="211"/>
      <c r="H183" s="211"/>
      <c r="I183" s="211"/>
      <c r="J183" s="211"/>
      <c r="K183" s="211"/>
      <c r="L183" s="211"/>
      <c r="M183" s="211"/>
      <c r="N183" s="211"/>
      <c r="O183" s="211"/>
      <c r="P183" s="211"/>
      <c r="Q183" s="211"/>
      <c r="R183" s="211"/>
      <c r="S183" s="211"/>
      <c r="T183" s="211"/>
      <c r="U183" s="211"/>
      <c r="V183" s="211"/>
      <c r="W183" s="211"/>
      <c r="X183" s="211"/>
      <c r="Y183" s="211"/>
      <c r="Z183" s="211"/>
      <c r="AA183" s="211"/>
      <c r="AB183" s="177"/>
      <c r="AE183" s="177"/>
      <c r="AF183" s="177"/>
      <c r="AG183" s="177"/>
      <c r="AH183" s="177"/>
      <c r="AI183" s="177"/>
      <c r="AJ183" s="177"/>
      <c r="AK183" s="177"/>
      <c r="AL183" s="177"/>
      <c r="AM183" s="177"/>
      <c r="AN183" s="177"/>
      <c r="AO183" s="177"/>
      <c r="AP183" s="177"/>
      <c r="AQ183" s="177"/>
      <c r="AR183" s="177"/>
      <c r="AS183" s="177"/>
      <c r="AT183" s="177"/>
      <c r="AU183" s="177"/>
      <c r="AV183" s="177"/>
      <c r="AW183" s="177"/>
      <c r="AX183" s="177"/>
      <c r="AY183" s="177"/>
      <c r="AZ183" s="177"/>
      <c r="BA183" s="177"/>
      <c r="BB183" s="177"/>
      <c r="BC183" s="177"/>
      <c r="BD183" s="177"/>
      <c r="BE183" s="177"/>
      <c r="BF183" s="177"/>
      <c r="BG183" s="177"/>
      <c r="BH183" s="177"/>
      <c r="BI183" s="177"/>
      <c r="BJ183" s="177"/>
      <c r="BK183" s="177"/>
      <c r="BL183" s="177"/>
      <c r="BM183" s="177"/>
      <c r="BN183" s="177"/>
      <c r="BO183" s="177"/>
      <c r="BP183" s="177"/>
      <c r="BQ183" s="177"/>
      <c r="BR183" s="177"/>
      <c r="BS183" s="177"/>
      <c r="BT183" s="177"/>
      <c r="BU183" s="177"/>
      <c r="BV183" s="177"/>
      <c r="BW183" s="177"/>
      <c r="BX183" s="177"/>
      <c r="BY183" s="177"/>
      <c r="BZ183" s="177"/>
      <c r="CA183" s="177"/>
      <c r="CB183" s="177"/>
      <c r="CC183" s="177"/>
      <c r="CD183" s="177"/>
      <c r="CE183" s="177"/>
      <c r="CF183" s="177"/>
      <c r="CG183" s="177"/>
      <c r="CH183" s="177"/>
      <c r="CI183" s="177"/>
      <c r="CJ183" s="177"/>
      <c r="CK183" s="177"/>
      <c r="CL183" s="177"/>
      <c r="CM183" s="177"/>
      <c r="CN183" s="177"/>
      <c r="CO183" s="177"/>
      <c r="CP183" s="177"/>
      <c r="CQ183" s="177"/>
      <c r="CR183" s="177"/>
      <c r="CS183" s="177"/>
      <c r="CT183" s="177"/>
      <c r="CU183" s="177"/>
      <c r="CV183" s="177"/>
      <c r="CW183" s="177"/>
      <c r="CX183" s="177"/>
      <c r="CY183" s="177"/>
      <c r="CZ183" s="177"/>
    </row>
    <row r="184" spans="2:104">
      <c r="B184" s="214"/>
      <c r="C184" s="211"/>
      <c r="D184" s="211"/>
      <c r="E184" s="211"/>
      <c r="F184" s="211"/>
      <c r="G184" s="211"/>
      <c r="H184" s="211"/>
      <c r="I184" s="211"/>
      <c r="J184" s="211"/>
      <c r="K184" s="211"/>
      <c r="L184" s="211"/>
      <c r="M184" s="211"/>
      <c r="N184" s="211"/>
      <c r="O184" s="211"/>
      <c r="P184" s="211"/>
      <c r="Q184" s="211"/>
      <c r="R184" s="211"/>
      <c r="S184" s="211"/>
      <c r="T184" s="211"/>
      <c r="U184" s="211"/>
      <c r="V184" s="211"/>
      <c r="W184" s="211"/>
      <c r="X184" s="211"/>
      <c r="Y184" s="211"/>
      <c r="Z184" s="211"/>
      <c r="AA184" s="211"/>
      <c r="AB184" s="177"/>
      <c r="AE184" s="177"/>
      <c r="AF184" s="177"/>
      <c r="AG184" s="177"/>
      <c r="AH184" s="177"/>
      <c r="AI184" s="177"/>
      <c r="AJ184" s="177"/>
      <c r="AK184" s="177"/>
      <c r="AL184" s="177"/>
      <c r="AM184" s="177"/>
      <c r="AN184" s="177"/>
      <c r="AO184" s="177"/>
      <c r="AP184" s="177"/>
      <c r="AQ184" s="177"/>
      <c r="AR184" s="177"/>
      <c r="AS184" s="177"/>
      <c r="AT184" s="177"/>
      <c r="AU184" s="177"/>
      <c r="AV184" s="177"/>
      <c r="AW184" s="177"/>
      <c r="AX184" s="177"/>
      <c r="AY184" s="177"/>
      <c r="AZ184" s="177"/>
      <c r="BA184" s="177"/>
      <c r="BB184" s="177"/>
      <c r="BC184" s="177"/>
      <c r="BD184" s="177"/>
      <c r="BE184" s="177"/>
      <c r="BF184" s="177"/>
      <c r="BG184" s="177"/>
      <c r="BH184" s="177"/>
      <c r="BI184" s="177"/>
      <c r="BJ184" s="177"/>
      <c r="BK184" s="177"/>
      <c r="BL184" s="177"/>
      <c r="BM184" s="177"/>
      <c r="BN184" s="177"/>
      <c r="BO184" s="177"/>
      <c r="BP184" s="177"/>
      <c r="BQ184" s="177"/>
      <c r="BR184" s="177"/>
      <c r="BS184" s="177"/>
      <c r="BT184" s="177"/>
      <c r="BU184" s="177"/>
      <c r="BV184" s="177"/>
      <c r="BW184" s="177"/>
      <c r="BX184" s="177"/>
      <c r="BY184" s="177"/>
      <c r="BZ184" s="177"/>
      <c r="CA184" s="177"/>
      <c r="CB184" s="177"/>
      <c r="CC184" s="177"/>
      <c r="CD184" s="177"/>
      <c r="CE184" s="177"/>
      <c r="CF184" s="177"/>
      <c r="CG184" s="177"/>
      <c r="CH184" s="177"/>
      <c r="CI184" s="177"/>
      <c r="CJ184" s="177"/>
      <c r="CK184" s="177"/>
      <c r="CL184" s="177"/>
      <c r="CM184" s="177"/>
      <c r="CN184" s="177"/>
      <c r="CO184" s="177"/>
      <c r="CP184" s="177"/>
      <c r="CQ184" s="177"/>
      <c r="CR184" s="177"/>
      <c r="CS184" s="177"/>
      <c r="CT184" s="177"/>
      <c r="CU184" s="177"/>
      <c r="CV184" s="177"/>
      <c r="CW184" s="177"/>
      <c r="CX184" s="177"/>
      <c r="CY184" s="177"/>
      <c r="CZ184" s="177"/>
    </row>
    <row r="185" spans="2:104">
      <c r="B185" s="214"/>
      <c r="C185" s="211"/>
      <c r="D185" s="211"/>
      <c r="E185" s="211"/>
      <c r="F185" s="211"/>
      <c r="G185" s="211"/>
      <c r="H185" s="211"/>
      <c r="I185" s="211"/>
      <c r="J185" s="211"/>
      <c r="K185" s="211"/>
      <c r="L185" s="211"/>
      <c r="M185" s="211"/>
      <c r="N185" s="211"/>
      <c r="O185" s="211"/>
      <c r="P185" s="211"/>
      <c r="Q185" s="211"/>
      <c r="R185" s="211"/>
      <c r="S185" s="211"/>
      <c r="T185" s="211"/>
      <c r="U185" s="211"/>
      <c r="V185" s="211"/>
      <c r="W185" s="211"/>
      <c r="X185" s="211"/>
      <c r="Y185" s="211"/>
      <c r="Z185" s="211"/>
      <c r="AA185" s="211"/>
      <c r="AB185" s="177"/>
      <c r="AE185" s="177"/>
      <c r="AF185" s="177"/>
      <c r="AG185" s="177"/>
      <c r="AH185" s="177"/>
      <c r="AI185" s="177"/>
      <c r="AJ185" s="177"/>
      <c r="AK185" s="177"/>
      <c r="AL185" s="177"/>
      <c r="AM185" s="177"/>
      <c r="AN185" s="177"/>
      <c r="AO185" s="177"/>
      <c r="AP185" s="177"/>
      <c r="AQ185" s="177"/>
      <c r="AR185" s="177"/>
      <c r="AS185" s="177"/>
      <c r="AT185" s="177"/>
      <c r="AU185" s="177"/>
      <c r="AV185" s="177"/>
      <c r="AW185" s="177"/>
      <c r="AX185" s="177"/>
      <c r="AY185" s="177"/>
      <c r="AZ185" s="177"/>
      <c r="BA185" s="177"/>
      <c r="BB185" s="177"/>
      <c r="BC185" s="177"/>
      <c r="BD185" s="177"/>
      <c r="BE185" s="177"/>
      <c r="BF185" s="177"/>
      <c r="BG185" s="177"/>
      <c r="BH185" s="177"/>
      <c r="BI185" s="177"/>
      <c r="BJ185" s="177"/>
      <c r="BK185" s="177"/>
      <c r="BL185" s="177"/>
      <c r="BM185" s="177"/>
      <c r="BN185" s="177"/>
      <c r="BO185" s="177"/>
      <c r="BP185" s="177"/>
      <c r="BQ185" s="177"/>
      <c r="BR185" s="177"/>
      <c r="BS185" s="177"/>
      <c r="BT185" s="177"/>
      <c r="BU185" s="177"/>
      <c r="BV185" s="177"/>
      <c r="BW185" s="177"/>
      <c r="BX185" s="177"/>
      <c r="BY185" s="177"/>
      <c r="BZ185" s="177"/>
      <c r="CA185" s="177"/>
      <c r="CB185" s="177"/>
      <c r="CC185" s="177"/>
      <c r="CD185" s="177"/>
      <c r="CE185" s="177"/>
      <c r="CF185" s="177"/>
      <c r="CG185" s="177"/>
      <c r="CH185" s="177"/>
      <c r="CI185" s="177"/>
      <c r="CJ185" s="177"/>
      <c r="CK185" s="177"/>
      <c r="CL185" s="177"/>
      <c r="CM185" s="177"/>
      <c r="CN185" s="177"/>
      <c r="CO185" s="177"/>
      <c r="CP185" s="177"/>
      <c r="CQ185" s="177"/>
      <c r="CR185" s="177"/>
      <c r="CS185" s="177"/>
      <c r="CT185" s="177"/>
      <c r="CU185" s="177"/>
      <c r="CV185" s="177"/>
      <c r="CW185" s="177"/>
      <c r="CX185" s="177"/>
      <c r="CY185" s="177"/>
      <c r="CZ185" s="177"/>
    </row>
    <row r="186" spans="2:104">
      <c r="B186" s="214"/>
      <c r="C186" s="211"/>
      <c r="D186" s="211"/>
      <c r="E186" s="211"/>
      <c r="F186" s="211"/>
      <c r="G186" s="211"/>
      <c r="H186" s="211"/>
      <c r="I186" s="211"/>
      <c r="J186" s="211"/>
      <c r="K186" s="211"/>
      <c r="L186" s="211"/>
      <c r="M186" s="211"/>
      <c r="N186" s="211"/>
      <c r="O186" s="211"/>
      <c r="P186" s="211"/>
      <c r="Q186" s="211"/>
      <c r="R186" s="211"/>
      <c r="S186" s="211"/>
      <c r="T186" s="211"/>
      <c r="U186" s="211"/>
      <c r="V186" s="211"/>
      <c r="W186" s="211"/>
      <c r="X186" s="211"/>
      <c r="Y186" s="211"/>
      <c r="Z186" s="211"/>
      <c r="AA186" s="211"/>
      <c r="AB186" s="177"/>
      <c r="AE186" s="177"/>
      <c r="AF186" s="177"/>
      <c r="AG186" s="177"/>
      <c r="AH186" s="177"/>
      <c r="AI186" s="177"/>
      <c r="AJ186" s="177"/>
      <c r="AK186" s="177"/>
      <c r="AL186" s="177"/>
      <c r="AM186" s="177"/>
      <c r="AN186" s="177"/>
      <c r="AO186" s="177"/>
      <c r="AP186" s="177"/>
      <c r="AQ186" s="177"/>
      <c r="AR186" s="177"/>
      <c r="AS186" s="177"/>
      <c r="AT186" s="177"/>
      <c r="AU186" s="177"/>
      <c r="AV186" s="177"/>
      <c r="AW186" s="177"/>
      <c r="AX186" s="177"/>
      <c r="AY186" s="177"/>
      <c r="AZ186" s="177"/>
      <c r="BA186" s="177"/>
      <c r="BB186" s="177"/>
      <c r="BC186" s="177"/>
      <c r="BD186" s="177"/>
      <c r="BE186" s="177"/>
      <c r="BF186" s="177"/>
      <c r="BG186" s="177"/>
      <c r="BH186" s="177"/>
      <c r="BI186" s="177"/>
      <c r="BJ186" s="177"/>
      <c r="BK186" s="177"/>
      <c r="BL186" s="177"/>
      <c r="BM186" s="177"/>
      <c r="BN186" s="177"/>
      <c r="BO186" s="177"/>
      <c r="BP186" s="177"/>
      <c r="BQ186" s="177"/>
      <c r="BR186" s="177"/>
      <c r="BS186" s="177"/>
      <c r="BT186" s="177"/>
      <c r="BU186" s="177"/>
      <c r="BV186" s="177"/>
      <c r="BW186" s="177"/>
      <c r="BX186" s="177"/>
      <c r="BY186" s="177"/>
      <c r="BZ186" s="177"/>
      <c r="CA186" s="177"/>
      <c r="CB186" s="177"/>
      <c r="CC186" s="177"/>
      <c r="CD186" s="177"/>
      <c r="CE186" s="177"/>
      <c r="CF186" s="177"/>
      <c r="CG186" s="177"/>
      <c r="CH186" s="177"/>
      <c r="CI186" s="177"/>
      <c r="CJ186" s="177"/>
      <c r="CK186" s="177"/>
      <c r="CL186" s="177"/>
      <c r="CM186" s="177"/>
      <c r="CN186" s="177"/>
      <c r="CO186" s="177"/>
      <c r="CP186" s="177"/>
      <c r="CQ186" s="177"/>
      <c r="CR186" s="177"/>
      <c r="CS186" s="177"/>
      <c r="CT186" s="177"/>
      <c r="CU186" s="177"/>
      <c r="CV186" s="177"/>
      <c r="CW186" s="177"/>
      <c r="CX186" s="177"/>
      <c r="CY186" s="177"/>
      <c r="CZ186" s="177"/>
    </row>
    <row r="187" spans="2:104">
      <c r="B187" s="214"/>
      <c r="C187" s="211"/>
      <c r="D187" s="211"/>
      <c r="E187" s="211"/>
      <c r="F187" s="211"/>
      <c r="G187" s="211"/>
      <c r="H187" s="211"/>
      <c r="I187" s="211"/>
      <c r="J187" s="211"/>
      <c r="K187" s="211"/>
      <c r="L187" s="211"/>
      <c r="M187" s="211"/>
      <c r="N187" s="211"/>
      <c r="O187" s="211"/>
      <c r="P187" s="211"/>
      <c r="Q187" s="211"/>
      <c r="R187" s="211"/>
      <c r="S187" s="211"/>
      <c r="T187" s="211"/>
      <c r="U187" s="211"/>
      <c r="V187" s="211"/>
      <c r="W187" s="211"/>
      <c r="X187" s="211"/>
      <c r="Y187" s="211"/>
      <c r="Z187" s="211"/>
      <c r="AA187" s="211"/>
      <c r="AB187" s="177"/>
      <c r="AE187" s="177"/>
      <c r="AF187" s="177"/>
      <c r="AG187" s="177"/>
      <c r="AH187" s="177"/>
      <c r="AI187" s="177"/>
      <c r="AJ187" s="177"/>
      <c r="AK187" s="177"/>
      <c r="AL187" s="177"/>
      <c r="AM187" s="177"/>
      <c r="AN187" s="177"/>
      <c r="AO187" s="177"/>
      <c r="AP187" s="177"/>
      <c r="AQ187" s="177"/>
      <c r="AR187" s="177"/>
      <c r="AS187" s="177"/>
      <c r="AT187" s="177"/>
      <c r="AU187" s="177"/>
      <c r="AV187" s="177"/>
      <c r="AW187" s="177"/>
      <c r="AX187" s="177"/>
      <c r="AY187" s="177"/>
      <c r="AZ187" s="177"/>
      <c r="BA187" s="177"/>
      <c r="BB187" s="177"/>
      <c r="BC187" s="177"/>
      <c r="BD187" s="177"/>
      <c r="BE187" s="177"/>
      <c r="BF187" s="177"/>
      <c r="BG187" s="177"/>
      <c r="BH187" s="177"/>
      <c r="BI187" s="177"/>
      <c r="BJ187" s="177"/>
      <c r="BK187" s="177"/>
      <c r="BL187" s="177"/>
      <c r="BM187" s="177"/>
      <c r="BN187" s="177"/>
      <c r="BO187" s="177"/>
      <c r="BP187" s="177"/>
      <c r="BQ187" s="177"/>
      <c r="BR187" s="177"/>
      <c r="BS187" s="177"/>
      <c r="BT187" s="177"/>
      <c r="BU187" s="177"/>
      <c r="BV187" s="177"/>
      <c r="BW187" s="177"/>
      <c r="BX187" s="177"/>
      <c r="BY187" s="177"/>
      <c r="BZ187" s="177"/>
      <c r="CA187" s="177"/>
      <c r="CB187" s="177"/>
      <c r="CC187" s="177"/>
      <c r="CD187" s="177"/>
      <c r="CE187" s="177"/>
      <c r="CF187" s="177"/>
      <c r="CG187" s="177"/>
      <c r="CH187" s="177"/>
      <c r="CI187" s="177"/>
      <c r="CJ187" s="177"/>
      <c r="CK187" s="177"/>
      <c r="CL187" s="177"/>
      <c r="CM187" s="177"/>
      <c r="CN187" s="177"/>
      <c r="CO187" s="177"/>
      <c r="CP187" s="177"/>
      <c r="CQ187" s="177"/>
      <c r="CR187" s="177"/>
      <c r="CS187" s="177"/>
      <c r="CT187" s="177"/>
      <c r="CU187" s="177"/>
      <c r="CV187" s="177"/>
      <c r="CW187" s="177"/>
      <c r="CX187" s="177"/>
      <c r="CY187" s="177"/>
      <c r="CZ187" s="177"/>
    </row>
    <row r="188" spans="2:104">
      <c r="B188" s="214"/>
      <c r="C188" s="211"/>
      <c r="D188" s="211"/>
      <c r="E188" s="211"/>
      <c r="F188" s="211"/>
      <c r="G188" s="211"/>
      <c r="H188" s="211"/>
      <c r="I188" s="211"/>
      <c r="J188" s="211"/>
      <c r="K188" s="211"/>
      <c r="L188" s="211"/>
      <c r="M188" s="211"/>
      <c r="N188" s="211"/>
      <c r="O188" s="211"/>
      <c r="P188" s="211"/>
      <c r="Q188" s="211"/>
      <c r="R188" s="211"/>
      <c r="S188" s="211"/>
      <c r="T188" s="211"/>
      <c r="U188" s="211"/>
      <c r="V188" s="211"/>
      <c r="W188" s="211"/>
      <c r="X188" s="211"/>
      <c r="Y188" s="211"/>
      <c r="Z188" s="211"/>
      <c r="AA188" s="211"/>
      <c r="AB188" s="177"/>
      <c r="AE188" s="177"/>
      <c r="AF188" s="177"/>
      <c r="AG188" s="177"/>
      <c r="AH188" s="177"/>
      <c r="AI188" s="177"/>
      <c r="AJ188" s="177"/>
      <c r="AK188" s="177"/>
      <c r="AL188" s="177"/>
      <c r="AM188" s="177"/>
      <c r="AN188" s="177"/>
      <c r="AO188" s="177"/>
      <c r="AP188" s="177"/>
      <c r="AQ188" s="177"/>
      <c r="AR188" s="177"/>
      <c r="AS188" s="177"/>
      <c r="AT188" s="177"/>
      <c r="AU188" s="177"/>
      <c r="AV188" s="177"/>
      <c r="AW188" s="177"/>
      <c r="AX188" s="177"/>
      <c r="AY188" s="177"/>
      <c r="AZ188" s="177"/>
      <c r="BA188" s="177"/>
      <c r="BB188" s="177"/>
      <c r="BC188" s="177"/>
      <c r="BD188" s="177"/>
      <c r="BE188" s="177"/>
      <c r="BF188" s="177"/>
      <c r="BG188" s="177"/>
      <c r="BH188" s="177"/>
      <c r="BI188" s="177"/>
      <c r="BJ188" s="177"/>
      <c r="BK188" s="177"/>
      <c r="BL188" s="177"/>
      <c r="BM188" s="177"/>
      <c r="BN188" s="177"/>
      <c r="BO188" s="177"/>
      <c r="BP188" s="177"/>
      <c r="BQ188" s="177"/>
      <c r="BR188" s="177"/>
      <c r="BS188" s="177"/>
      <c r="BT188" s="177"/>
      <c r="BU188" s="177"/>
      <c r="BV188" s="177"/>
      <c r="BW188" s="177"/>
      <c r="BX188" s="177"/>
      <c r="BY188" s="177"/>
      <c r="BZ188" s="177"/>
      <c r="CA188" s="177"/>
      <c r="CB188" s="177"/>
      <c r="CC188" s="177"/>
      <c r="CD188" s="177"/>
      <c r="CE188" s="177"/>
      <c r="CF188" s="177"/>
      <c r="CG188" s="177"/>
      <c r="CH188" s="177"/>
      <c r="CI188" s="177"/>
      <c r="CJ188" s="177"/>
      <c r="CK188" s="177"/>
      <c r="CL188" s="177"/>
      <c r="CM188" s="177"/>
      <c r="CN188" s="177"/>
      <c r="CO188" s="177"/>
      <c r="CP188" s="177"/>
      <c r="CQ188" s="177"/>
      <c r="CR188" s="177"/>
      <c r="CS188" s="177"/>
      <c r="CT188" s="177"/>
      <c r="CU188" s="177"/>
      <c r="CV188" s="177"/>
      <c r="CW188" s="177"/>
      <c r="CX188" s="177"/>
      <c r="CY188" s="177"/>
      <c r="CZ188" s="177"/>
    </row>
    <row r="189" spans="2:104">
      <c r="B189" s="214"/>
      <c r="C189" s="211"/>
      <c r="D189" s="211"/>
      <c r="E189" s="211"/>
      <c r="F189" s="211"/>
      <c r="G189" s="211"/>
      <c r="H189" s="211"/>
      <c r="I189" s="211"/>
      <c r="J189" s="211"/>
      <c r="K189" s="211"/>
      <c r="L189" s="211"/>
      <c r="M189" s="211"/>
      <c r="N189" s="211"/>
      <c r="O189" s="211"/>
      <c r="P189" s="211"/>
      <c r="Q189" s="211"/>
      <c r="R189" s="211"/>
      <c r="S189" s="211"/>
      <c r="T189" s="211"/>
      <c r="U189" s="211"/>
      <c r="V189" s="211"/>
      <c r="W189" s="211"/>
      <c r="X189" s="211"/>
      <c r="Y189" s="211"/>
      <c r="Z189" s="211"/>
      <c r="AA189" s="211"/>
      <c r="AB189" s="177"/>
      <c r="AE189" s="177"/>
      <c r="AF189" s="177"/>
      <c r="AG189" s="177"/>
      <c r="AH189" s="177"/>
      <c r="AI189" s="177"/>
      <c r="AJ189" s="177"/>
      <c r="AK189" s="177"/>
      <c r="AL189" s="177"/>
      <c r="AM189" s="177"/>
      <c r="AN189" s="177"/>
      <c r="AO189" s="177"/>
      <c r="AP189" s="177"/>
      <c r="AQ189" s="177"/>
      <c r="AR189" s="177"/>
      <c r="AS189" s="177"/>
      <c r="AT189" s="177"/>
      <c r="AU189" s="177"/>
      <c r="AV189" s="177"/>
      <c r="AW189" s="177"/>
      <c r="AX189" s="177"/>
      <c r="AY189" s="177"/>
      <c r="AZ189" s="177"/>
      <c r="BA189" s="177"/>
      <c r="BB189" s="177"/>
      <c r="BC189" s="177"/>
      <c r="BD189" s="177"/>
      <c r="BE189" s="177"/>
      <c r="BF189" s="177"/>
      <c r="BG189" s="177"/>
      <c r="BH189" s="177"/>
      <c r="BI189" s="177"/>
      <c r="BJ189" s="177"/>
      <c r="BK189" s="177"/>
      <c r="BL189" s="177"/>
      <c r="BM189" s="177"/>
      <c r="BN189" s="177"/>
      <c r="BO189" s="177"/>
      <c r="BP189" s="177"/>
      <c r="BQ189" s="177"/>
      <c r="BR189" s="177"/>
      <c r="BS189" s="177"/>
      <c r="BT189" s="177"/>
      <c r="BU189" s="177"/>
      <c r="BV189" s="177"/>
      <c r="BW189" s="177"/>
      <c r="BX189" s="177"/>
      <c r="BY189" s="177"/>
      <c r="BZ189" s="177"/>
      <c r="CA189" s="177"/>
      <c r="CB189" s="177"/>
      <c r="CC189" s="177"/>
      <c r="CD189" s="177"/>
      <c r="CE189" s="177"/>
      <c r="CF189" s="177"/>
      <c r="CG189" s="177"/>
      <c r="CH189" s="177"/>
      <c r="CI189" s="177"/>
      <c r="CJ189" s="177"/>
      <c r="CK189" s="177"/>
      <c r="CL189" s="177"/>
      <c r="CM189" s="177"/>
      <c r="CN189" s="177"/>
      <c r="CO189" s="177"/>
      <c r="CP189" s="177"/>
      <c r="CQ189" s="177"/>
      <c r="CR189" s="177"/>
      <c r="CS189" s="177"/>
      <c r="CT189" s="177"/>
      <c r="CU189" s="177"/>
      <c r="CV189" s="177"/>
      <c r="CW189" s="177"/>
      <c r="CX189" s="177"/>
      <c r="CY189" s="177"/>
      <c r="CZ189" s="177"/>
    </row>
    <row r="190" spans="2:104">
      <c r="B190" s="214"/>
      <c r="C190" s="211"/>
      <c r="D190" s="211"/>
      <c r="E190" s="211"/>
      <c r="F190" s="211"/>
      <c r="G190" s="211"/>
      <c r="H190" s="211"/>
      <c r="I190" s="211"/>
      <c r="J190" s="211"/>
      <c r="K190" s="211"/>
      <c r="L190" s="211"/>
      <c r="M190" s="211"/>
      <c r="N190" s="211"/>
      <c r="O190" s="211"/>
      <c r="P190" s="211"/>
      <c r="Q190" s="211"/>
      <c r="R190" s="211"/>
      <c r="S190" s="211"/>
      <c r="T190" s="211"/>
      <c r="U190" s="211"/>
      <c r="V190" s="211"/>
      <c r="W190" s="211"/>
      <c r="X190" s="211"/>
      <c r="Y190" s="211"/>
      <c r="Z190" s="211"/>
      <c r="AA190" s="211"/>
      <c r="AB190" s="177"/>
      <c r="AE190" s="177"/>
      <c r="AF190" s="177"/>
      <c r="AG190" s="177"/>
      <c r="AH190" s="177"/>
      <c r="AI190" s="177"/>
      <c r="AJ190" s="177"/>
      <c r="AK190" s="177"/>
      <c r="AL190" s="177"/>
      <c r="AM190" s="177"/>
      <c r="AN190" s="177"/>
      <c r="AO190" s="177"/>
      <c r="AP190" s="177"/>
      <c r="AQ190" s="177"/>
      <c r="AR190" s="177"/>
      <c r="AS190" s="177"/>
      <c r="AT190" s="177"/>
      <c r="AU190" s="177"/>
      <c r="AV190" s="177"/>
      <c r="AW190" s="177"/>
      <c r="AX190" s="177"/>
      <c r="AY190" s="177"/>
      <c r="AZ190" s="177"/>
      <c r="BA190" s="177"/>
      <c r="BB190" s="177"/>
      <c r="BC190" s="177"/>
      <c r="BD190" s="177"/>
      <c r="BE190" s="177"/>
      <c r="BF190" s="177"/>
      <c r="BG190" s="177"/>
      <c r="BH190" s="177"/>
      <c r="BI190" s="177"/>
      <c r="BJ190" s="177"/>
      <c r="BK190" s="177"/>
      <c r="BL190" s="177"/>
      <c r="BM190" s="177"/>
      <c r="BN190" s="177"/>
      <c r="BO190" s="177"/>
      <c r="BP190" s="177"/>
      <c r="BQ190" s="177"/>
      <c r="BR190" s="177"/>
      <c r="BS190" s="177"/>
      <c r="BT190" s="177"/>
      <c r="BU190" s="177"/>
      <c r="BV190" s="177"/>
      <c r="BW190" s="177"/>
      <c r="BX190" s="177"/>
      <c r="BY190" s="177"/>
      <c r="BZ190" s="177"/>
      <c r="CA190" s="177"/>
      <c r="CB190" s="177"/>
      <c r="CC190" s="177"/>
      <c r="CD190" s="177"/>
      <c r="CE190" s="177"/>
      <c r="CF190" s="177"/>
      <c r="CG190" s="177"/>
      <c r="CH190" s="177"/>
      <c r="CI190" s="177"/>
      <c r="CJ190" s="177"/>
      <c r="CK190" s="177"/>
      <c r="CL190" s="177"/>
      <c r="CM190" s="177"/>
      <c r="CN190" s="177"/>
      <c r="CO190" s="177"/>
      <c r="CP190" s="177"/>
      <c r="CQ190" s="177"/>
      <c r="CR190" s="177"/>
      <c r="CS190" s="177"/>
      <c r="CT190" s="177"/>
      <c r="CU190" s="177"/>
      <c r="CV190" s="177"/>
      <c r="CW190" s="177"/>
      <c r="CX190" s="177"/>
      <c r="CY190" s="177"/>
      <c r="CZ190" s="177"/>
    </row>
    <row r="191" spans="2:104">
      <c r="B191" s="214"/>
      <c r="C191" s="211"/>
      <c r="D191" s="211"/>
      <c r="E191" s="211"/>
      <c r="F191" s="211"/>
      <c r="G191" s="211"/>
      <c r="H191" s="211"/>
      <c r="I191" s="211"/>
      <c r="J191" s="211"/>
      <c r="K191" s="211"/>
      <c r="L191" s="211"/>
      <c r="M191" s="211"/>
      <c r="N191" s="211"/>
      <c r="O191" s="211"/>
      <c r="P191" s="211"/>
      <c r="Q191" s="211"/>
      <c r="R191" s="211"/>
      <c r="S191" s="211"/>
      <c r="T191" s="211"/>
      <c r="U191" s="211"/>
      <c r="V191" s="211"/>
      <c r="W191" s="211"/>
      <c r="X191" s="211"/>
      <c r="Y191" s="211"/>
      <c r="Z191" s="211"/>
      <c r="AA191" s="211"/>
      <c r="AB191" s="177"/>
      <c r="AE191" s="177"/>
      <c r="AF191" s="177"/>
      <c r="AG191" s="177"/>
      <c r="AH191" s="177"/>
      <c r="AI191" s="177"/>
      <c r="AJ191" s="177"/>
      <c r="AK191" s="177"/>
      <c r="AL191" s="177"/>
      <c r="AM191" s="177"/>
      <c r="AN191" s="177"/>
      <c r="AO191" s="177"/>
      <c r="AP191" s="177"/>
      <c r="AQ191" s="177"/>
      <c r="AR191" s="177"/>
      <c r="AS191" s="177"/>
      <c r="AT191" s="177"/>
      <c r="AU191" s="177"/>
      <c r="AV191" s="177"/>
      <c r="AW191" s="177"/>
      <c r="AX191" s="177"/>
      <c r="AY191" s="177"/>
      <c r="AZ191" s="177"/>
      <c r="BA191" s="177"/>
      <c r="BB191" s="177"/>
      <c r="BC191" s="177"/>
      <c r="BD191" s="177"/>
      <c r="BE191" s="177"/>
      <c r="BF191" s="177"/>
      <c r="BG191" s="177"/>
      <c r="BH191" s="177"/>
      <c r="BI191" s="177"/>
      <c r="BJ191" s="177"/>
      <c r="BK191" s="177"/>
      <c r="BL191" s="177"/>
      <c r="BM191" s="177"/>
      <c r="BN191" s="177"/>
      <c r="BO191" s="177"/>
      <c r="BP191" s="177"/>
      <c r="BQ191" s="177"/>
      <c r="BR191" s="177"/>
      <c r="BS191" s="177"/>
      <c r="BT191" s="177"/>
      <c r="BU191" s="177"/>
      <c r="BV191" s="177"/>
      <c r="BW191" s="177"/>
      <c r="BX191" s="177"/>
      <c r="BY191" s="177"/>
      <c r="BZ191" s="177"/>
      <c r="CA191" s="177"/>
      <c r="CB191" s="177"/>
      <c r="CC191" s="177"/>
      <c r="CD191" s="177"/>
      <c r="CE191" s="177"/>
      <c r="CF191" s="177"/>
      <c r="CG191" s="177"/>
      <c r="CH191" s="177"/>
      <c r="CI191" s="177"/>
      <c r="CJ191" s="177"/>
      <c r="CK191" s="177"/>
      <c r="CL191" s="177"/>
      <c r="CM191" s="177"/>
      <c r="CN191" s="177"/>
      <c r="CO191" s="177"/>
      <c r="CP191" s="177"/>
      <c r="CQ191" s="177"/>
      <c r="CR191" s="177"/>
      <c r="CS191" s="177"/>
      <c r="CT191" s="177"/>
      <c r="CU191" s="177"/>
      <c r="CV191" s="177"/>
      <c r="CW191" s="177"/>
      <c r="CX191" s="177"/>
      <c r="CY191" s="177"/>
      <c r="CZ191" s="177"/>
    </row>
    <row r="192" spans="2:104">
      <c r="B192" s="214"/>
      <c r="C192" s="211"/>
      <c r="D192" s="211"/>
      <c r="E192" s="211"/>
      <c r="F192" s="211"/>
      <c r="G192" s="211"/>
      <c r="H192" s="211"/>
      <c r="I192" s="211"/>
      <c r="J192" s="211"/>
      <c r="K192" s="211"/>
      <c r="L192" s="211"/>
      <c r="M192" s="211"/>
      <c r="N192" s="211"/>
      <c r="O192" s="211"/>
      <c r="P192" s="211"/>
      <c r="Q192" s="211"/>
      <c r="R192" s="211"/>
      <c r="S192" s="211"/>
      <c r="T192" s="211"/>
      <c r="U192" s="211"/>
      <c r="V192" s="211"/>
      <c r="W192" s="211"/>
      <c r="X192" s="211"/>
      <c r="Y192" s="211"/>
      <c r="Z192" s="211"/>
      <c r="AA192" s="211"/>
      <c r="AB192" s="177"/>
      <c r="AE192" s="177"/>
      <c r="AF192" s="177"/>
      <c r="AG192" s="177"/>
      <c r="AH192" s="177"/>
      <c r="AI192" s="177"/>
      <c r="AJ192" s="177"/>
      <c r="AK192" s="177"/>
      <c r="AL192" s="177"/>
      <c r="AM192" s="177"/>
      <c r="AN192" s="177"/>
      <c r="AO192" s="177"/>
      <c r="AP192" s="177"/>
      <c r="AQ192" s="177"/>
      <c r="AR192" s="177"/>
      <c r="AS192" s="177"/>
      <c r="AT192" s="177"/>
      <c r="AU192" s="177"/>
      <c r="AV192" s="177"/>
      <c r="AW192" s="177"/>
      <c r="AX192" s="177"/>
      <c r="AY192" s="177"/>
      <c r="AZ192" s="177"/>
      <c r="BA192" s="177"/>
      <c r="BB192" s="177"/>
      <c r="BC192" s="177"/>
      <c r="BD192" s="177"/>
      <c r="BE192" s="177"/>
      <c r="BF192" s="177"/>
      <c r="BG192" s="177"/>
      <c r="BH192" s="177"/>
      <c r="BI192" s="177"/>
      <c r="BJ192" s="177"/>
      <c r="BK192" s="177"/>
      <c r="BL192" s="177"/>
      <c r="BM192" s="177"/>
      <c r="BN192" s="177"/>
      <c r="BO192" s="177"/>
      <c r="BP192" s="177"/>
      <c r="BQ192" s="177"/>
      <c r="BR192" s="177"/>
      <c r="BS192" s="177"/>
      <c r="BT192" s="177"/>
      <c r="BU192" s="177"/>
      <c r="BV192" s="177"/>
      <c r="BW192" s="177"/>
      <c r="BX192" s="177"/>
      <c r="BY192" s="177"/>
      <c r="BZ192" s="177"/>
      <c r="CA192" s="177"/>
      <c r="CB192" s="177"/>
      <c r="CC192" s="177"/>
      <c r="CD192" s="177"/>
      <c r="CE192" s="177"/>
      <c r="CF192" s="177"/>
      <c r="CG192" s="177"/>
      <c r="CH192" s="177"/>
      <c r="CI192" s="177"/>
      <c r="CJ192" s="177"/>
      <c r="CK192" s="177"/>
      <c r="CL192" s="177"/>
      <c r="CM192" s="177"/>
      <c r="CN192" s="177"/>
      <c r="CO192" s="177"/>
      <c r="CP192" s="177"/>
      <c r="CQ192" s="177"/>
      <c r="CR192" s="177"/>
      <c r="CS192" s="177"/>
      <c r="CT192" s="177"/>
      <c r="CU192" s="177"/>
      <c r="CV192" s="177"/>
      <c r="CW192" s="177"/>
      <c r="CX192" s="177"/>
      <c r="CY192" s="177"/>
      <c r="CZ192" s="177"/>
    </row>
    <row r="193" spans="2:104">
      <c r="B193" s="214"/>
      <c r="C193" s="211"/>
      <c r="D193" s="211"/>
      <c r="E193" s="211"/>
      <c r="F193" s="211"/>
      <c r="G193" s="211"/>
      <c r="H193" s="211"/>
      <c r="I193" s="211"/>
      <c r="J193" s="211"/>
      <c r="K193" s="211"/>
      <c r="L193" s="211"/>
      <c r="M193" s="211"/>
      <c r="N193" s="211"/>
      <c r="O193" s="211"/>
      <c r="P193" s="211"/>
      <c r="Q193" s="211"/>
      <c r="R193" s="211"/>
      <c r="S193" s="211"/>
      <c r="T193" s="211"/>
      <c r="U193" s="211"/>
      <c r="V193" s="211"/>
      <c r="W193" s="211"/>
      <c r="X193" s="211"/>
      <c r="Y193" s="211"/>
      <c r="Z193" s="211"/>
      <c r="AA193" s="211"/>
      <c r="AB193" s="177"/>
      <c r="AE193" s="177"/>
      <c r="AF193" s="177"/>
      <c r="AG193" s="177"/>
      <c r="AH193" s="177"/>
      <c r="AI193" s="177"/>
      <c r="AJ193" s="177"/>
      <c r="AK193" s="177"/>
      <c r="AL193" s="177"/>
      <c r="AM193" s="177"/>
      <c r="AN193" s="177"/>
      <c r="AO193" s="177"/>
      <c r="AP193" s="177"/>
      <c r="AQ193" s="177"/>
      <c r="AR193" s="177"/>
      <c r="AS193" s="177"/>
      <c r="AT193" s="177"/>
      <c r="AU193" s="177"/>
      <c r="AV193" s="177"/>
      <c r="AW193" s="177"/>
      <c r="AX193" s="177"/>
      <c r="AY193" s="177"/>
      <c r="AZ193" s="177"/>
      <c r="BA193" s="177"/>
      <c r="BB193" s="177"/>
      <c r="BC193" s="177"/>
      <c r="BD193" s="177"/>
      <c r="BE193" s="177"/>
      <c r="BF193" s="177"/>
      <c r="BG193" s="177"/>
      <c r="BH193" s="177"/>
      <c r="BI193" s="177"/>
      <c r="BJ193" s="177"/>
      <c r="BK193" s="177"/>
      <c r="BL193" s="177"/>
      <c r="BM193" s="177"/>
      <c r="BN193" s="177"/>
      <c r="BO193" s="177"/>
      <c r="BP193" s="177"/>
      <c r="BQ193" s="177"/>
      <c r="BR193" s="177"/>
      <c r="BS193" s="177"/>
      <c r="BT193" s="177"/>
      <c r="BU193" s="177"/>
      <c r="BV193" s="177"/>
      <c r="BW193" s="177"/>
      <c r="BX193" s="177"/>
      <c r="BY193" s="177"/>
      <c r="BZ193" s="177"/>
      <c r="CA193" s="177"/>
      <c r="CB193" s="177"/>
      <c r="CC193" s="177"/>
      <c r="CD193" s="177"/>
      <c r="CE193" s="177"/>
      <c r="CF193" s="177"/>
      <c r="CG193" s="177"/>
      <c r="CH193" s="177"/>
      <c r="CI193" s="177"/>
      <c r="CJ193" s="177"/>
      <c r="CK193" s="177"/>
      <c r="CL193" s="177"/>
      <c r="CM193" s="177"/>
      <c r="CN193" s="177"/>
      <c r="CO193" s="177"/>
      <c r="CP193" s="177"/>
      <c r="CQ193" s="177"/>
      <c r="CR193" s="177"/>
      <c r="CS193" s="177"/>
      <c r="CT193" s="177"/>
      <c r="CU193" s="177"/>
      <c r="CV193" s="177"/>
      <c r="CW193" s="177"/>
      <c r="CX193" s="177"/>
      <c r="CY193" s="177"/>
      <c r="CZ193" s="177"/>
    </row>
    <row r="194" spans="2:104">
      <c r="B194" s="214"/>
      <c r="C194" s="211"/>
      <c r="D194" s="211"/>
      <c r="E194" s="211"/>
      <c r="F194" s="211"/>
      <c r="G194" s="211"/>
      <c r="H194" s="211"/>
      <c r="I194" s="211"/>
      <c r="J194" s="211"/>
      <c r="K194" s="211"/>
      <c r="L194" s="211"/>
      <c r="M194" s="211"/>
      <c r="N194" s="211"/>
      <c r="O194" s="211"/>
      <c r="P194" s="211"/>
      <c r="Q194" s="211"/>
      <c r="R194" s="211"/>
      <c r="S194" s="211"/>
      <c r="T194" s="211"/>
      <c r="U194" s="211"/>
      <c r="V194" s="211"/>
      <c r="W194" s="211"/>
      <c r="X194" s="211"/>
      <c r="Y194" s="211"/>
      <c r="Z194" s="211"/>
      <c r="AA194" s="211"/>
      <c r="AB194" s="177"/>
      <c r="AE194" s="177"/>
      <c r="AF194" s="177"/>
      <c r="AG194" s="177"/>
      <c r="AH194" s="177"/>
      <c r="AI194" s="177"/>
      <c r="AJ194" s="177"/>
      <c r="AK194" s="177"/>
      <c r="AL194" s="177"/>
      <c r="AM194" s="177"/>
      <c r="AN194" s="177"/>
      <c r="AO194" s="177"/>
      <c r="AP194" s="177"/>
      <c r="AQ194" s="177"/>
      <c r="AR194" s="177"/>
      <c r="AS194" s="177"/>
      <c r="AT194" s="177"/>
      <c r="AU194" s="177"/>
      <c r="AV194" s="177"/>
      <c r="AW194" s="177"/>
      <c r="AX194" s="177"/>
      <c r="AY194" s="177"/>
      <c r="AZ194" s="177"/>
      <c r="BA194" s="177"/>
      <c r="BB194" s="177"/>
      <c r="BC194" s="177"/>
      <c r="BD194" s="177"/>
      <c r="BE194" s="177"/>
      <c r="BF194" s="177"/>
      <c r="BG194" s="177"/>
      <c r="BH194" s="177"/>
      <c r="BI194" s="177"/>
      <c r="BJ194" s="177"/>
      <c r="BK194" s="177"/>
      <c r="BL194" s="177"/>
      <c r="BM194" s="177"/>
      <c r="BN194" s="177"/>
      <c r="BO194" s="177"/>
      <c r="BP194" s="177"/>
      <c r="BQ194" s="177"/>
      <c r="BR194" s="177"/>
      <c r="BS194" s="177"/>
      <c r="BT194" s="177"/>
      <c r="BU194" s="177"/>
      <c r="BV194" s="177"/>
      <c r="BW194" s="177"/>
      <c r="BX194" s="177"/>
      <c r="BY194" s="177"/>
      <c r="BZ194" s="177"/>
      <c r="CA194" s="177"/>
      <c r="CB194" s="177"/>
      <c r="CC194" s="177"/>
      <c r="CD194" s="177"/>
      <c r="CE194" s="177"/>
      <c r="CF194" s="177"/>
      <c r="CG194" s="177"/>
      <c r="CH194" s="177"/>
      <c r="CI194" s="177"/>
      <c r="CJ194" s="177"/>
      <c r="CK194" s="177"/>
      <c r="CL194" s="177"/>
      <c r="CM194" s="177"/>
      <c r="CN194" s="177"/>
      <c r="CO194" s="177"/>
      <c r="CP194" s="177"/>
      <c r="CQ194" s="177"/>
      <c r="CR194" s="177"/>
      <c r="CS194" s="177"/>
      <c r="CT194" s="177"/>
      <c r="CU194" s="177"/>
      <c r="CV194" s="177"/>
      <c r="CW194" s="177"/>
      <c r="CX194" s="177"/>
      <c r="CY194" s="177"/>
      <c r="CZ194" s="177"/>
    </row>
    <row r="195" spans="2:104">
      <c r="B195" s="214"/>
      <c r="C195" s="211"/>
      <c r="D195" s="211"/>
      <c r="E195" s="211"/>
      <c r="F195" s="211"/>
      <c r="G195" s="211"/>
      <c r="H195" s="211"/>
      <c r="I195" s="211"/>
      <c r="J195" s="211"/>
      <c r="K195" s="211"/>
      <c r="L195" s="211"/>
      <c r="M195" s="211"/>
      <c r="N195" s="211"/>
      <c r="O195" s="211"/>
      <c r="P195" s="211"/>
      <c r="Q195" s="211"/>
      <c r="R195" s="211"/>
      <c r="S195" s="211"/>
      <c r="T195" s="211"/>
      <c r="U195" s="211"/>
      <c r="V195" s="211"/>
      <c r="W195" s="211"/>
      <c r="X195" s="211"/>
      <c r="Y195" s="211"/>
      <c r="Z195" s="211"/>
      <c r="AA195" s="211"/>
      <c r="AB195" s="177"/>
      <c r="AE195" s="177"/>
      <c r="AF195" s="177"/>
      <c r="AG195" s="177"/>
      <c r="AH195" s="177"/>
      <c r="AI195" s="177"/>
      <c r="AJ195" s="177"/>
      <c r="AK195" s="177"/>
      <c r="AL195" s="177"/>
      <c r="AM195" s="177"/>
      <c r="AN195" s="177"/>
      <c r="AO195" s="177"/>
      <c r="AP195" s="177"/>
      <c r="AQ195" s="177"/>
      <c r="AR195" s="177"/>
      <c r="AS195" s="177"/>
      <c r="AT195" s="177"/>
      <c r="AU195" s="177"/>
      <c r="AV195" s="177"/>
      <c r="AW195" s="177"/>
      <c r="AX195" s="177"/>
      <c r="AY195" s="177"/>
      <c r="AZ195" s="177"/>
      <c r="BA195" s="177"/>
      <c r="BB195" s="177"/>
      <c r="BC195" s="177"/>
      <c r="BD195" s="177"/>
      <c r="BE195" s="177"/>
      <c r="BF195" s="177"/>
      <c r="BG195" s="177"/>
      <c r="BH195" s="177"/>
      <c r="BI195" s="177"/>
      <c r="BJ195" s="177"/>
      <c r="BK195" s="177"/>
      <c r="BL195" s="177"/>
      <c r="BM195" s="177"/>
      <c r="BN195" s="177"/>
      <c r="BO195" s="177"/>
      <c r="BP195" s="177"/>
      <c r="BQ195" s="177"/>
      <c r="BR195" s="177"/>
      <c r="BS195" s="177"/>
      <c r="BT195" s="177"/>
      <c r="BU195" s="177"/>
      <c r="BV195" s="177"/>
      <c r="BW195" s="177"/>
      <c r="BX195" s="177"/>
      <c r="BY195" s="177"/>
      <c r="BZ195" s="177"/>
      <c r="CA195" s="177"/>
      <c r="CB195" s="177"/>
      <c r="CC195" s="177"/>
      <c r="CD195" s="177"/>
      <c r="CE195" s="177"/>
      <c r="CF195" s="177"/>
      <c r="CG195" s="177"/>
      <c r="CH195" s="177"/>
      <c r="CI195" s="177"/>
      <c r="CJ195" s="177"/>
      <c r="CK195" s="177"/>
      <c r="CL195" s="177"/>
      <c r="CM195" s="177"/>
      <c r="CN195" s="177"/>
      <c r="CO195" s="177"/>
      <c r="CP195" s="177"/>
      <c r="CQ195" s="177"/>
      <c r="CR195" s="177"/>
      <c r="CS195" s="177"/>
      <c r="CT195" s="177"/>
      <c r="CU195" s="177"/>
      <c r="CV195" s="177"/>
      <c r="CW195" s="177"/>
      <c r="CX195" s="177"/>
      <c r="CY195" s="177"/>
      <c r="CZ195" s="177"/>
    </row>
    <row r="196" spans="2:104">
      <c r="B196" s="214"/>
      <c r="C196" s="211"/>
      <c r="D196" s="211"/>
      <c r="E196" s="211"/>
      <c r="F196" s="211"/>
      <c r="G196" s="211"/>
      <c r="H196" s="211"/>
      <c r="I196" s="211"/>
      <c r="J196" s="211"/>
      <c r="K196" s="211"/>
      <c r="L196" s="211"/>
      <c r="M196" s="211"/>
      <c r="N196" s="211"/>
      <c r="O196" s="211"/>
      <c r="P196" s="211"/>
      <c r="Q196" s="211"/>
      <c r="R196" s="211"/>
      <c r="S196" s="211"/>
      <c r="T196" s="211"/>
      <c r="U196" s="211"/>
      <c r="V196" s="211"/>
      <c r="W196" s="211"/>
      <c r="X196" s="211"/>
      <c r="Y196" s="211"/>
      <c r="Z196" s="211"/>
      <c r="AA196" s="211"/>
      <c r="AB196" s="177"/>
      <c r="AE196" s="177"/>
      <c r="AF196" s="177"/>
      <c r="AG196" s="177"/>
      <c r="AH196" s="177"/>
      <c r="AI196" s="177"/>
      <c r="AJ196" s="177"/>
      <c r="AK196" s="177"/>
      <c r="AL196" s="177"/>
      <c r="AM196" s="177"/>
      <c r="AN196" s="177"/>
      <c r="AO196" s="177"/>
      <c r="AP196" s="177"/>
      <c r="AQ196" s="177"/>
      <c r="AR196" s="177"/>
      <c r="AS196" s="177"/>
      <c r="AT196" s="177"/>
      <c r="AU196" s="177"/>
      <c r="AV196" s="177"/>
      <c r="AW196" s="177"/>
      <c r="AX196" s="177"/>
      <c r="AY196" s="177"/>
      <c r="AZ196" s="177"/>
      <c r="BA196" s="177"/>
      <c r="BB196" s="177"/>
      <c r="BC196" s="177"/>
      <c r="BD196" s="177"/>
      <c r="BE196" s="177"/>
      <c r="BF196" s="177"/>
      <c r="BG196" s="177"/>
      <c r="BH196" s="177"/>
      <c r="BI196" s="177"/>
      <c r="BJ196" s="177"/>
      <c r="BK196" s="177"/>
      <c r="BL196" s="177"/>
      <c r="BM196" s="177"/>
      <c r="BN196" s="177"/>
      <c r="BO196" s="177"/>
      <c r="BP196" s="177"/>
      <c r="BQ196" s="177"/>
      <c r="BR196" s="177"/>
      <c r="BS196" s="177"/>
      <c r="BT196" s="177"/>
      <c r="BU196" s="177"/>
      <c r="BV196" s="177"/>
      <c r="BW196" s="177"/>
      <c r="BX196" s="177"/>
      <c r="BY196" s="177"/>
      <c r="BZ196" s="177"/>
      <c r="CA196" s="177"/>
      <c r="CB196" s="177"/>
      <c r="CC196" s="177"/>
      <c r="CD196" s="177"/>
      <c r="CE196" s="177"/>
      <c r="CF196" s="177"/>
      <c r="CG196" s="177"/>
      <c r="CH196" s="177"/>
      <c r="CI196" s="177"/>
      <c r="CJ196" s="177"/>
      <c r="CK196" s="177"/>
      <c r="CL196" s="177"/>
      <c r="CM196" s="177"/>
      <c r="CN196" s="177"/>
      <c r="CO196" s="177"/>
      <c r="CP196" s="177"/>
      <c r="CQ196" s="177"/>
      <c r="CR196" s="177"/>
      <c r="CS196" s="177"/>
      <c r="CT196" s="177"/>
      <c r="CU196" s="177"/>
      <c r="CV196" s="177"/>
      <c r="CW196" s="177"/>
      <c r="CX196" s="177"/>
      <c r="CY196" s="177"/>
      <c r="CZ196" s="177"/>
    </row>
    <row r="197" spans="2:104">
      <c r="B197" s="214"/>
      <c r="C197" s="211"/>
      <c r="D197" s="211"/>
      <c r="E197" s="211"/>
      <c r="F197" s="211"/>
      <c r="G197" s="211"/>
      <c r="H197" s="211"/>
      <c r="I197" s="211"/>
      <c r="J197" s="211"/>
      <c r="K197" s="211"/>
      <c r="L197" s="211"/>
      <c r="M197" s="211"/>
      <c r="N197" s="211"/>
      <c r="O197" s="211"/>
      <c r="P197" s="211"/>
      <c r="Q197" s="211"/>
      <c r="R197" s="211"/>
      <c r="S197" s="211"/>
      <c r="T197" s="211"/>
      <c r="U197" s="211"/>
      <c r="V197" s="211"/>
      <c r="W197" s="211"/>
      <c r="X197" s="211"/>
      <c r="Y197" s="211"/>
      <c r="Z197" s="211"/>
      <c r="AA197" s="211"/>
      <c r="AB197" s="177"/>
      <c r="AE197" s="177"/>
      <c r="AF197" s="177"/>
      <c r="AG197" s="177"/>
      <c r="AH197" s="177"/>
      <c r="AI197" s="177"/>
      <c r="AJ197" s="177"/>
      <c r="AK197" s="177"/>
      <c r="AL197" s="177"/>
      <c r="AM197" s="177"/>
      <c r="AN197" s="177"/>
      <c r="AO197" s="177"/>
      <c r="AP197" s="177"/>
      <c r="AQ197" s="177"/>
      <c r="AR197" s="177"/>
      <c r="AS197" s="177"/>
      <c r="AT197" s="177"/>
      <c r="AU197" s="177"/>
      <c r="AV197" s="177"/>
      <c r="AW197" s="177"/>
      <c r="AX197" s="177"/>
      <c r="AY197" s="177"/>
      <c r="AZ197" s="177"/>
      <c r="BA197" s="177"/>
      <c r="BB197" s="177"/>
      <c r="BC197" s="177"/>
      <c r="BD197" s="177"/>
      <c r="BE197" s="177"/>
      <c r="BF197" s="177"/>
      <c r="BG197" s="177"/>
      <c r="BH197" s="177"/>
      <c r="BI197" s="177"/>
      <c r="BJ197" s="177"/>
      <c r="BK197" s="177"/>
      <c r="BL197" s="177"/>
      <c r="BM197" s="177"/>
      <c r="BN197" s="177"/>
      <c r="BO197" s="177"/>
      <c r="BP197" s="177"/>
      <c r="BQ197" s="177"/>
      <c r="BR197" s="177"/>
      <c r="BS197" s="177"/>
      <c r="BT197" s="177"/>
      <c r="BU197" s="177"/>
      <c r="BV197" s="177"/>
      <c r="BW197" s="177"/>
      <c r="BX197" s="177"/>
      <c r="BY197" s="177"/>
      <c r="BZ197" s="177"/>
      <c r="CA197" s="177"/>
      <c r="CB197" s="177"/>
      <c r="CC197" s="177"/>
      <c r="CD197" s="177"/>
      <c r="CE197" s="177"/>
      <c r="CF197" s="177"/>
      <c r="CG197" s="177"/>
      <c r="CH197" s="177"/>
      <c r="CI197" s="177"/>
      <c r="CJ197" s="177"/>
      <c r="CK197" s="177"/>
      <c r="CL197" s="177"/>
      <c r="CM197" s="177"/>
      <c r="CN197" s="177"/>
      <c r="CO197" s="177"/>
      <c r="CP197" s="177"/>
      <c r="CQ197" s="177"/>
      <c r="CR197" s="177"/>
      <c r="CS197" s="177"/>
      <c r="CT197" s="177"/>
      <c r="CU197" s="177"/>
      <c r="CV197" s="177"/>
      <c r="CW197" s="177"/>
      <c r="CX197" s="177"/>
      <c r="CY197" s="177"/>
      <c r="CZ197" s="177"/>
    </row>
    <row r="198" spans="2:104">
      <c r="B198" s="214"/>
      <c r="C198" s="211"/>
      <c r="D198" s="211"/>
      <c r="E198" s="211"/>
      <c r="F198" s="211"/>
      <c r="G198" s="211"/>
      <c r="H198" s="211"/>
      <c r="I198" s="211"/>
      <c r="J198" s="211"/>
      <c r="K198" s="211"/>
      <c r="L198" s="211"/>
      <c r="M198" s="211"/>
      <c r="N198" s="211"/>
      <c r="O198" s="211"/>
      <c r="P198" s="211"/>
      <c r="Q198" s="211"/>
      <c r="R198" s="211"/>
      <c r="S198" s="211"/>
      <c r="T198" s="211"/>
      <c r="U198" s="211"/>
      <c r="V198" s="211"/>
      <c r="W198" s="211"/>
      <c r="X198" s="211"/>
      <c r="Y198" s="211"/>
      <c r="Z198" s="211"/>
      <c r="AA198" s="211"/>
      <c r="AB198" s="177"/>
      <c r="AE198" s="177"/>
      <c r="AF198" s="177"/>
      <c r="AG198" s="177"/>
      <c r="AH198" s="177"/>
      <c r="AI198" s="177"/>
      <c r="AJ198" s="177"/>
      <c r="AK198" s="177"/>
      <c r="AL198" s="177"/>
      <c r="AM198" s="177"/>
      <c r="AN198" s="177"/>
      <c r="AO198" s="177"/>
      <c r="AP198" s="177"/>
      <c r="AQ198" s="177"/>
      <c r="AR198" s="177"/>
      <c r="AS198" s="177"/>
      <c r="AT198" s="177"/>
      <c r="AU198" s="177"/>
      <c r="AV198" s="177"/>
      <c r="AW198" s="177"/>
      <c r="AX198" s="177"/>
      <c r="AY198" s="177"/>
      <c r="AZ198" s="177"/>
      <c r="BA198" s="177"/>
      <c r="BB198" s="177"/>
      <c r="BC198" s="177"/>
      <c r="BD198" s="177"/>
      <c r="BE198" s="177"/>
      <c r="BF198" s="177"/>
      <c r="BG198" s="177"/>
      <c r="BH198" s="177"/>
      <c r="BI198" s="177"/>
      <c r="BJ198" s="177"/>
      <c r="BK198" s="177"/>
      <c r="BL198" s="177"/>
      <c r="BM198" s="177"/>
      <c r="BN198" s="177"/>
      <c r="BO198" s="177"/>
      <c r="BP198" s="177"/>
      <c r="BQ198" s="177"/>
      <c r="BR198" s="177"/>
      <c r="BS198" s="177"/>
      <c r="BT198" s="177"/>
      <c r="BU198" s="177"/>
      <c r="BV198" s="177"/>
      <c r="BW198" s="177"/>
      <c r="BX198" s="177"/>
      <c r="BY198" s="177"/>
      <c r="BZ198" s="177"/>
      <c r="CA198" s="177"/>
      <c r="CB198" s="177"/>
      <c r="CC198" s="177"/>
      <c r="CD198" s="177"/>
      <c r="CE198" s="177"/>
      <c r="CF198" s="177"/>
      <c r="CG198" s="177"/>
      <c r="CH198" s="177"/>
      <c r="CI198" s="177"/>
      <c r="CJ198" s="177"/>
      <c r="CK198" s="177"/>
      <c r="CL198" s="177"/>
      <c r="CM198" s="177"/>
      <c r="CN198" s="177"/>
      <c r="CO198" s="177"/>
      <c r="CP198" s="177"/>
      <c r="CQ198" s="177"/>
      <c r="CR198" s="177"/>
      <c r="CS198" s="177"/>
      <c r="CT198" s="177"/>
      <c r="CU198" s="177"/>
      <c r="CV198" s="177"/>
      <c r="CW198" s="177"/>
      <c r="CX198" s="177"/>
      <c r="CY198" s="177"/>
      <c r="CZ198" s="177"/>
    </row>
    <row r="199" spans="2:104">
      <c r="B199" s="214"/>
      <c r="C199" s="211"/>
      <c r="D199" s="211"/>
      <c r="E199" s="211"/>
      <c r="F199" s="211"/>
      <c r="G199" s="211"/>
      <c r="H199" s="211"/>
      <c r="I199" s="211"/>
      <c r="J199" s="211"/>
      <c r="K199" s="211"/>
      <c r="L199" s="211"/>
      <c r="M199" s="211"/>
      <c r="N199" s="211"/>
      <c r="O199" s="211"/>
      <c r="P199" s="211"/>
      <c r="Q199" s="211"/>
      <c r="R199" s="211"/>
      <c r="S199" s="211"/>
      <c r="T199" s="211"/>
      <c r="U199" s="211"/>
      <c r="V199" s="211"/>
      <c r="W199" s="211"/>
      <c r="X199" s="211"/>
      <c r="Y199" s="211"/>
      <c r="Z199" s="211"/>
      <c r="AA199" s="211"/>
      <c r="AB199" s="177"/>
      <c r="AE199" s="177"/>
      <c r="AF199" s="177"/>
      <c r="AG199" s="177"/>
      <c r="AH199" s="177"/>
      <c r="AI199" s="177"/>
      <c r="AJ199" s="177"/>
      <c r="AK199" s="177"/>
      <c r="AL199" s="177"/>
      <c r="AM199" s="177"/>
      <c r="AN199" s="177"/>
      <c r="AO199" s="177"/>
      <c r="AP199" s="177"/>
      <c r="AQ199" s="177"/>
      <c r="AR199" s="177"/>
      <c r="AS199" s="177"/>
      <c r="AT199" s="177"/>
      <c r="AU199" s="177"/>
      <c r="AV199" s="177"/>
      <c r="AW199" s="177"/>
      <c r="AX199" s="177"/>
      <c r="AY199" s="177"/>
      <c r="AZ199" s="177"/>
      <c r="BA199" s="177"/>
      <c r="BB199" s="177"/>
      <c r="BC199" s="177"/>
      <c r="BD199" s="177"/>
      <c r="BE199" s="177"/>
      <c r="BF199" s="177"/>
      <c r="BG199" s="177"/>
      <c r="BH199" s="177"/>
      <c r="BI199" s="177"/>
      <c r="BJ199" s="177"/>
      <c r="BK199" s="177"/>
      <c r="BL199" s="177"/>
      <c r="BM199" s="177"/>
      <c r="BN199" s="177"/>
      <c r="BO199" s="177"/>
      <c r="BP199" s="177"/>
      <c r="BQ199" s="177"/>
      <c r="BR199" s="177"/>
      <c r="BS199" s="177"/>
      <c r="BT199" s="177"/>
      <c r="BU199" s="177"/>
      <c r="BV199" s="177"/>
      <c r="BW199" s="177"/>
      <c r="BX199" s="177"/>
      <c r="BY199" s="177"/>
      <c r="BZ199" s="177"/>
      <c r="CA199" s="177"/>
      <c r="CB199" s="177"/>
      <c r="CC199" s="177"/>
      <c r="CD199" s="177"/>
      <c r="CE199" s="177"/>
      <c r="CF199" s="177"/>
      <c r="CG199" s="177"/>
      <c r="CH199" s="177"/>
      <c r="CI199" s="177"/>
      <c r="CJ199" s="177"/>
      <c r="CK199" s="177"/>
      <c r="CL199" s="177"/>
      <c r="CM199" s="177"/>
      <c r="CN199" s="177"/>
      <c r="CO199" s="177"/>
      <c r="CP199" s="177"/>
      <c r="CQ199" s="177"/>
      <c r="CR199" s="177"/>
      <c r="CS199" s="177"/>
      <c r="CT199" s="177"/>
      <c r="CU199" s="177"/>
      <c r="CV199" s="177"/>
      <c r="CW199" s="177"/>
      <c r="CX199" s="177"/>
      <c r="CY199" s="177"/>
      <c r="CZ199" s="177"/>
    </row>
    <row r="200" spans="2:104">
      <c r="B200" s="214"/>
      <c r="C200" s="211"/>
      <c r="D200" s="211"/>
      <c r="E200" s="211"/>
      <c r="F200" s="211"/>
      <c r="G200" s="211"/>
      <c r="H200" s="211"/>
      <c r="I200" s="211"/>
      <c r="J200" s="211"/>
      <c r="K200" s="211"/>
      <c r="L200" s="211"/>
      <c r="M200" s="211"/>
      <c r="N200" s="211"/>
      <c r="O200" s="211"/>
      <c r="P200" s="211"/>
      <c r="Q200" s="211"/>
      <c r="R200" s="211"/>
      <c r="S200" s="211"/>
      <c r="T200" s="211"/>
      <c r="U200" s="211"/>
      <c r="V200" s="211"/>
      <c r="W200" s="211"/>
      <c r="X200" s="211"/>
      <c r="Y200" s="211"/>
      <c r="Z200" s="211"/>
      <c r="AA200" s="211"/>
      <c r="AB200" s="177"/>
      <c r="AE200" s="177"/>
      <c r="AF200" s="177"/>
      <c r="AG200" s="177"/>
      <c r="AH200" s="177"/>
      <c r="AI200" s="177"/>
      <c r="AJ200" s="177"/>
      <c r="AK200" s="177"/>
      <c r="AL200" s="177"/>
      <c r="AM200" s="177"/>
      <c r="AN200" s="177"/>
      <c r="AO200" s="177"/>
      <c r="AP200" s="177"/>
      <c r="AQ200" s="177"/>
      <c r="AR200" s="177"/>
      <c r="AS200" s="177"/>
      <c r="AT200" s="177"/>
      <c r="AU200" s="177"/>
      <c r="AV200" s="177"/>
      <c r="AW200" s="177"/>
      <c r="AX200" s="177"/>
      <c r="AY200" s="177"/>
      <c r="AZ200" s="177"/>
      <c r="BA200" s="177"/>
      <c r="BB200" s="177"/>
      <c r="BC200" s="177"/>
      <c r="BD200" s="177"/>
      <c r="BE200" s="177"/>
      <c r="BF200" s="177"/>
      <c r="BG200" s="177"/>
      <c r="BH200" s="177"/>
      <c r="BI200" s="177"/>
      <c r="BJ200" s="177"/>
      <c r="BK200" s="177"/>
      <c r="BL200" s="177"/>
      <c r="BM200" s="177"/>
      <c r="BN200" s="177"/>
      <c r="BO200" s="177"/>
      <c r="BP200" s="177"/>
      <c r="BQ200" s="177"/>
      <c r="BR200" s="177"/>
      <c r="BS200" s="177"/>
      <c r="BT200" s="177"/>
      <c r="BU200" s="177"/>
      <c r="BV200" s="177"/>
      <c r="BW200" s="177"/>
      <c r="BX200" s="177"/>
      <c r="BY200" s="177"/>
      <c r="BZ200" s="177"/>
      <c r="CA200" s="177"/>
      <c r="CB200" s="177"/>
      <c r="CC200" s="177"/>
      <c r="CD200" s="177"/>
      <c r="CE200" s="177"/>
      <c r="CF200" s="177"/>
      <c r="CG200" s="177"/>
      <c r="CH200" s="177"/>
      <c r="CI200" s="177"/>
      <c r="CJ200" s="177"/>
      <c r="CK200" s="177"/>
      <c r="CL200" s="177"/>
      <c r="CM200" s="177"/>
      <c r="CN200" s="177"/>
      <c r="CO200" s="177"/>
      <c r="CP200" s="177"/>
      <c r="CQ200" s="177"/>
      <c r="CR200" s="177"/>
      <c r="CS200" s="177"/>
      <c r="CT200" s="177"/>
      <c r="CU200" s="177"/>
      <c r="CV200" s="177"/>
      <c r="CW200" s="177"/>
      <c r="CX200" s="177"/>
      <c r="CY200" s="177"/>
      <c r="CZ200" s="177"/>
    </row>
    <row r="201" spans="2:104">
      <c r="B201" s="214"/>
      <c r="C201" s="211"/>
      <c r="D201" s="211"/>
      <c r="E201" s="211"/>
      <c r="F201" s="211"/>
      <c r="G201" s="211"/>
      <c r="H201" s="211"/>
      <c r="I201" s="211"/>
      <c r="J201" s="211"/>
      <c r="K201" s="211"/>
      <c r="L201" s="211"/>
      <c r="M201" s="211"/>
      <c r="N201" s="211"/>
      <c r="O201" s="211"/>
      <c r="P201" s="211"/>
      <c r="Q201" s="211"/>
      <c r="R201" s="211"/>
      <c r="S201" s="211"/>
      <c r="T201" s="211"/>
      <c r="U201" s="211"/>
      <c r="V201" s="211"/>
      <c r="W201" s="211"/>
      <c r="X201" s="211"/>
      <c r="Y201" s="211"/>
      <c r="Z201" s="211"/>
      <c r="AA201" s="211"/>
      <c r="AB201" s="177"/>
      <c r="AE201" s="177"/>
      <c r="AF201" s="177"/>
      <c r="AG201" s="177"/>
      <c r="AH201" s="177"/>
      <c r="AI201" s="177"/>
      <c r="AJ201" s="177"/>
      <c r="AK201" s="177"/>
      <c r="AL201" s="177"/>
      <c r="AM201" s="177"/>
      <c r="AN201" s="177"/>
      <c r="AO201" s="177"/>
      <c r="AP201" s="177"/>
      <c r="AQ201" s="177"/>
      <c r="AR201" s="177"/>
      <c r="AS201" s="177"/>
      <c r="AT201" s="177"/>
      <c r="AU201" s="177"/>
      <c r="AV201" s="177"/>
      <c r="AW201" s="177"/>
      <c r="AX201" s="177"/>
      <c r="AY201" s="177"/>
      <c r="AZ201" s="177"/>
      <c r="BA201" s="177"/>
      <c r="BB201" s="177"/>
      <c r="BC201" s="177"/>
      <c r="BD201" s="177"/>
      <c r="BE201" s="177"/>
      <c r="BF201" s="177"/>
      <c r="BG201" s="177"/>
      <c r="BH201" s="177"/>
      <c r="BI201" s="177"/>
      <c r="BJ201" s="177"/>
      <c r="BK201" s="177"/>
      <c r="BL201" s="177"/>
      <c r="BM201" s="177"/>
      <c r="BN201" s="177"/>
      <c r="BO201" s="177"/>
      <c r="BP201" s="177"/>
      <c r="BQ201" s="177"/>
      <c r="BR201" s="177"/>
      <c r="BS201" s="177"/>
      <c r="BT201" s="177"/>
      <c r="BU201" s="177"/>
      <c r="BV201" s="177"/>
      <c r="BW201" s="177"/>
      <c r="BX201" s="177"/>
      <c r="BY201" s="177"/>
      <c r="BZ201" s="177"/>
      <c r="CA201" s="177"/>
      <c r="CB201" s="177"/>
      <c r="CC201" s="177"/>
      <c r="CD201" s="177"/>
      <c r="CE201" s="177"/>
      <c r="CF201" s="177"/>
      <c r="CG201" s="177"/>
      <c r="CH201" s="177"/>
      <c r="CI201" s="177"/>
      <c r="CJ201" s="177"/>
      <c r="CK201" s="177"/>
      <c r="CL201" s="177"/>
      <c r="CM201" s="177"/>
      <c r="CN201" s="177"/>
      <c r="CO201" s="177"/>
      <c r="CP201" s="177"/>
      <c r="CQ201" s="177"/>
      <c r="CR201" s="177"/>
      <c r="CS201" s="177"/>
      <c r="CT201" s="177"/>
      <c r="CU201" s="177"/>
      <c r="CV201" s="177"/>
      <c r="CW201" s="177"/>
      <c r="CX201" s="177"/>
      <c r="CY201" s="177"/>
      <c r="CZ201" s="177"/>
    </row>
    <row r="202" spans="2:104">
      <c r="B202" s="214"/>
      <c r="C202" s="211"/>
      <c r="D202" s="211"/>
      <c r="E202" s="211"/>
      <c r="F202" s="211"/>
      <c r="G202" s="211"/>
      <c r="H202" s="211"/>
      <c r="I202" s="211"/>
      <c r="J202" s="211"/>
      <c r="K202" s="211"/>
      <c r="L202" s="211"/>
      <c r="M202" s="211"/>
      <c r="N202" s="211"/>
      <c r="O202" s="211"/>
      <c r="P202" s="211"/>
      <c r="Q202" s="211"/>
      <c r="R202" s="211"/>
      <c r="S202" s="211"/>
      <c r="T202" s="211"/>
      <c r="U202" s="211"/>
      <c r="V202" s="211"/>
      <c r="W202" s="211"/>
      <c r="X202" s="211"/>
      <c r="Y202" s="211"/>
      <c r="Z202" s="211"/>
      <c r="AA202" s="211"/>
      <c r="AB202" s="177"/>
      <c r="AE202" s="177"/>
      <c r="AF202" s="177"/>
      <c r="AG202" s="177"/>
      <c r="AH202" s="177"/>
      <c r="AI202" s="177"/>
      <c r="AJ202" s="177"/>
      <c r="AK202" s="177"/>
      <c r="AL202" s="177"/>
      <c r="AM202" s="177"/>
      <c r="AN202" s="177"/>
      <c r="AO202" s="177"/>
      <c r="AP202" s="177"/>
      <c r="AQ202" s="177"/>
      <c r="AR202" s="177"/>
      <c r="AS202" s="177"/>
      <c r="AT202" s="177"/>
      <c r="AU202" s="177"/>
      <c r="AV202" s="177"/>
      <c r="AW202" s="177"/>
      <c r="AX202" s="177"/>
      <c r="AY202" s="177"/>
      <c r="AZ202" s="177"/>
      <c r="BA202" s="177"/>
      <c r="BB202" s="177"/>
      <c r="BC202" s="177"/>
      <c r="BD202" s="177"/>
      <c r="BE202" s="177"/>
      <c r="BF202" s="177"/>
      <c r="BG202" s="177"/>
      <c r="BH202" s="177"/>
      <c r="BI202" s="177"/>
      <c r="BJ202" s="177"/>
      <c r="BK202" s="177"/>
      <c r="BL202" s="177"/>
      <c r="BM202" s="177"/>
      <c r="BN202" s="177"/>
      <c r="BO202" s="177"/>
      <c r="BP202" s="177"/>
      <c r="BQ202" s="177"/>
      <c r="BR202" s="177"/>
      <c r="BS202" s="177"/>
      <c r="BT202" s="177"/>
      <c r="BU202" s="177"/>
      <c r="BV202" s="177"/>
      <c r="BW202" s="177"/>
      <c r="BX202" s="177"/>
      <c r="BY202" s="177"/>
      <c r="BZ202" s="177"/>
      <c r="CA202" s="177"/>
      <c r="CB202" s="177"/>
      <c r="CC202" s="177"/>
      <c r="CD202" s="177"/>
      <c r="CE202" s="177"/>
      <c r="CF202" s="177"/>
      <c r="CG202" s="177"/>
      <c r="CH202" s="177"/>
      <c r="CI202" s="177"/>
      <c r="CJ202" s="177"/>
      <c r="CK202" s="177"/>
      <c r="CL202" s="177"/>
      <c r="CM202" s="177"/>
      <c r="CN202" s="177"/>
      <c r="CO202" s="177"/>
      <c r="CP202" s="177"/>
      <c r="CQ202" s="177"/>
      <c r="CR202" s="177"/>
      <c r="CS202" s="177"/>
      <c r="CT202" s="177"/>
      <c r="CU202" s="177"/>
      <c r="CV202" s="177"/>
      <c r="CW202" s="177"/>
      <c r="CX202" s="177"/>
      <c r="CY202" s="177"/>
      <c r="CZ202" s="177"/>
    </row>
    <row r="203" spans="2:104">
      <c r="B203" s="214"/>
      <c r="C203" s="211"/>
      <c r="D203" s="211"/>
      <c r="E203" s="211"/>
      <c r="F203" s="211"/>
      <c r="G203" s="211"/>
      <c r="H203" s="211"/>
      <c r="I203" s="211"/>
      <c r="J203" s="211"/>
      <c r="K203" s="211"/>
      <c r="L203" s="211"/>
      <c r="M203" s="211"/>
      <c r="N203" s="211"/>
      <c r="O203" s="211"/>
      <c r="P203" s="211"/>
      <c r="Q203" s="211"/>
      <c r="R203" s="211"/>
      <c r="S203" s="211"/>
      <c r="T203" s="211"/>
      <c r="U203" s="211"/>
      <c r="V203" s="211"/>
      <c r="W203" s="211"/>
      <c r="X203" s="211"/>
      <c r="Y203" s="211"/>
      <c r="Z203" s="211"/>
      <c r="AA203" s="211"/>
      <c r="AB203" s="177"/>
      <c r="AE203" s="177"/>
      <c r="AF203" s="177"/>
      <c r="AG203" s="177"/>
      <c r="AH203" s="177"/>
      <c r="AI203" s="177"/>
      <c r="AJ203" s="177"/>
      <c r="AK203" s="177"/>
      <c r="AL203" s="177"/>
      <c r="AM203" s="177"/>
      <c r="AN203" s="177"/>
      <c r="AO203" s="177"/>
      <c r="AP203" s="177"/>
      <c r="AQ203" s="177"/>
      <c r="AR203" s="177"/>
      <c r="AS203" s="177"/>
      <c r="AT203" s="177"/>
      <c r="AU203" s="177"/>
      <c r="AV203" s="177"/>
      <c r="AW203" s="177"/>
      <c r="AX203" s="177"/>
      <c r="AY203" s="177"/>
      <c r="AZ203" s="177"/>
      <c r="BA203" s="177"/>
      <c r="BB203" s="177"/>
      <c r="BC203" s="177"/>
      <c r="BD203" s="177"/>
      <c r="BE203" s="177"/>
      <c r="BF203" s="177"/>
      <c r="BG203" s="177"/>
      <c r="BH203" s="177"/>
      <c r="BI203" s="177"/>
      <c r="BJ203" s="177"/>
      <c r="BK203" s="177"/>
      <c r="BL203" s="177"/>
      <c r="BM203" s="177"/>
      <c r="BN203" s="177"/>
      <c r="BO203" s="177"/>
      <c r="BP203" s="177"/>
      <c r="BQ203" s="177"/>
      <c r="BR203" s="177"/>
      <c r="BS203" s="177"/>
      <c r="BT203" s="177"/>
      <c r="BU203" s="177"/>
      <c r="BV203" s="177"/>
      <c r="BW203" s="177"/>
      <c r="BX203" s="177"/>
      <c r="BY203" s="177"/>
      <c r="BZ203" s="177"/>
      <c r="CA203" s="177"/>
      <c r="CB203" s="177"/>
      <c r="CC203" s="177"/>
      <c r="CD203" s="177"/>
      <c r="CE203" s="177"/>
      <c r="CF203" s="177"/>
      <c r="CG203" s="177"/>
      <c r="CH203" s="177"/>
      <c r="CI203" s="177"/>
      <c r="CJ203" s="177"/>
      <c r="CK203" s="177"/>
      <c r="CL203" s="177"/>
      <c r="CM203" s="177"/>
      <c r="CN203" s="177"/>
      <c r="CO203" s="177"/>
      <c r="CP203" s="177"/>
      <c r="CQ203" s="177"/>
      <c r="CR203" s="177"/>
      <c r="CS203" s="177"/>
      <c r="CT203" s="177"/>
      <c r="CU203" s="177"/>
      <c r="CV203" s="177"/>
      <c r="CW203" s="177"/>
      <c r="CX203" s="177"/>
      <c r="CY203" s="177"/>
      <c r="CZ203" s="177"/>
    </row>
    <row r="204" spans="2:104">
      <c r="B204" s="214"/>
      <c r="C204" s="211"/>
      <c r="D204" s="211"/>
      <c r="E204" s="211"/>
      <c r="F204" s="211"/>
      <c r="G204" s="211"/>
      <c r="H204" s="211"/>
      <c r="I204" s="211"/>
      <c r="J204" s="211"/>
      <c r="K204" s="211"/>
      <c r="L204" s="211"/>
      <c r="M204" s="211"/>
      <c r="N204" s="211"/>
      <c r="O204" s="211"/>
      <c r="P204" s="211"/>
      <c r="Q204" s="211"/>
      <c r="R204" s="211"/>
      <c r="S204" s="211"/>
      <c r="T204" s="211"/>
      <c r="U204" s="211"/>
      <c r="V204" s="211"/>
      <c r="W204" s="211"/>
      <c r="X204" s="211"/>
      <c r="Y204" s="211"/>
      <c r="Z204" s="211"/>
      <c r="AA204" s="211"/>
      <c r="AB204" s="177"/>
      <c r="AE204" s="177"/>
      <c r="AF204" s="177"/>
      <c r="AG204" s="177"/>
      <c r="AH204" s="177"/>
      <c r="AI204" s="177"/>
      <c r="AJ204" s="177"/>
      <c r="AK204" s="177"/>
      <c r="AL204" s="177"/>
      <c r="AM204" s="177"/>
      <c r="AN204" s="177"/>
      <c r="AO204" s="177"/>
      <c r="AP204" s="177"/>
      <c r="AQ204" s="177"/>
      <c r="AR204" s="177"/>
      <c r="AS204" s="177"/>
      <c r="AT204" s="177"/>
      <c r="AU204" s="177"/>
      <c r="AV204" s="177"/>
      <c r="AW204" s="177"/>
      <c r="AX204" s="177"/>
      <c r="AY204" s="177"/>
      <c r="AZ204" s="177"/>
      <c r="BA204" s="177"/>
      <c r="BB204" s="177"/>
      <c r="BC204" s="177"/>
      <c r="BD204" s="177"/>
      <c r="BE204" s="177"/>
      <c r="BF204" s="177"/>
      <c r="BG204" s="177"/>
      <c r="BH204" s="177"/>
      <c r="BI204" s="177"/>
      <c r="BJ204" s="177"/>
      <c r="BK204" s="177"/>
      <c r="BL204" s="177"/>
      <c r="BM204" s="177"/>
      <c r="BN204" s="177"/>
      <c r="BO204" s="177"/>
      <c r="BP204" s="177"/>
      <c r="BQ204" s="177"/>
      <c r="BR204" s="177"/>
      <c r="BS204" s="177"/>
      <c r="BT204" s="177"/>
      <c r="BU204" s="177"/>
      <c r="BV204" s="177"/>
      <c r="BW204" s="177"/>
      <c r="BX204" s="177"/>
      <c r="BY204" s="177"/>
      <c r="BZ204" s="177"/>
      <c r="CA204" s="177"/>
      <c r="CB204" s="177"/>
      <c r="CC204" s="177"/>
      <c r="CD204" s="177"/>
      <c r="CE204" s="177"/>
      <c r="CF204" s="177"/>
      <c r="CG204" s="177"/>
      <c r="CH204" s="177"/>
      <c r="CI204" s="177"/>
      <c r="CJ204" s="177"/>
      <c r="CK204" s="177"/>
      <c r="CL204" s="177"/>
      <c r="CM204" s="177"/>
      <c r="CN204" s="177"/>
      <c r="CO204" s="177"/>
      <c r="CP204" s="177"/>
      <c r="CQ204" s="177"/>
      <c r="CR204" s="177"/>
      <c r="CS204" s="177"/>
      <c r="CT204" s="177"/>
      <c r="CU204" s="177"/>
      <c r="CV204" s="177"/>
      <c r="CW204" s="177"/>
      <c r="CX204" s="177"/>
      <c r="CY204" s="177"/>
      <c r="CZ204" s="177"/>
    </row>
    <row r="205" spans="2:104">
      <c r="B205" s="214"/>
      <c r="C205" s="211"/>
      <c r="D205" s="211"/>
      <c r="E205" s="211"/>
      <c r="F205" s="211"/>
      <c r="G205" s="211"/>
      <c r="H205" s="211"/>
      <c r="I205" s="211"/>
      <c r="J205" s="211"/>
      <c r="K205" s="211"/>
      <c r="L205" s="211"/>
      <c r="M205" s="211"/>
      <c r="N205" s="211"/>
      <c r="O205" s="211"/>
      <c r="P205" s="211"/>
      <c r="Q205" s="211"/>
      <c r="R205" s="211"/>
      <c r="S205" s="211"/>
      <c r="T205" s="211"/>
      <c r="U205" s="211"/>
      <c r="V205" s="211"/>
      <c r="W205" s="211"/>
      <c r="X205" s="211"/>
      <c r="Y205" s="211"/>
      <c r="Z205" s="211"/>
      <c r="AA205" s="211"/>
      <c r="AB205" s="177"/>
      <c r="AE205" s="177"/>
      <c r="AF205" s="177"/>
      <c r="AG205" s="177"/>
      <c r="AH205" s="177"/>
      <c r="AI205" s="177"/>
      <c r="AJ205" s="177"/>
      <c r="AK205" s="177"/>
      <c r="AL205" s="177"/>
      <c r="AM205" s="177"/>
      <c r="AN205" s="177"/>
      <c r="AO205" s="177"/>
      <c r="AP205" s="177"/>
      <c r="AQ205" s="177"/>
      <c r="AR205" s="177"/>
      <c r="AS205" s="177"/>
      <c r="AT205" s="177"/>
      <c r="AU205" s="177"/>
      <c r="AV205" s="177"/>
      <c r="AW205" s="177"/>
      <c r="AX205" s="177"/>
      <c r="AY205" s="177"/>
      <c r="AZ205" s="177"/>
      <c r="BA205" s="177"/>
      <c r="BB205" s="177"/>
      <c r="BC205" s="177"/>
      <c r="BD205" s="177"/>
      <c r="BE205" s="177"/>
      <c r="BF205" s="177"/>
      <c r="BG205" s="177"/>
      <c r="BH205" s="177"/>
      <c r="BI205" s="177"/>
      <c r="BJ205" s="177"/>
      <c r="BK205" s="177"/>
      <c r="BL205" s="177"/>
      <c r="BM205" s="177"/>
      <c r="BN205" s="177"/>
      <c r="BO205" s="177"/>
      <c r="BP205" s="177"/>
      <c r="BQ205" s="177"/>
      <c r="BR205" s="177"/>
      <c r="BS205" s="177"/>
      <c r="BT205" s="177"/>
      <c r="BU205" s="177"/>
      <c r="BV205" s="177"/>
      <c r="BW205" s="177"/>
      <c r="BX205" s="177"/>
      <c r="BY205" s="177"/>
      <c r="BZ205" s="177"/>
      <c r="CA205" s="177"/>
      <c r="CB205" s="177"/>
      <c r="CC205" s="177"/>
      <c r="CD205" s="177"/>
      <c r="CE205" s="177"/>
      <c r="CF205" s="177"/>
      <c r="CG205" s="177"/>
      <c r="CH205" s="177"/>
      <c r="CI205" s="177"/>
      <c r="CJ205" s="177"/>
      <c r="CK205" s="177"/>
      <c r="CL205" s="177"/>
      <c r="CM205" s="177"/>
      <c r="CN205" s="177"/>
      <c r="CO205" s="177"/>
      <c r="CP205" s="177"/>
      <c r="CQ205" s="177"/>
      <c r="CR205" s="177"/>
      <c r="CS205" s="177"/>
      <c r="CT205" s="177"/>
      <c r="CU205" s="177"/>
      <c r="CV205" s="177"/>
      <c r="CW205" s="177"/>
      <c r="CX205" s="177"/>
      <c r="CY205" s="177"/>
      <c r="CZ205" s="177"/>
    </row>
    <row r="206" spans="2:104">
      <c r="B206" s="214"/>
      <c r="C206" s="211"/>
      <c r="D206" s="211"/>
      <c r="E206" s="211"/>
      <c r="F206" s="211"/>
      <c r="G206" s="211"/>
      <c r="H206" s="211"/>
      <c r="I206" s="211"/>
      <c r="J206" s="211"/>
      <c r="K206" s="211"/>
      <c r="L206" s="211"/>
      <c r="M206" s="211"/>
      <c r="N206" s="211"/>
      <c r="O206" s="211"/>
      <c r="P206" s="211"/>
      <c r="Q206" s="211"/>
      <c r="R206" s="211"/>
      <c r="S206" s="211"/>
      <c r="T206" s="211"/>
      <c r="U206" s="211"/>
      <c r="V206" s="211"/>
      <c r="W206" s="211"/>
      <c r="X206" s="211"/>
      <c r="Y206" s="211"/>
      <c r="Z206" s="211"/>
      <c r="AA206" s="211"/>
      <c r="AB206" s="177"/>
      <c r="AE206" s="177"/>
      <c r="AF206" s="177"/>
      <c r="AG206" s="177"/>
      <c r="AH206" s="177"/>
      <c r="AI206" s="177"/>
      <c r="AJ206" s="177"/>
      <c r="AK206" s="177"/>
      <c r="AL206" s="177"/>
      <c r="AM206" s="177"/>
      <c r="AN206" s="177"/>
      <c r="AO206" s="177"/>
      <c r="AP206" s="177"/>
      <c r="AQ206" s="177"/>
      <c r="AR206" s="177"/>
      <c r="AS206" s="177"/>
      <c r="AT206" s="177"/>
      <c r="AU206" s="177"/>
      <c r="AV206" s="177"/>
      <c r="AW206" s="177"/>
      <c r="AX206" s="177"/>
      <c r="AY206" s="177"/>
      <c r="AZ206" s="177"/>
      <c r="BA206" s="177"/>
      <c r="BB206" s="177"/>
      <c r="BC206" s="177"/>
      <c r="BD206" s="177"/>
      <c r="BE206" s="177"/>
      <c r="BF206" s="177"/>
      <c r="BG206" s="177"/>
      <c r="BH206" s="177"/>
      <c r="BI206" s="177"/>
      <c r="BJ206" s="177"/>
      <c r="BK206" s="177"/>
      <c r="BL206" s="177"/>
      <c r="BM206" s="177"/>
      <c r="BN206" s="177"/>
      <c r="BO206" s="177"/>
      <c r="BP206" s="177"/>
      <c r="BQ206" s="177"/>
      <c r="BR206" s="177"/>
      <c r="BS206" s="177"/>
      <c r="BT206" s="177"/>
      <c r="BU206" s="177"/>
      <c r="BV206" s="177"/>
      <c r="BW206" s="177"/>
      <c r="BX206" s="177"/>
      <c r="BY206" s="177"/>
      <c r="BZ206" s="177"/>
      <c r="CA206" s="177"/>
      <c r="CB206" s="177"/>
      <c r="CC206" s="177"/>
      <c r="CD206" s="177"/>
      <c r="CE206" s="177"/>
      <c r="CF206" s="177"/>
      <c r="CG206" s="177"/>
      <c r="CH206" s="177"/>
      <c r="CI206" s="177"/>
      <c r="CJ206" s="177"/>
      <c r="CK206" s="177"/>
      <c r="CL206" s="177"/>
      <c r="CM206" s="177"/>
      <c r="CN206" s="177"/>
      <c r="CO206" s="177"/>
      <c r="CP206" s="177"/>
      <c r="CQ206" s="177"/>
      <c r="CR206" s="177"/>
      <c r="CS206" s="177"/>
      <c r="CT206" s="177"/>
      <c r="CU206" s="177"/>
      <c r="CV206" s="177"/>
      <c r="CW206" s="177"/>
      <c r="CX206" s="177"/>
      <c r="CY206" s="177"/>
      <c r="CZ206" s="177"/>
    </row>
    <row r="207" spans="2:104">
      <c r="B207" s="214"/>
      <c r="C207" s="211"/>
      <c r="D207" s="211"/>
      <c r="E207" s="211"/>
      <c r="F207" s="211"/>
      <c r="G207" s="211"/>
      <c r="H207" s="211"/>
      <c r="I207" s="211"/>
      <c r="J207" s="211"/>
      <c r="K207" s="211"/>
      <c r="L207" s="211"/>
      <c r="M207" s="211"/>
      <c r="N207" s="211"/>
      <c r="O207" s="211"/>
      <c r="P207" s="211"/>
      <c r="Q207" s="211"/>
      <c r="R207" s="211"/>
      <c r="S207" s="211"/>
      <c r="T207" s="211"/>
      <c r="U207" s="211"/>
      <c r="V207" s="211"/>
      <c r="W207" s="211"/>
      <c r="X207" s="211"/>
      <c r="Y207" s="211"/>
      <c r="Z207" s="211"/>
      <c r="AA207" s="211"/>
      <c r="AB207" s="177"/>
      <c r="AE207" s="177"/>
      <c r="AF207" s="177"/>
      <c r="AG207" s="177"/>
      <c r="AH207" s="177"/>
      <c r="AI207" s="177"/>
      <c r="AJ207" s="177"/>
      <c r="AK207" s="177"/>
      <c r="AL207" s="177"/>
      <c r="AM207" s="177"/>
      <c r="AN207" s="177"/>
      <c r="AO207" s="177"/>
      <c r="AP207" s="177"/>
      <c r="AQ207" s="177"/>
      <c r="AR207" s="177"/>
      <c r="AS207" s="177"/>
      <c r="AT207" s="177"/>
      <c r="AU207" s="177"/>
      <c r="AV207" s="177"/>
      <c r="AW207" s="177"/>
      <c r="AX207" s="177"/>
      <c r="AY207" s="177"/>
      <c r="AZ207" s="177"/>
      <c r="BA207" s="177"/>
      <c r="BB207" s="177"/>
      <c r="BC207" s="177"/>
      <c r="BD207" s="177"/>
      <c r="BE207" s="177"/>
      <c r="BF207" s="177"/>
      <c r="BG207" s="177"/>
      <c r="BH207" s="177"/>
      <c r="BI207" s="177"/>
      <c r="BJ207" s="177"/>
      <c r="BK207" s="177"/>
      <c r="BL207" s="177"/>
      <c r="BM207" s="177"/>
      <c r="BN207" s="177"/>
      <c r="BO207" s="177"/>
      <c r="BP207" s="177"/>
      <c r="BQ207" s="177"/>
      <c r="BR207" s="177"/>
      <c r="BS207" s="177"/>
      <c r="BT207" s="177"/>
      <c r="BU207" s="177"/>
      <c r="BV207" s="177"/>
      <c r="BW207" s="177"/>
      <c r="BX207" s="177"/>
      <c r="BY207" s="177"/>
      <c r="BZ207" s="177"/>
      <c r="CA207" s="177"/>
      <c r="CB207" s="177"/>
      <c r="CC207" s="177"/>
      <c r="CD207" s="177"/>
      <c r="CE207" s="177"/>
      <c r="CF207" s="177"/>
      <c r="CG207" s="177"/>
      <c r="CH207" s="177"/>
      <c r="CI207" s="177"/>
      <c r="CJ207" s="177"/>
      <c r="CK207" s="177"/>
      <c r="CL207" s="177"/>
      <c r="CM207" s="177"/>
      <c r="CN207" s="177"/>
      <c r="CO207" s="177"/>
      <c r="CP207" s="177"/>
      <c r="CQ207" s="177"/>
      <c r="CR207" s="177"/>
      <c r="CS207" s="177"/>
      <c r="CT207" s="177"/>
      <c r="CU207" s="177"/>
      <c r="CV207" s="177"/>
      <c r="CW207" s="177"/>
      <c r="CX207" s="177"/>
      <c r="CY207" s="177"/>
      <c r="CZ207" s="177"/>
    </row>
    <row r="208" spans="2:104">
      <c r="B208" s="214"/>
      <c r="C208" s="211"/>
      <c r="D208" s="211"/>
      <c r="E208" s="211"/>
      <c r="F208" s="211"/>
      <c r="G208" s="211"/>
      <c r="H208" s="211"/>
      <c r="I208" s="211"/>
      <c r="J208" s="211"/>
      <c r="K208" s="211"/>
      <c r="L208" s="211"/>
      <c r="M208" s="211"/>
      <c r="N208" s="211"/>
      <c r="O208" s="211"/>
      <c r="P208" s="211"/>
      <c r="Q208" s="211"/>
      <c r="R208" s="211"/>
      <c r="S208" s="211"/>
      <c r="T208" s="211"/>
      <c r="U208" s="211"/>
      <c r="V208" s="211"/>
      <c r="W208" s="211"/>
      <c r="X208" s="211"/>
      <c r="Y208" s="211"/>
      <c r="Z208" s="211"/>
      <c r="AA208" s="211"/>
      <c r="AB208" s="177"/>
      <c r="AE208" s="177"/>
      <c r="AF208" s="177"/>
      <c r="AG208" s="177"/>
      <c r="AH208" s="177"/>
      <c r="AI208" s="177"/>
      <c r="AJ208" s="177"/>
      <c r="AK208" s="177"/>
      <c r="AL208" s="177"/>
      <c r="AM208" s="177"/>
      <c r="AN208" s="177"/>
      <c r="AO208" s="177"/>
      <c r="AP208" s="177"/>
      <c r="AQ208" s="177"/>
      <c r="AR208" s="177"/>
      <c r="AS208" s="177"/>
      <c r="AT208" s="177"/>
      <c r="AU208" s="177"/>
      <c r="AV208" s="177"/>
      <c r="AW208" s="177"/>
      <c r="AX208" s="177"/>
      <c r="AY208" s="177"/>
      <c r="AZ208" s="177"/>
      <c r="BA208" s="177"/>
      <c r="BB208" s="177"/>
      <c r="BC208" s="177"/>
      <c r="BD208" s="177"/>
      <c r="BE208" s="177"/>
      <c r="BF208" s="177"/>
      <c r="BG208" s="177"/>
      <c r="BH208" s="177"/>
      <c r="BI208" s="177"/>
      <c r="BJ208" s="177"/>
      <c r="BK208" s="177"/>
      <c r="BL208" s="177"/>
      <c r="BM208" s="177"/>
      <c r="BN208" s="177"/>
      <c r="BO208" s="177"/>
      <c r="BP208" s="177"/>
      <c r="BQ208" s="177"/>
      <c r="BR208" s="177"/>
      <c r="BS208" s="177"/>
      <c r="BT208" s="177"/>
      <c r="BU208" s="177"/>
      <c r="BV208" s="177"/>
      <c r="BW208" s="177"/>
      <c r="BX208" s="177"/>
      <c r="BY208" s="177"/>
      <c r="BZ208" s="177"/>
      <c r="CA208" s="177"/>
      <c r="CB208" s="177"/>
      <c r="CC208" s="177"/>
      <c r="CD208" s="177"/>
      <c r="CE208" s="177"/>
      <c r="CF208" s="177"/>
      <c r="CG208" s="177"/>
      <c r="CH208" s="177"/>
      <c r="CI208" s="177"/>
      <c r="CJ208" s="177"/>
      <c r="CK208" s="177"/>
      <c r="CL208" s="177"/>
      <c r="CM208" s="177"/>
      <c r="CN208" s="177"/>
      <c r="CO208" s="177"/>
      <c r="CP208" s="177"/>
      <c r="CQ208" s="177"/>
      <c r="CR208" s="177"/>
      <c r="CS208" s="177"/>
      <c r="CT208" s="177"/>
      <c r="CU208" s="177"/>
      <c r="CV208" s="177"/>
      <c r="CW208" s="177"/>
      <c r="CX208" s="177"/>
      <c r="CY208" s="177"/>
      <c r="CZ208" s="177"/>
    </row>
    <row r="209" spans="2:104">
      <c r="B209" s="214"/>
      <c r="C209" s="211"/>
      <c r="D209" s="211"/>
      <c r="E209" s="211"/>
      <c r="F209" s="211"/>
      <c r="G209" s="211"/>
      <c r="H209" s="211"/>
      <c r="I209" s="211"/>
      <c r="J209" s="211"/>
      <c r="K209" s="211"/>
      <c r="L209" s="211"/>
      <c r="M209" s="211"/>
      <c r="N209" s="211"/>
      <c r="O209" s="211"/>
      <c r="P209" s="211"/>
      <c r="Q209" s="211"/>
      <c r="R209" s="211"/>
      <c r="S209" s="211"/>
      <c r="T209" s="211"/>
      <c r="U209" s="211"/>
      <c r="V209" s="211"/>
      <c r="W209" s="211"/>
      <c r="X209" s="211"/>
      <c r="Y209" s="211"/>
      <c r="Z209" s="211"/>
      <c r="AA209" s="211"/>
      <c r="AB209" s="177"/>
      <c r="AE209" s="177"/>
      <c r="AF209" s="177"/>
      <c r="AG209" s="177"/>
      <c r="AH209" s="177"/>
      <c r="AI209" s="177"/>
      <c r="AJ209" s="177"/>
      <c r="AK209" s="177"/>
      <c r="AL209" s="177"/>
      <c r="AM209" s="177"/>
      <c r="AN209" s="177"/>
      <c r="AO209" s="177"/>
      <c r="AP209" s="177"/>
      <c r="AQ209" s="177"/>
      <c r="AR209" s="177"/>
      <c r="AS209" s="177"/>
      <c r="AT209" s="177"/>
      <c r="AU209" s="177"/>
      <c r="AV209" s="177"/>
      <c r="AW209" s="177"/>
      <c r="AX209" s="177"/>
      <c r="AY209" s="177"/>
      <c r="AZ209" s="177"/>
      <c r="BA209" s="177"/>
      <c r="BB209" s="177"/>
      <c r="BC209" s="177"/>
      <c r="BD209" s="177"/>
      <c r="BE209" s="177"/>
      <c r="BF209" s="177"/>
      <c r="BG209" s="177"/>
      <c r="BH209" s="177"/>
      <c r="BI209" s="177"/>
      <c r="BJ209" s="177"/>
      <c r="BK209" s="177"/>
      <c r="BL209" s="177"/>
      <c r="BM209" s="177"/>
      <c r="BN209" s="177"/>
      <c r="BO209" s="177"/>
      <c r="BP209" s="177"/>
      <c r="BQ209" s="177"/>
      <c r="BR209" s="177"/>
      <c r="BS209" s="177"/>
      <c r="BT209" s="177"/>
      <c r="BU209" s="177"/>
      <c r="BV209" s="177"/>
      <c r="BW209" s="177"/>
      <c r="BX209" s="177"/>
      <c r="BY209" s="177"/>
      <c r="BZ209" s="177"/>
      <c r="CA209" s="177"/>
      <c r="CB209" s="177"/>
      <c r="CC209" s="177"/>
      <c r="CD209" s="177"/>
      <c r="CE209" s="177"/>
      <c r="CF209" s="177"/>
      <c r="CG209" s="177"/>
      <c r="CH209" s="177"/>
      <c r="CI209" s="177"/>
      <c r="CJ209" s="177"/>
      <c r="CK209" s="177"/>
      <c r="CL209" s="177"/>
      <c r="CM209" s="177"/>
      <c r="CN209" s="177"/>
      <c r="CO209" s="177"/>
      <c r="CP209" s="177"/>
      <c r="CQ209" s="177"/>
      <c r="CR209" s="177"/>
      <c r="CS209" s="177"/>
      <c r="CT209" s="177"/>
      <c r="CU209" s="177"/>
      <c r="CV209" s="177"/>
      <c r="CW209" s="177"/>
      <c r="CX209" s="177"/>
      <c r="CY209" s="177"/>
      <c r="CZ209" s="177"/>
    </row>
    <row r="210" spans="2:104">
      <c r="B210" s="214"/>
      <c r="C210" s="211"/>
      <c r="D210" s="211"/>
      <c r="E210" s="211"/>
      <c r="F210" s="211"/>
      <c r="G210" s="211"/>
      <c r="H210" s="211"/>
      <c r="I210" s="211"/>
      <c r="J210" s="211"/>
      <c r="K210" s="211"/>
      <c r="L210" s="211"/>
      <c r="M210" s="211"/>
      <c r="N210" s="211"/>
      <c r="O210" s="211"/>
      <c r="P210" s="211"/>
      <c r="Q210" s="211"/>
      <c r="R210" s="211"/>
      <c r="S210" s="211"/>
      <c r="T210" s="211"/>
      <c r="U210" s="211"/>
      <c r="V210" s="211"/>
      <c r="W210" s="211"/>
      <c r="X210" s="211"/>
      <c r="Y210" s="211"/>
      <c r="Z210" s="211"/>
      <c r="AA210" s="211"/>
      <c r="AB210" s="177"/>
      <c r="AE210" s="177"/>
      <c r="AF210" s="177"/>
      <c r="AG210" s="177"/>
      <c r="AH210" s="177"/>
      <c r="AI210" s="177"/>
      <c r="AJ210" s="177"/>
      <c r="AK210" s="177"/>
      <c r="AL210" s="177"/>
      <c r="AM210" s="177"/>
      <c r="AN210" s="177"/>
      <c r="AO210" s="177"/>
      <c r="AP210" s="177"/>
      <c r="AQ210" s="177"/>
      <c r="AR210" s="177"/>
      <c r="AS210" s="177"/>
      <c r="AT210" s="177"/>
      <c r="AU210" s="177"/>
      <c r="AV210" s="177"/>
      <c r="AW210" s="177"/>
      <c r="AX210" s="177"/>
      <c r="AY210" s="177"/>
      <c r="AZ210" s="177"/>
      <c r="BA210" s="177"/>
      <c r="BB210" s="177"/>
      <c r="BC210" s="177"/>
      <c r="BD210" s="177"/>
      <c r="BE210" s="177"/>
      <c r="BF210" s="177"/>
      <c r="BG210" s="177"/>
      <c r="BH210" s="177"/>
      <c r="BI210" s="177"/>
      <c r="BJ210" s="177"/>
      <c r="BK210" s="177"/>
      <c r="BL210" s="177"/>
      <c r="BM210" s="177"/>
      <c r="BN210" s="177"/>
      <c r="BO210" s="177"/>
      <c r="BP210" s="177"/>
      <c r="BQ210" s="177"/>
      <c r="BR210" s="177"/>
      <c r="BS210" s="177"/>
      <c r="BT210" s="177"/>
      <c r="BU210" s="177"/>
      <c r="BV210" s="177"/>
      <c r="BW210" s="177"/>
      <c r="BX210" s="177"/>
      <c r="BY210" s="177"/>
      <c r="BZ210" s="177"/>
      <c r="CA210" s="177"/>
      <c r="CB210" s="177"/>
      <c r="CC210" s="177"/>
      <c r="CD210" s="177"/>
      <c r="CE210" s="177"/>
      <c r="CF210" s="177"/>
      <c r="CG210" s="177"/>
      <c r="CH210" s="177"/>
      <c r="CI210" s="177"/>
      <c r="CJ210" s="177"/>
      <c r="CK210" s="177"/>
      <c r="CL210" s="177"/>
      <c r="CM210" s="177"/>
      <c r="CN210" s="177"/>
      <c r="CO210" s="177"/>
      <c r="CP210" s="177"/>
      <c r="CQ210" s="177"/>
      <c r="CR210" s="177"/>
      <c r="CS210" s="177"/>
      <c r="CT210" s="177"/>
      <c r="CU210" s="177"/>
      <c r="CV210" s="177"/>
      <c r="CW210" s="177"/>
      <c r="CX210" s="177"/>
      <c r="CY210" s="177"/>
      <c r="CZ210" s="177"/>
    </row>
    <row r="211" spans="2:104">
      <c r="B211" s="214"/>
      <c r="C211" s="211"/>
      <c r="D211" s="211"/>
      <c r="E211" s="211"/>
      <c r="F211" s="211"/>
      <c r="G211" s="211"/>
      <c r="H211" s="211"/>
      <c r="I211" s="211"/>
      <c r="J211" s="211"/>
      <c r="K211" s="211"/>
      <c r="L211" s="211"/>
      <c r="M211" s="211"/>
      <c r="N211" s="211"/>
      <c r="O211" s="211"/>
      <c r="P211" s="211"/>
      <c r="Q211" s="211"/>
      <c r="R211" s="211"/>
      <c r="S211" s="211"/>
      <c r="T211" s="211"/>
      <c r="U211" s="211"/>
      <c r="V211" s="211"/>
      <c r="W211" s="211"/>
      <c r="X211" s="211"/>
      <c r="Y211" s="211"/>
      <c r="Z211" s="211"/>
      <c r="AA211" s="211"/>
      <c r="AB211" s="177"/>
      <c r="AE211" s="177"/>
      <c r="AF211" s="177"/>
      <c r="AG211" s="177"/>
      <c r="AH211" s="177"/>
      <c r="AI211" s="177"/>
      <c r="AJ211" s="177"/>
      <c r="AK211" s="177"/>
      <c r="AL211" s="177"/>
      <c r="AM211" s="177"/>
      <c r="AN211" s="177"/>
      <c r="AO211" s="177"/>
      <c r="AP211" s="177"/>
      <c r="AQ211" s="177"/>
      <c r="AR211" s="177"/>
      <c r="AS211" s="177"/>
      <c r="AT211" s="177"/>
      <c r="AU211" s="177"/>
      <c r="AV211" s="177"/>
      <c r="AW211" s="177"/>
      <c r="AX211" s="177"/>
      <c r="AY211" s="177"/>
      <c r="AZ211" s="177"/>
      <c r="BA211" s="177"/>
      <c r="BB211" s="177"/>
      <c r="BC211" s="177"/>
      <c r="BD211" s="177"/>
      <c r="BE211" s="177"/>
      <c r="BF211" s="177"/>
      <c r="BG211" s="177"/>
      <c r="BH211" s="177"/>
      <c r="BI211" s="177"/>
      <c r="BJ211" s="177"/>
      <c r="BK211" s="177"/>
      <c r="BL211" s="177"/>
      <c r="BM211" s="177"/>
      <c r="BN211" s="177"/>
      <c r="BO211" s="177"/>
      <c r="BP211" s="177"/>
      <c r="BQ211" s="177"/>
      <c r="BR211" s="177"/>
      <c r="BS211" s="177"/>
      <c r="BT211" s="177"/>
      <c r="BU211" s="177"/>
      <c r="BV211" s="177"/>
      <c r="BW211" s="177"/>
      <c r="BX211" s="177"/>
      <c r="BY211" s="177"/>
      <c r="BZ211" s="177"/>
      <c r="CA211" s="177"/>
      <c r="CB211" s="177"/>
      <c r="CC211" s="177"/>
      <c r="CD211" s="177"/>
      <c r="CE211" s="177"/>
      <c r="CF211" s="177"/>
      <c r="CG211" s="177"/>
      <c r="CH211" s="177"/>
      <c r="CI211" s="177"/>
      <c r="CJ211" s="177"/>
      <c r="CK211" s="177"/>
      <c r="CL211" s="177"/>
      <c r="CM211" s="177"/>
      <c r="CN211" s="177"/>
      <c r="CO211" s="177"/>
      <c r="CP211" s="177"/>
      <c r="CQ211" s="177"/>
      <c r="CR211" s="177"/>
      <c r="CS211" s="177"/>
      <c r="CT211" s="177"/>
      <c r="CU211" s="177"/>
      <c r="CV211" s="177"/>
      <c r="CW211" s="177"/>
      <c r="CX211" s="177"/>
      <c r="CY211" s="177"/>
      <c r="CZ211" s="177"/>
    </row>
    <row r="212" spans="2:104">
      <c r="B212" s="214"/>
      <c r="C212" s="211"/>
      <c r="D212" s="211"/>
      <c r="E212" s="211"/>
      <c r="F212" s="211"/>
      <c r="G212" s="211"/>
      <c r="H212" s="211"/>
      <c r="I212" s="211"/>
      <c r="J212" s="211"/>
      <c r="K212" s="211"/>
      <c r="L212" s="211"/>
      <c r="M212" s="211"/>
      <c r="N212" s="211"/>
      <c r="O212" s="211"/>
      <c r="P212" s="211"/>
      <c r="Q212" s="211"/>
      <c r="R212" s="211"/>
      <c r="S212" s="211"/>
      <c r="T212" s="211"/>
      <c r="U212" s="211"/>
      <c r="V212" s="211"/>
      <c r="W212" s="211"/>
      <c r="X212" s="211"/>
      <c r="Y212" s="211"/>
      <c r="Z212" s="211"/>
      <c r="AA212" s="211"/>
      <c r="AB212" s="177"/>
      <c r="AE212" s="177"/>
      <c r="AF212" s="177"/>
      <c r="AG212" s="177"/>
      <c r="AH212" s="177"/>
      <c r="AI212" s="177"/>
      <c r="AJ212" s="177"/>
      <c r="AK212" s="177"/>
      <c r="AL212" s="177"/>
      <c r="AM212" s="177"/>
      <c r="AN212" s="177"/>
      <c r="AO212" s="177"/>
      <c r="AP212" s="177"/>
      <c r="AQ212" s="177"/>
      <c r="AR212" s="177"/>
      <c r="AS212" s="177"/>
      <c r="AT212" s="177"/>
      <c r="AU212" s="177"/>
      <c r="AV212" s="177"/>
      <c r="AW212" s="177"/>
      <c r="AX212" s="177"/>
      <c r="AY212" s="177"/>
      <c r="AZ212" s="177"/>
      <c r="BA212" s="177"/>
      <c r="BB212" s="177"/>
      <c r="BC212" s="177"/>
      <c r="BD212" s="177"/>
      <c r="BE212" s="177"/>
      <c r="BF212" s="177"/>
      <c r="BG212" s="177"/>
      <c r="BH212" s="177"/>
      <c r="BI212" s="177"/>
      <c r="BJ212" s="177"/>
      <c r="BK212" s="177"/>
      <c r="BL212" s="177"/>
      <c r="BM212" s="177"/>
      <c r="BN212" s="177"/>
      <c r="BO212" s="177"/>
      <c r="BP212" s="177"/>
      <c r="BQ212" s="177"/>
      <c r="BR212" s="177"/>
      <c r="BS212" s="177"/>
      <c r="BT212" s="177"/>
      <c r="BU212" s="177"/>
      <c r="BV212" s="177"/>
      <c r="BW212" s="177"/>
      <c r="BX212" s="177"/>
      <c r="BY212" s="177"/>
      <c r="BZ212" s="177"/>
      <c r="CA212" s="177"/>
      <c r="CB212" s="177"/>
      <c r="CC212" s="177"/>
      <c r="CD212" s="177"/>
      <c r="CE212" s="177"/>
      <c r="CF212" s="177"/>
      <c r="CG212" s="177"/>
      <c r="CH212" s="177"/>
      <c r="CI212" s="177"/>
      <c r="CJ212" s="177"/>
      <c r="CK212" s="177"/>
      <c r="CL212" s="177"/>
      <c r="CM212" s="177"/>
      <c r="CN212" s="177"/>
      <c r="CO212" s="177"/>
      <c r="CP212" s="177"/>
      <c r="CQ212" s="177"/>
      <c r="CR212" s="177"/>
      <c r="CS212" s="177"/>
      <c r="CT212" s="177"/>
      <c r="CU212" s="177"/>
      <c r="CV212" s="177"/>
      <c r="CW212" s="177"/>
      <c r="CX212" s="177"/>
      <c r="CY212" s="177"/>
      <c r="CZ212" s="177"/>
    </row>
  </sheetData>
  <sheetProtection algorithmName="SHA-512" hashValue="yu/PmgqyWWRURLB7ivQEU3m0nSP5UJL8tLSuAIDnmWgHGROjx8xsFI1w+d6LifiTVLqou8ieE4ondjN2GOc8Jg==" saltValue="RBU0ZO+n2c5StBjQL8O6tg==" spinCount="100000" sheet="1" selectLockedCells="1" selectUnlockedCells="1"/>
  <mergeCells count="1">
    <mergeCell ref="B3:R4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J54:AM54 AC12:AM53 O11:AM11 J24:K36 J48:K53 H54 H13:I20 H26:I26 K43 I37:K39 I41:I43 I45 I47 G37:H37 I22:I23 I11:M11 G26:G33 H28:I33 H27 F10 F13:F14 D24:D25 F26:F38 F18:F20 D11:D20 D34:D36 D37:D48 E37 D22:D23 E26:E33 C26:C33" unlockedFormula="1"/>
    <ignoredError sqref="H51 H50 I40 I44 I46 I12 I21 D26:D33" formula="1" unlockedFormula="1"/>
    <ignoredError sqref="N12 N40:N43 H49" formula="1" formulaRange="1" unlockedFormula="1"/>
    <ignoredError sqref="L24:AB26 L36:AB37 L35:V35 AB35 O12:AB23 J13:K23 L13:N18 J12:M12 L50:AB53 O38:AB49 L38:N39 J43 J44:K47 J40:K42 L44:N49 L40:M43 N11 I48 L28:AB34 L27:M27 O27:AB27 L20:N23 L19 N19 E12:H12 E40:H40" formulaRange="1" unlocked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5006D-0AC1-4791-BCBC-082EBDB6F171}">
  <sheetPr codeName="Planilha10"/>
  <dimension ref="A1:XFC38"/>
  <sheetViews>
    <sheetView showGridLines="0" zoomScale="115" zoomScaleNormal="115" workbookViewId="0">
      <pane xSplit="2" ySplit="10" topLeftCell="C11" activePane="bottomRight" state="frozen"/>
      <selection activeCell="F27" sqref="F27"/>
      <selection pane="topRight" activeCell="F27" sqref="F27"/>
      <selection pane="bottomLeft" activeCell="F27" sqref="F27"/>
      <selection pane="bottomRight" activeCell="C30" sqref="C30"/>
    </sheetView>
  </sheetViews>
  <sheetFormatPr defaultColWidth="8.54296875" defaultRowHeight="13"/>
  <cols>
    <col min="1" max="1" width="3" style="61" customWidth="1"/>
    <col min="2" max="2" width="37.453125" style="94" bestFit="1" customWidth="1"/>
    <col min="3" max="22" width="10.54296875" style="90" customWidth="1"/>
    <col min="23" max="16384" width="8.54296875" style="61"/>
  </cols>
  <sheetData>
    <row r="1" spans="1:1023 1030:2047 2054:3071 3078:4095 4102:5119 5126:6143 6150:7167 7174:8191 8198:9215 9222:10239 10246:11263 11270:12287 12294:13311 13318:14335 14342:15359 15366:16383" s="4" customFormat="1">
      <c r="B1" s="10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</row>
    <row r="2" spans="1:1023 1030:2047 2054:3071 3078:4095 4102:5119 5126:6143 6150:7167 7174:8191 8198:9215 9222:10239 10246:11263 11270:12287 12294:13311 13318:14335 14342:15359 15366:16383" s="4" customFormat="1">
      <c r="A2" s="25"/>
      <c r="B2" s="10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</row>
    <row r="3" spans="1:1023 1030:2047 2054:3071 3078:4095 4102:5119 5126:6143 6150:7167 7174:8191 8198:9215 9222:10239 10246:11263 11270:12287 12294:13311 13318:14335 14342:15359 15366:16383" s="4" customFormat="1" ht="14.5" customHeight="1">
      <c r="A3" s="25"/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7"/>
      <c r="Q3" s="187"/>
      <c r="R3" s="187"/>
      <c r="S3" s="85"/>
      <c r="T3" s="85"/>
      <c r="U3" s="85"/>
      <c r="V3" s="85"/>
    </row>
    <row r="4" spans="1:1023 1030:2047 2054:3071 3078:4095 4102:5119 5126:6143 6150:7167 7174:8191 8198:9215 9222:10239 10246:11263 11270:12287 12294:13311 13318:14335 14342:15359 15366:16383" s="4" customFormat="1" ht="14.5" customHeight="1">
      <c r="A4" s="25"/>
      <c r="B4" s="186"/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7"/>
      <c r="Q4" s="187"/>
      <c r="R4" s="187"/>
      <c r="S4" s="85"/>
      <c r="T4" s="85"/>
      <c r="U4" s="85"/>
      <c r="V4" s="85"/>
    </row>
    <row r="5" spans="1:1023 1030:2047 2054:3071 3078:4095 4102:5119 5126:6143 6150:7167 7174:8191 8198:9215 9222:10239 10246:11263 11270:12287 12294:13311 13318:14335 14342:15359 15366:16383" s="4" customFormat="1" ht="15" customHeight="1">
      <c r="A5" s="25"/>
      <c r="B5" s="188"/>
      <c r="C5" s="85"/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</row>
    <row r="6" spans="1:1023 1030:2047 2054:3071 3078:4095 4102:5119 5126:6143 6150:7167 7174:8191 8198:9215 9222:10239 10246:11263 11270:12287 12294:13311 13318:14335 14342:15359 15366:16383" s="4" customFormat="1">
      <c r="B6" s="10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</row>
    <row r="7" spans="1:1023 1030:2047 2054:3071 3078:4095 4102:5119 5126:6143 6150:7167 7174:8191 8198:9215 9222:10239 10246:11263 11270:12287 12294:13311 13318:14335 14342:15359 15366:16383" s="4" customFormat="1">
      <c r="B7" s="194" t="s">
        <v>340</v>
      </c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</row>
    <row r="8" spans="1:1023 1030:2047 2054:3071 3078:4095 4102:5119 5126:6143 6150:7167 7174:8191 8198:9215 9222:10239 10246:11263 11270:12287 12294:13311 13318:14335 14342:15359 15366:16383" s="73" customFormat="1" ht="15" customHeight="1" thickBot="1">
      <c r="A8" s="4"/>
      <c r="B8" s="52" t="s">
        <v>337</v>
      </c>
      <c r="C8" s="54" t="s">
        <v>377</v>
      </c>
      <c r="D8" s="53" t="s">
        <v>366</v>
      </c>
      <c r="E8" s="54" t="s">
        <v>368</v>
      </c>
      <c r="F8" s="54" t="s">
        <v>365</v>
      </c>
      <c r="G8" s="54" t="s">
        <v>347</v>
      </c>
      <c r="H8" s="53" t="s">
        <v>312</v>
      </c>
      <c r="I8" s="54" t="s">
        <v>313</v>
      </c>
      <c r="J8" s="54" t="s">
        <v>314</v>
      </c>
      <c r="K8" s="54" t="s">
        <v>311</v>
      </c>
      <c r="L8" s="53" t="s">
        <v>172</v>
      </c>
      <c r="M8" s="54" t="s">
        <v>300</v>
      </c>
      <c r="N8" s="55" t="s">
        <v>299</v>
      </c>
      <c r="O8" s="55" t="s">
        <v>175</v>
      </c>
      <c r="P8" s="53" t="s">
        <v>171</v>
      </c>
      <c r="Q8" s="54" t="s">
        <v>291</v>
      </c>
      <c r="R8" s="54" t="s">
        <v>290</v>
      </c>
      <c r="S8" s="54" t="s">
        <v>91</v>
      </c>
      <c r="T8" s="53" t="s">
        <v>173</v>
      </c>
      <c r="U8" s="54" t="s">
        <v>174</v>
      </c>
      <c r="V8" s="53" t="s">
        <v>180</v>
      </c>
      <c r="W8" s="72"/>
      <c r="AD8" s="74"/>
      <c r="AE8" s="72"/>
      <c r="AL8" s="74"/>
      <c r="AM8" s="72"/>
      <c r="AT8" s="74"/>
      <c r="AU8" s="72"/>
      <c r="BB8" s="74"/>
      <c r="BC8" s="72"/>
      <c r="BJ8" s="74"/>
      <c r="BK8" s="72"/>
      <c r="BR8" s="74"/>
      <c r="BS8" s="72"/>
      <c r="BZ8" s="74"/>
      <c r="CA8" s="72"/>
      <c r="CH8" s="74"/>
      <c r="CI8" s="72"/>
      <c r="CP8" s="74"/>
      <c r="CQ8" s="72"/>
      <c r="CX8" s="74"/>
      <c r="CY8" s="72"/>
      <c r="DF8" s="74"/>
      <c r="DG8" s="72"/>
      <c r="DN8" s="74"/>
      <c r="DO8" s="72"/>
      <c r="DV8" s="74"/>
      <c r="DW8" s="72"/>
      <c r="ED8" s="74"/>
      <c r="EE8" s="72"/>
      <c r="EL8" s="74"/>
      <c r="EM8" s="72"/>
      <c r="ET8" s="74"/>
      <c r="EU8" s="72"/>
      <c r="FB8" s="74"/>
      <c r="FC8" s="72"/>
      <c r="FJ8" s="74"/>
      <c r="FK8" s="72"/>
      <c r="FR8" s="74"/>
      <c r="FS8" s="72"/>
      <c r="FZ8" s="74"/>
      <c r="GA8" s="72"/>
      <c r="GH8" s="74"/>
      <c r="GI8" s="72"/>
      <c r="GP8" s="74"/>
      <c r="GQ8" s="72"/>
      <c r="GX8" s="74"/>
      <c r="GY8" s="72"/>
      <c r="HF8" s="74"/>
      <c r="HG8" s="72"/>
      <c r="HN8" s="74"/>
      <c r="HO8" s="72"/>
      <c r="HV8" s="74"/>
      <c r="HW8" s="72"/>
      <c r="ID8" s="74"/>
      <c r="IE8" s="72"/>
      <c r="IL8" s="74"/>
      <c r="IM8" s="72"/>
      <c r="IT8" s="74"/>
      <c r="IU8" s="72"/>
      <c r="JB8" s="74"/>
      <c r="JC8" s="72"/>
      <c r="JJ8" s="74"/>
      <c r="JK8" s="72"/>
      <c r="JR8" s="74"/>
      <c r="JS8" s="72"/>
      <c r="JZ8" s="74"/>
      <c r="KA8" s="72"/>
      <c r="KH8" s="74"/>
      <c r="KI8" s="72"/>
      <c r="KP8" s="74"/>
      <c r="KQ8" s="72"/>
      <c r="KX8" s="74"/>
      <c r="KY8" s="72"/>
      <c r="LF8" s="74"/>
      <c r="LG8" s="72"/>
      <c r="LN8" s="74"/>
      <c r="LO8" s="72"/>
      <c r="LV8" s="74"/>
      <c r="LW8" s="72"/>
      <c r="MD8" s="74"/>
      <c r="ME8" s="72"/>
      <c r="ML8" s="74"/>
      <c r="MM8" s="72"/>
      <c r="MT8" s="74"/>
      <c r="MU8" s="72"/>
      <c r="NB8" s="74"/>
      <c r="NC8" s="72"/>
      <c r="NJ8" s="74"/>
      <c r="NK8" s="72"/>
      <c r="NR8" s="74"/>
      <c r="NS8" s="72"/>
      <c r="NZ8" s="74"/>
      <c r="OA8" s="72"/>
      <c r="OH8" s="74"/>
      <c r="OI8" s="72"/>
      <c r="OP8" s="74"/>
      <c r="OQ8" s="72"/>
      <c r="OX8" s="74"/>
      <c r="OY8" s="72"/>
      <c r="PF8" s="74"/>
      <c r="PG8" s="72"/>
      <c r="PN8" s="74"/>
      <c r="PO8" s="72"/>
      <c r="PV8" s="74"/>
      <c r="PW8" s="72"/>
      <c r="QD8" s="74"/>
      <c r="QE8" s="72"/>
      <c r="QL8" s="74"/>
      <c r="QM8" s="72"/>
      <c r="QT8" s="74"/>
      <c r="QU8" s="72"/>
      <c r="RB8" s="74"/>
      <c r="RC8" s="72"/>
      <c r="RJ8" s="74"/>
      <c r="RK8" s="72"/>
      <c r="RR8" s="74"/>
      <c r="RS8" s="72"/>
      <c r="RZ8" s="74"/>
      <c r="SA8" s="72"/>
      <c r="SH8" s="74"/>
      <c r="SI8" s="72"/>
      <c r="SP8" s="74"/>
      <c r="SQ8" s="72"/>
      <c r="SX8" s="74"/>
      <c r="SY8" s="72"/>
      <c r="TF8" s="74"/>
      <c r="TG8" s="72"/>
      <c r="TN8" s="74"/>
      <c r="TO8" s="72"/>
      <c r="TV8" s="74"/>
      <c r="TW8" s="72"/>
      <c r="UD8" s="74"/>
      <c r="UE8" s="72"/>
      <c r="UL8" s="74"/>
      <c r="UM8" s="72"/>
      <c r="UT8" s="74"/>
      <c r="UU8" s="72"/>
      <c r="VB8" s="74"/>
      <c r="VC8" s="72"/>
      <c r="VJ8" s="74"/>
      <c r="VK8" s="72"/>
      <c r="VR8" s="74"/>
      <c r="VS8" s="72"/>
      <c r="VZ8" s="74"/>
      <c r="WA8" s="72"/>
      <c r="WH8" s="74"/>
      <c r="WI8" s="72"/>
      <c r="WP8" s="74"/>
      <c r="WQ8" s="72"/>
      <c r="WX8" s="74"/>
      <c r="WY8" s="72"/>
      <c r="XF8" s="74"/>
      <c r="XG8" s="72"/>
      <c r="XN8" s="74"/>
      <c r="XO8" s="72"/>
      <c r="XV8" s="74"/>
      <c r="XW8" s="72"/>
      <c r="YD8" s="74"/>
      <c r="YE8" s="72"/>
      <c r="YL8" s="74"/>
      <c r="YM8" s="72"/>
      <c r="YT8" s="74"/>
      <c r="YU8" s="72"/>
      <c r="ZB8" s="74"/>
      <c r="ZC8" s="72"/>
      <c r="ZJ8" s="74"/>
      <c r="ZK8" s="72"/>
      <c r="ZR8" s="74"/>
      <c r="ZS8" s="72"/>
      <c r="ZZ8" s="74"/>
      <c r="AAA8" s="72"/>
      <c r="AAH8" s="74"/>
      <c r="AAI8" s="72"/>
      <c r="AAP8" s="74"/>
      <c r="AAQ8" s="72"/>
      <c r="AAX8" s="74"/>
      <c r="AAY8" s="72"/>
      <c r="ABF8" s="74"/>
      <c r="ABG8" s="72"/>
      <c r="ABN8" s="74"/>
      <c r="ABO8" s="72"/>
      <c r="ABV8" s="74"/>
      <c r="ABW8" s="72"/>
      <c r="ACD8" s="74"/>
      <c r="ACE8" s="72"/>
      <c r="ACL8" s="74"/>
      <c r="ACM8" s="72"/>
      <c r="ACT8" s="74"/>
      <c r="ACU8" s="72"/>
      <c r="ADB8" s="74"/>
      <c r="ADC8" s="72"/>
      <c r="ADJ8" s="74"/>
      <c r="ADK8" s="72"/>
      <c r="ADR8" s="74"/>
      <c r="ADS8" s="72"/>
      <c r="ADZ8" s="74"/>
      <c r="AEA8" s="72"/>
      <c r="AEH8" s="74"/>
      <c r="AEI8" s="72"/>
      <c r="AEP8" s="74"/>
      <c r="AEQ8" s="72"/>
      <c r="AEX8" s="74"/>
      <c r="AEY8" s="72"/>
      <c r="AFF8" s="74"/>
      <c r="AFG8" s="72"/>
      <c r="AFN8" s="74"/>
      <c r="AFO8" s="72"/>
      <c r="AFV8" s="74"/>
      <c r="AFW8" s="72"/>
      <c r="AGD8" s="74"/>
      <c r="AGE8" s="72"/>
      <c r="AGL8" s="74"/>
      <c r="AGM8" s="72"/>
      <c r="AGT8" s="74"/>
      <c r="AGU8" s="72"/>
      <c r="AHB8" s="74"/>
      <c r="AHC8" s="72"/>
      <c r="AHJ8" s="74"/>
      <c r="AHK8" s="72"/>
      <c r="AHR8" s="74"/>
      <c r="AHS8" s="72"/>
      <c r="AHZ8" s="74"/>
      <c r="AIA8" s="72"/>
      <c r="AIH8" s="74"/>
      <c r="AII8" s="72"/>
      <c r="AIP8" s="74"/>
      <c r="AIQ8" s="72"/>
      <c r="AIX8" s="74"/>
      <c r="AIY8" s="72"/>
      <c r="AJF8" s="74"/>
      <c r="AJG8" s="72"/>
      <c r="AJN8" s="74"/>
      <c r="AJO8" s="72"/>
      <c r="AJV8" s="74"/>
      <c r="AJW8" s="72"/>
      <c r="AKD8" s="74"/>
      <c r="AKE8" s="72"/>
      <c r="AKL8" s="74"/>
      <c r="AKM8" s="72"/>
      <c r="AKT8" s="74"/>
      <c r="AKU8" s="72"/>
      <c r="ALB8" s="74"/>
      <c r="ALC8" s="72"/>
      <c r="ALJ8" s="74"/>
      <c r="ALK8" s="72"/>
      <c r="ALR8" s="74"/>
      <c r="ALS8" s="72"/>
      <c r="ALZ8" s="74"/>
      <c r="AMA8" s="72"/>
      <c r="AMH8" s="74"/>
      <c r="AMI8" s="72"/>
      <c r="AMP8" s="74"/>
      <c r="AMQ8" s="72"/>
      <c r="AMX8" s="74"/>
      <c r="AMY8" s="72"/>
      <c r="ANF8" s="74"/>
      <c r="ANG8" s="72"/>
      <c r="ANN8" s="74"/>
      <c r="ANO8" s="72"/>
      <c r="ANV8" s="74"/>
      <c r="ANW8" s="72"/>
      <c r="AOD8" s="74"/>
      <c r="AOE8" s="72"/>
      <c r="AOL8" s="74"/>
      <c r="AOM8" s="72"/>
      <c r="AOT8" s="74"/>
      <c r="AOU8" s="72"/>
      <c r="APB8" s="74"/>
      <c r="APC8" s="72"/>
      <c r="APJ8" s="74"/>
      <c r="APK8" s="72"/>
      <c r="APR8" s="74"/>
      <c r="APS8" s="72"/>
      <c r="APZ8" s="74"/>
      <c r="AQA8" s="72"/>
      <c r="AQH8" s="74"/>
      <c r="AQI8" s="72"/>
      <c r="AQP8" s="74"/>
      <c r="AQQ8" s="72"/>
      <c r="AQX8" s="74"/>
      <c r="AQY8" s="72"/>
      <c r="ARF8" s="74"/>
      <c r="ARG8" s="72"/>
      <c r="ARN8" s="74"/>
      <c r="ARO8" s="72"/>
      <c r="ARV8" s="74"/>
      <c r="ARW8" s="72"/>
      <c r="ASD8" s="74"/>
      <c r="ASE8" s="72"/>
      <c r="ASL8" s="74"/>
      <c r="ASM8" s="72"/>
      <c r="AST8" s="74"/>
      <c r="ASU8" s="72"/>
      <c r="ATB8" s="74"/>
      <c r="ATC8" s="72"/>
      <c r="ATJ8" s="74"/>
      <c r="ATK8" s="72"/>
      <c r="ATR8" s="74"/>
      <c r="ATS8" s="72"/>
      <c r="ATZ8" s="74"/>
      <c r="AUA8" s="72"/>
      <c r="AUH8" s="74"/>
      <c r="AUI8" s="72"/>
      <c r="AUP8" s="74"/>
      <c r="AUQ8" s="72"/>
      <c r="AUX8" s="74"/>
      <c r="AUY8" s="72"/>
      <c r="AVF8" s="74"/>
      <c r="AVG8" s="72"/>
      <c r="AVN8" s="74"/>
      <c r="AVO8" s="72"/>
      <c r="AVV8" s="74"/>
      <c r="AVW8" s="72"/>
      <c r="AWD8" s="74"/>
      <c r="AWE8" s="72"/>
      <c r="AWL8" s="74"/>
      <c r="AWM8" s="72"/>
      <c r="AWT8" s="74"/>
      <c r="AWU8" s="72"/>
      <c r="AXB8" s="74"/>
      <c r="AXC8" s="72"/>
      <c r="AXJ8" s="74"/>
      <c r="AXK8" s="72"/>
      <c r="AXR8" s="74"/>
      <c r="AXS8" s="72"/>
      <c r="AXZ8" s="74"/>
      <c r="AYA8" s="72"/>
      <c r="AYH8" s="74"/>
      <c r="AYI8" s="72"/>
      <c r="AYP8" s="74"/>
      <c r="AYQ8" s="72"/>
      <c r="AYX8" s="74"/>
      <c r="AYY8" s="72"/>
      <c r="AZF8" s="74"/>
      <c r="AZG8" s="72"/>
      <c r="AZN8" s="74"/>
      <c r="AZO8" s="72"/>
      <c r="AZV8" s="74"/>
      <c r="AZW8" s="72"/>
      <c r="BAD8" s="74"/>
      <c r="BAE8" s="72"/>
      <c r="BAL8" s="74"/>
      <c r="BAM8" s="72"/>
      <c r="BAT8" s="74"/>
      <c r="BAU8" s="72"/>
      <c r="BBB8" s="74"/>
      <c r="BBC8" s="72"/>
      <c r="BBJ8" s="74"/>
      <c r="BBK8" s="72"/>
      <c r="BBR8" s="74"/>
      <c r="BBS8" s="72"/>
      <c r="BBZ8" s="74"/>
      <c r="BCA8" s="72"/>
      <c r="BCH8" s="74"/>
      <c r="BCI8" s="72"/>
      <c r="BCP8" s="74"/>
      <c r="BCQ8" s="72"/>
      <c r="BCX8" s="74"/>
      <c r="BCY8" s="72"/>
      <c r="BDF8" s="74"/>
      <c r="BDG8" s="72"/>
      <c r="BDN8" s="74"/>
      <c r="BDO8" s="72"/>
      <c r="BDV8" s="74"/>
      <c r="BDW8" s="72"/>
      <c r="BED8" s="74"/>
      <c r="BEE8" s="72"/>
      <c r="BEL8" s="74"/>
      <c r="BEM8" s="72"/>
      <c r="BET8" s="74"/>
      <c r="BEU8" s="72"/>
      <c r="BFB8" s="74"/>
      <c r="BFC8" s="72"/>
      <c r="BFJ8" s="74"/>
      <c r="BFK8" s="72"/>
      <c r="BFR8" s="74"/>
      <c r="BFS8" s="72"/>
      <c r="BFZ8" s="74"/>
      <c r="BGA8" s="72"/>
      <c r="BGH8" s="74"/>
      <c r="BGI8" s="72"/>
      <c r="BGP8" s="74"/>
      <c r="BGQ8" s="72"/>
      <c r="BGX8" s="74"/>
      <c r="BGY8" s="72"/>
      <c r="BHF8" s="74"/>
      <c r="BHG8" s="72"/>
      <c r="BHN8" s="74"/>
      <c r="BHO8" s="72"/>
      <c r="BHV8" s="74"/>
      <c r="BHW8" s="72"/>
      <c r="BID8" s="74"/>
      <c r="BIE8" s="72"/>
      <c r="BIL8" s="74"/>
      <c r="BIM8" s="72"/>
      <c r="BIT8" s="74"/>
      <c r="BIU8" s="72"/>
      <c r="BJB8" s="74"/>
      <c r="BJC8" s="72"/>
      <c r="BJJ8" s="74"/>
      <c r="BJK8" s="72"/>
      <c r="BJR8" s="74"/>
      <c r="BJS8" s="72"/>
      <c r="BJZ8" s="74"/>
      <c r="BKA8" s="72"/>
      <c r="BKH8" s="74"/>
      <c r="BKI8" s="72"/>
      <c r="BKP8" s="74"/>
      <c r="BKQ8" s="72"/>
      <c r="BKX8" s="74"/>
      <c r="BKY8" s="72"/>
      <c r="BLF8" s="74"/>
      <c r="BLG8" s="72"/>
      <c r="BLN8" s="74"/>
      <c r="BLO8" s="72"/>
      <c r="BLV8" s="74"/>
      <c r="BLW8" s="72"/>
      <c r="BMD8" s="74"/>
      <c r="BME8" s="72"/>
      <c r="BML8" s="74"/>
      <c r="BMM8" s="72"/>
      <c r="BMT8" s="74"/>
      <c r="BMU8" s="72"/>
      <c r="BNB8" s="74"/>
      <c r="BNC8" s="72"/>
      <c r="BNJ8" s="74"/>
      <c r="BNK8" s="72"/>
      <c r="BNR8" s="74"/>
      <c r="BNS8" s="72"/>
      <c r="BNZ8" s="74"/>
      <c r="BOA8" s="72"/>
      <c r="BOH8" s="74"/>
      <c r="BOI8" s="72"/>
      <c r="BOP8" s="74"/>
      <c r="BOQ8" s="72"/>
      <c r="BOX8" s="74"/>
      <c r="BOY8" s="72"/>
      <c r="BPF8" s="74"/>
      <c r="BPG8" s="72"/>
      <c r="BPN8" s="74"/>
      <c r="BPO8" s="72"/>
      <c r="BPV8" s="74"/>
      <c r="BPW8" s="72"/>
      <c r="BQD8" s="74"/>
      <c r="BQE8" s="72"/>
      <c r="BQL8" s="74"/>
      <c r="BQM8" s="72"/>
      <c r="BQT8" s="74"/>
      <c r="BQU8" s="72"/>
      <c r="BRB8" s="74"/>
      <c r="BRC8" s="72"/>
      <c r="BRJ8" s="74"/>
      <c r="BRK8" s="72"/>
      <c r="BRR8" s="74"/>
      <c r="BRS8" s="72"/>
      <c r="BRZ8" s="74"/>
      <c r="BSA8" s="72"/>
      <c r="BSH8" s="74"/>
      <c r="BSI8" s="72"/>
      <c r="BSP8" s="74"/>
      <c r="BSQ8" s="72"/>
      <c r="BSX8" s="74"/>
      <c r="BSY8" s="72"/>
      <c r="BTF8" s="74"/>
      <c r="BTG8" s="72"/>
      <c r="BTN8" s="74"/>
      <c r="BTO8" s="72"/>
      <c r="BTV8" s="74"/>
      <c r="BTW8" s="72"/>
      <c r="BUD8" s="74"/>
      <c r="BUE8" s="72"/>
      <c r="BUL8" s="74"/>
      <c r="BUM8" s="72"/>
      <c r="BUT8" s="74"/>
      <c r="BUU8" s="72"/>
      <c r="BVB8" s="74"/>
      <c r="BVC8" s="72"/>
      <c r="BVJ8" s="74"/>
      <c r="BVK8" s="72"/>
      <c r="BVR8" s="74"/>
      <c r="BVS8" s="72"/>
      <c r="BVZ8" s="74"/>
      <c r="BWA8" s="72"/>
      <c r="BWH8" s="74"/>
      <c r="BWI8" s="72"/>
      <c r="BWP8" s="74"/>
      <c r="BWQ8" s="72"/>
      <c r="BWX8" s="74"/>
      <c r="BWY8" s="72"/>
      <c r="BXF8" s="74"/>
      <c r="BXG8" s="72"/>
      <c r="BXN8" s="74"/>
      <c r="BXO8" s="72"/>
      <c r="BXV8" s="74"/>
      <c r="BXW8" s="72"/>
      <c r="BYD8" s="74"/>
      <c r="BYE8" s="72"/>
      <c r="BYL8" s="74"/>
      <c r="BYM8" s="72"/>
      <c r="BYT8" s="74"/>
      <c r="BYU8" s="72"/>
      <c r="BZB8" s="74"/>
      <c r="BZC8" s="72"/>
      <c r="BZJ8" s="74"/>
      <c r="BZK8" s="72"/>
      <c r="BZR8" s="74"/>
      <c r="BZS8" s="72"/>
      <c r="BZZ8" s="74"/>
      <c r="CAA8" s="72"/>
      <c r="CAH8" s="74"/>
      <c r="CAI8" s="72"/>
      <c r="CAP8" s="74"/>
      <c r="CAQ8" s="72"/>
      <c r="CAX8" s="74"/>
      <c r="CAY8" s="72"/>
      <c r="CBF8" s="74"/>
      <c r="CBG8" s="72"/>
      <c r="CBN8" s="74"/>
      <c r="CBO8" s="72"/>
      <c r="CBV8" s="74"/>
      <c r="CBW8" s="72"/>
      <c r="CCD8" s="74"/>
      <c r="CCE8" s="72"/>
      <c r="CCL8" s="74"/>
      <c r="CCM8" s="72"/>
      <c r="CCT8" s="74"/>
      <c r="CCU8" s="72"/>
      <c r="CDB8" s="74"/>
      <c r="CDC8" s="72"/>
      <c r="CDJ8" s="74"/>
      <c r="CDK8" s="72"/>
      <c r="CDR8" s="74"/>
      <c r="CDS8" s="72"/>
      <c r="CDZ8" s="74"/>
      <c r="CEA8" s="72"/>
      <c r="CEH8" s="74"/>
      <c r="CEI8" s="72"/>
      <c r="CEP8" s="74"/>
      <c r="CEQ8" s="72"/>
      <c r="CEX8" s="74"/>
      <c r="CEY8" s="72"/>
      <c r="CFF8" s="74"/>
      <c r="CFG8" s="72"/>
      <c r="CFN8" s="74"/>
      <c r="CFO8" s="72"/>
      <c r="CFV8" s="74"/>
      <c r="CFW8" s="72"/>
      <c r="CGD8" s="74"/>
      <c r="CGE8" s="72"/>
      <c r="CGL8" s="74"/>
      <c r="CGM8" s="72"/>
      <c r="CGT8" s="74"/>
      <c r="CGU8" s="72"/>
      <c r="CHB8" s="74"/>
      <c r="CHC8" s="72"/>
      <c r="CHJ8" s="74"/>
      <c r="CHK8" s="72"/>
      <c r="CHR8" s="74"/>
      <c r="CHS8" s="72"/>
      <c r="CHZ8" s="74"/>
      <c r="CIA8" s="72"/>
      <c r="CIH8" s="74"/>
      <c r="CII8" s="72"/>
      <c r="CIP8" s="74"/>
      <c r="CIQ8" s="72"/>
      <c r="CIX8" s="74"/>
      <c r="CIY8" s="72"/>
      <c r="CJF8" s="74"/>
      <c r="CJG8" s="72"/>
      <c r="CJN8" s="74"/>
      <c r="CJO8" s="72"/>
      <c r="CJV8" s="74"/>
      <c r="CJW8" s="72"/>
      <c r="CKD8" s="74"/>
      <c r="CKE8" s="72"/>
      <c r="CKL8" s="74"/>
      <c r="CKM8" s="72"/>
      <c r="CKT8" s="74"/>
      <c r="CKU8" s="72"/>
      <c r="CLB8" s="74"/>
      <c r="CLC8" s="72"/>
      <c r="CLJ8" s="74"/>
      <c r="CLK8" s="72"/>
      <c r="CLR8" s="74"/>
      <c r="CLS8" s="72"/>
      <c r="CLZ8" s="74"/>
      <c r="CMA8" s="72"/>
      <c r="CMH8" s="74"/>
      <c r="CMI8" s="72"/>
      <c r="CMP8" s="74"/>
      <c r="CMQ8" s="72"/>
      <c r="CMX8" s="74"/>
      <c r="CMY8" s="72"/>
      <c r="CNF8" s="74"/>
      <c r="CNG8" s="72"/>
      <c r="CNN8" s="74"/>
      <c r="CNO8" s="72"/>
      <c r="CNV8" s="74"/>
      <c r="CNW8" s="72"/>
      <c r="COD8" s="74"/>
      <c r="COE8" s="72"/>
      <c r="COL8" s="74"/>
      <c r="COM8" s="72"/>
      <c r="COT8" s="74"/>
      <c r="COU8" s="72"/>
      <c r="CPB8" s="74"/>
      <c r="CPC8" s="72"/>
      <c r="CPJ8" s="74"/>
      <c r="CPK8" s="72"/>
      <c r="CPR8" s="74"/>
      <c r="CPS8" s="72"/>
      <c r="CPZ8" s="74"/>
      <c r="CQA8" s="72"/>
      <c r="CQH8" s="74"/>
      <c r="CQI8" s="72"/>
      <c r="CQP8" s="74"/>
      <c r="CQQ8" s="72"/>
      <c r="CQX8" s="74"/>
      <c r="CQY8" s="72"/>
      <c r="CRF8" s="74"/>
      <c r="CRG8" s="72"/>
      <c r="CRN8" s="74"/>
      <c r="CRO8" s="72"/>
      <c r="CRV8" s="74"/>
      <c r="CRW8" s="72"/>
      <c r="CSD8" s="74"/>
      <c r="CSE8" s="72"/>
      <c r="CSL8" s="74"/>
      <c r="CSM8" s="72"/>
      <c r="CST8" s="74"/>
      <c r="CSU8" s="72"/>
      <c r="CTB8" s="74"/>
      <c r="CTC8" s="72"/>
      <c r="CTJ8" s="74"/>
      <c r="CTK8" s="72"/>
      <c r="CTR8" s="74"/>
      <c r="CTS8" s="72"/>
      <c r="CTZ8" s="74"/>
      <c r="CUA8" s="72"/>
      <c r="CUH8" s="74"/>
      <c r="CUI8" s="72"/>
      <c r="CUP8" s="74"/>
      <c r="CUQ8" s="72"/>
      <c r="CUX8" s="74"/>
      <c r="CUY8" s="72"/>
      <c r="CVF8" s="74"/>
      <c r="CVG8" s="72"/>
      <c r="CVN8" s="74"/>
      <c r="CVO8" s="72"/>
      <c r="CVV8" s="74"/>
      <c r="CVW8" s="72"/>
      <c r="CWD8" s="74"/>
      <c r="CWE8" s="72"/>
      <c r="CWL8" s="74"/>
      <c r="CWM8" s="72"/>
      <c r="CWT8" s="74"/>
      <c r="CWU8" s="72"/>
      <c r="CXB8" s="74"/>
      <c r="CXC8" s="72"/>
      <c r="CXJ8" s="74"/>
      <c r="CXK8" s="72"/>
      <c r="CXR8" s="74"/>
      <c r="CXS8" s="72"/>
      <c r="CXZ8" s="74"/>
      <c r="CYA8" s="72"/>
      <c r="CYH8" s="74"/>
      <c r="CYI8" s="72"/>
      <c r="CYP8" s="74"/>
      <c r="CYQ8" s="72"/>
      <c r="CYX8" s="74"/>
      <c r="CYY8" s="72"/>
      <c r="CZF8" s="74"/>
      <c r="CZG8" s="72"/>
      <c r="CZN8" s="74"/>
      <c r="CZO8" s="72"/>
      <c r="CZV8" s="74"/>
      <c r="CZW8" s="72"/>
      <c r="DAD8" s="74"/>
      <c r="DAE8" s="72"/>
      <c r="DAL8" s="74"/>
      <c r="DAM8" s="72"/>
      <c r="DAT8" s="74"/>
      <c r="DAU8" s="72"/>
      <c r="DBB8" s="74"/>
      <c r="DBC8" s="72"/>
      <c r="DBJ8" s="74"/>
      <c r="DBK8" s="72"/>
      <c r="DBR8" s="74"/>
      <c r="DBS8" s="72"/>
      <c r="DBZ8" s="74"/>
      <c r="DCA8" s="72"/>
      <c r="DCH8" s="74"/>
      <c r="DCI8" s="72"/>
      <c r="DCP8" s="74"/>
      <c r="DCQ8" s="72"/>
      <c r="DCX8" s="74"/>
      <c r="DCY8" s="72"/>
      <c r="DDF8" s="74"/>
      <c r="DDG8" s="72"/>
      <c r="DDN8" s="74"/>
      <c r="DDO8" s="72"/>
      <c r="DDV8" s="74"/>
      <c r="DDW8" s="72"/>
      <c r="DED8" s="74"/>
      <c r="DEE8" s="72"/>
      <c r="DEL8" s="74"/>
      <c r="DEM8" s="72"/>
      <c r="DET8" s="74"/>
      <c r="DEU8" s="72"/>
      <c r="DFB8" s="74"/>
      <c r="DFC8" s="72"/>
      <c r="DFJ8" s="74"/>
      <c r="DFK8" s="72"/>
      <c r="DFR8" s="74"/>
      <c r="DFS8" s="72"/>
      <c r="DFZ8" s="74"/>
      <c r="DGA8" s="72"/>
      <c r="DGH8" s="74"/>
      <c r="DGI8" s="72"/>
      <c r="DGP8" s="74"/>
      <c r="DGQ8" s="72"/>
      <c r="DGX8" s="74"/>
      <c r="DGY8" s="72"/>
      <c r="DHF8" s="74"/>
      <c r="DHG8" s="72"/>
      <c r="DHN8" s="74"/>
      <c r="DHO8" s="72"/>
      <c r="DHV8" s="74"/>
      <c r="DHW8" s="72"/>
      <c r="DID8" s="74"/>
      <c r="DIE8" s="72"/>
      <c r="DIL8" s="74"/>
      <c r="DIM8" s="72"/>
      <c r="DIT8" s="74"/>
      <c r="DIU8" s="72"/>
      <c r="DJB8" s="74"/>
      <c r="DJC8" s="72"/>
      <c r="DJJ8" s="74"/>
      <c r="DJK8" s="72"/>
      <c r="DJR8" s="74"/>
      <c r="DJS8" s="72"/>
      <c r="DJZ8" s="74"/>
      <c r="DKA8" s="72"/>
      <c r="DKH8" s="74"/>
      <c r="DKI8" s="72"/>
      <c r="DKP8" s="74"/>
      <c r="DKQ8" s="72"/>
      <c r="DKX8" s="74"/>
      <c r="DKY8" s="72"/>
      <c r="DLF8" s="74"/>
      <c r="DLG8" s="72"/>
      <c r="DLN8" s="74"/>
      <c r="DLO8" s="72"/>
      <c r="DLV8" s="74"/>
      <c r="DLW8" s="72"/>
      <c r="DMD8" s="74"/>
      <c r="DME8" s="72"/>
      <c r="DML8" s="74"/>
      <c r="DMM8" s="72"/>
      <c r="DMT8" s="74"/>
      <c r="DMU8" s="72"/>
      <c r="DNB8" s="74"/>
      <c r="DNC8" s="72"/>
      <c r="DNJ8" s="74"/>
      <c r="DNK8" s="72"/>
      <c r="DNR8" s="74"/>
      <c r="DNS8" s="72"/>
      <c r="DNZ8" s="74"/>
      <c r="DOA8" s="72"/>
      <c r="DOH8" s="74"/>
      <c r="DOI8" s="72"/>
      <c r="DOP8" s="74"/>
      <c r="DOQ8" s="72"/>
      <c r="DOX8" s="74"/>
      <c r="DOY8" s="72"/>
      <c r="DPF8" s="74"/>
      <c r="DPG8" s="72"/>
      <c r="DPN8" s="74"/>
      <c r="DPO8" s="72"/>
      <c r="DPV8" s="74"/>
      <c r="DPW8" s="72"/>
      <c r="DQD8" s="74"/>
      <c r="DQE8" s="72"/>
      <c r="DQL8" s="74"/>
      <c r="DQM8" s="72"/>
      <c r="DQT8" s="74"/>
      <c r="DQU8" s="72"/>
      <c r="DRB8" s="74"/>
      <c r="DRC8" s="72"/>
      <c r="DRJ8" s="74"/>
      <c r="DRK8" s="72"/>
      <c r="DRR8" s="74"/>
      <c r="DRS8" s="72"/>
      <c r="DRZ8" s="74"/>
      <c r="DSA8" s="72"/>
      <c r="DSH8" s="74"/>
      <c r="DSI8" s="72"/>
      <c r="DSP8" s="74"/>
      <c r="DSQ8" s="72"/>
      <c r="DSX8" s="74"/>
      <c r="DSY8" s="72"/>
      <c r="DTF8" s="74"/>
      <c r="DTG8" s="72"/>
      <c r="DTN8" s="74"/>
      <c r="DTO8" s="72"/>
      <c r="DTV8" s="74"/>
      <c r="DTW8" s="72"/>
      <c r="DUD8" s="74"/>
      <c r="DUE8" s="72"/>
      <c r="DUL8" s="74"/>
      <c r="DUM8" s="72"/>
      <c r="DUT8" s="74"/>
      <c r="DUU8" s="72"/>
      <c r="DVB8" s="74"/>
      <c r="DVC8" s="72"/>
      <c r="DVJ8" s="74"/>
      <c r="DVK8" s="72"/>
      <c r="DVR8" s="74"/>
      <c r="DVS8" s="72"/>
      <c r="DVZ8" s="74"/>
      <c r="DWA8" s="72"/>
      <c r="DWH8" s="74"/>
      <c r="DWI8" s="72"/>
      <c r="DWP8" s="74"/>
      <c r="DWQ8" s="72"/>
      <c r="DWX8" s="74"/>
      <c r="DWY8" s="72"/>
      <c r="DXF8" s="74"/>
      <c r="DXG8" s="72"/>
      <c r="DXN8" s="74"/>
      <c r="DXO8" s="72"/>
      <c r="DXV8" s="74"/>
      <c r="DXW8" s="72"/>
      <c r="DYD8" s="74"/>
      <c r="DYE8" s="72"/>
      <c r="DYL8" s="74"/>
      <c r="DYM8" s="72"/>
      <c r="DYT8" s="74"/>
      <c r="DYU8" s="72"/>
      <c r="DZB8" s="74"/>
      <c r="DZC8" s="72"/>
      <c r="DZJ8" s="74"/>
      <c r="DZK8" s="72"/>
      <c r="DZR8" s="74"/>
      <c r="DZS8" s="72"/>
      <c r="DZZ8" s="74"/>
      <c r="EAA8" s="72"/>
      <c r="EAH8" s="74"/>
      <c r="EAI8" s="72"/>
      <c r="EAP8" s="74"/>
      <c r="EAQ8" s="72"/>
      <c r="EAX8" s="74"/>
      <c r="EAY8" s="72"/>
      <c r="EBF8" s="74"/>
      <c r="EBG8" s="72"/>
      <c r="EBN8" s="74"/>
      <c r="EBO8" s="72"/>
      <c r="EBV8" s="74"/>
      <c r="EBW8" s="72"/>
      <c r="ECD8" s="74"/>
      <c r="ECE8" s="72"/>
      <c r="ECL8" s="74"/>
      <c r="ECM8" s="72"/>
      <c r="ECT8" s="74"/>
      <c r="ECU8" s="72"/>
      <c r="EDB8" s="74"/>
      <c r="EDC8" s="72"/>
      <c r="EDJ8" s="74"/>
      <c r="EDK8" s="72"/>
      <c r="EDR8" s="74"/>
      <c r="EDS8" s="72"/>
      <c r="EDZ8" s="74"/>
      <c r="EEA8" s="72"/>
      <c r="EEH8" s="74"/>
      <c r="EEI8" s="72"/>
      <c r="EEP8" s="74"/>
      <c r="EEQ8" s="72"/>
      <c r="EEX8" s="74"/>
      <c r="EEY8" s="72"/>
      <c r="EFF8" s="74"/>
      <c r="EFG8" s="72"/>
      <c r="EFN8" s="74"/>
      <c r="EFO8" s="72"/>
      <c r="EFV8" s="74"/>
      <c r="EFW8" s="72"/>
      <c r="EGD8" s="74"/>
      <c r="EGE8" s="72"/>
      <c r="EGL8" s="74"/>
      <c r="EGM8" s="72"/>
      <c r="EGT8" s="74"/>
      <c r="EGU8" s="72"/>
      <c r="EHB8" s="74"/>
      <c r="EHC8" s="72"/>
      <c r="EHJ8" s="74"/>
      <c r="EHK8" s="72"/>
      <c r="EHR8" s="74"/>
      <c r="EHS8" s="72"/>
      <c r="EHZ8" s="74"/>
      <c r="EIA8" s="72"/>
      <c r="EIH8" s="74"/>
      <c r="EII8" s="72"/>
      <c r="EIP8" s="74"/>
      <c r="EIQ8" s="72"/>
      <c r="EIX8" s="74"/>
      <c r="EIY8" s="72"/>
      <c r="EJF8" s="74"/>
      <c r="EJG8" s="72"/>
      <c r="EJN8" s="74"/>
      <c r="EJO8" s="72"/>
      <c r="EJV8" s="74"/>
      <c r="EJW8" s="72"/>
      <c r="EKD8" s="74"/>
      <c r="EKE8" s="72"/>
      <c r="EKL8" s="74"/>
      <c r="EKM8" s="72"/>
      <c r="EKT8" s="74"/>
      <c r="EKU8" s="72"/>
      <c r="ELB8" s="74"/>
      <c r="ELC8" s="72"/>
      <c r="ELJ8" s="74"/>
      <c r="ELK8" s="72"/>
      <c r="ELR8" s="74"/>
      <c r="ELS8" s="72"/>
      <c r="ELZ8" s="74"/>
      <c r="EMA8" s="72"/>
      <c r="EMH8" s="74"/>
      <c r="EMI8" s="72"/>
      <c r="EMP8" s="74"/>
      <c r="EMQ8" s="72"/>
      <c r="EMX8" s="74"/>
      <c r="EMY8" s="72"/>
      <c r="ENF8" s="74"/>
      <c r="ENG8" s="72"/>
      <c r="ENN8" s="74"/>
      <c r="ENO8" s="72"/>
      <c r="ENV8" s="74"/>
      <c r="ENW8" s="72"/>
      <c r="EOD8" s="74"/>
      <c r="EOE8" s="72"/>
      <c r="EOL8" s="74"/>
      <c r="EOM8" s="72"/>
      <c r="EOT8" s="74"/>
      <c r="EOU8" s="72"/>
      <c r="EPB8" s="74"/>
      <c r="EPC8" s="72"/>
      <c r="EPJ8" s="74"/>
      <c r="EPK8" s="72"/>
      <c r="EPR8" s="74"/>
      <c r="EPS8" s="72"/>
      <c r="EPZ8" s="74"/>
      <c r="EQA8" s="72"/>
      <c r="EQH8" s="74"/>
      <c r="EQI8" s="72"/>
      <c r="EQP8" s="74"/>
      <c r="EQQ8" s="72"/>
      <c r="EQX8" s="74"/>
      <c r="EQY8" s="72"/>
      <c r="ERF8" s="74"/>
      <c r="ERG8" s="72"/>
      <c r="ERN8" s="74"/>
      <c r="ERO8" s="72"/>
      <c r="ERV8" s="74"/>
      <c r="ERW8" s="72"/>
      <c r="ESD8" s="74"/>
      <c r="ESE8" s="72"/>
      <c r="ESL8" s="74"/>
      <c r="ESM8" s="72"/>
      <c r="EST8" s="74"/>
      <c r="ESU8" s="72"/>
      <c r="ETB8" s="74"/>
      <c r="ETC8" s="72"/>
      <c r="ETJ8" s="74"/>
      <c r="ETK8" s="72"/>
      <c r="ETR8" s="74"/>
      <c r="ETS8" s="72"/>
      <c r="ETZ8" s="74"/>
      <c r="EUA8" s="72"/>
      <c r="EUH8" s="74"/>
      <c r="EUI8" s="72"/>
      <c r="EUP8" s="74"/>
      <c r="EUQ8" s="72"/>
      <c r="EUX8" s="74"/>
      <c r="EUY8" s="72"/>
      <c r="EVF8" s="74"/>
      <c r="EVG8" s="72"/>
      <c r="EVN8" s="74"/>
      <c r="EVO8" s="72"/>
      <c r="EVV8" s="74"/>
      <c r="EVW8" s="72"/>
      <c r="EWD8" s="74"/>
      <c r="EWE8" s="72"/>
      <c r="EWL8" s="74"/>
      <c r="EWM8" s="72"/>
      <c r="EWT8" s="74"/>
      <c r="EWU8" s="72"/>
      <c r="EXB8" s="74"/>
      <c r="EXC8" s="72"/>
      <c r="EXJ8" s="74"/>
      <c r="EXK8" s="72"/>
      <c r="EXR8" s="74"/>
      <c r="EXS8" s="72"/>
      <c r="EXZ8" s="74"/>
      <c r="EYA8" s="72"/>
      <c r="EYH8" s="74"/>
      <c r="EYI8" s="72"/>
      <c r="EYP8" s="74"/>
      <c r="EYQ8" s="72"/>
      <c r="EYX8" s="74"/>
      <c r="EYY8" s="72"/>
      <c r="EZF8" s="74"/>
      <c r="EZG8" s="72"/>
      <c r="EZN8" s="74"/>
      <c r="EZO8" s="72"/>
      <c r="EZV8" s="74"/>
      <c r="EZW8" s="72"/>
      <c r="FAD8" s="74"/>
      <c r="FAE8" s="72"/>
      <c r="FAL8" s="74"/>
      <c r="FAM8" s="72"/>
      <c r="FAT8" s="74"/>
      <c r="FAU8" s="72"/>
      <c r="FBB8" s="74"/>
      <c r="FBC8" s="72"/>
      <c r="FBJ8" s="74"/>
      <c r="FBK8" s="72"/>
      <c r="FBR8" s="74"/>
      <c r="FBS8" s="72"/>
      <c r="FBZ8" s="74"/>
      <c r="FCA8" s="72"/>
      <c r="FCH8" s="74"/>
      <c r="FCI8" s="72"/>
      <c r="FCP8" s="74"/>
      <c r="FCQ8" s="72"/>
      <c r="FCX8" s="74"/>
      <c r="FCY8" s="72"/>
      <c r="FDF8" s="74"/>
      <c r="FDG8" s="72"/>
      <c r="FDN8" s="74"/>
      <c r="FDO8" s="72"/>
      <c r="FDV8" s="74"/>
      <c r="FDW8" s="72"/>
      <c r="FED8" s="74"/>
      <c r="FEE8" s="72"/>
      <c r="FEL8" s="74"/>
      <c r="FEM8" s="72"/>
      <c r="FET8" s="74"/>
      <c r="FEU8" s="72"/>
      <c r="FFB8" s="74"/>
      <c r="FFC8" s="72"/>
      <c r="FFJ8" s="74"/>
      <c r="FFK8" s="72"/>
      <c r="FFR8" s="74"/>
      <c r="FFS8" s="72"/>
      <c r="FFZ8" s="74"/>
      <c r="FGA8" s="72"/>
      <c r="FGH8" s="74"/>
      <c r="FGI8" s="72"/>
      <c r="FGP8" s="74"/>
      <c r="FGQ8" s="72"/>
      <c r="FGX8" s="74"/>
      <c r="FGY8" s="72"/>
      <c r="FHF8" s="74"/>
      <c r="FHG8" s="72"/>
      <c r="FHN8" s="74"/>
      <c r="FHO8" s="72"/>
      <c r="FHV8" s="74"/>
      <c r="FHW8" s="72"/>
      <c r="FID8" s="74"/>
      <c r="FIE8" s="72"/>
      <c r="FIL8" s="74"/>
      <c r="FIM8" s="72"/>
      <c r="FIT8" s="74"/>
      <c r="FIU8" s="72"/>
      <c r="FJB8" s="74"/>
      <c r="FJC8" s="72"/>
      <c r="FJJ8" s="74"/>
      <c r="FJK8" s="72"/>
      <c r="FJR8" s="74"/>
      <c r="FJS8" s="72"/>
      <c r="FJZ8" s="74"/>
      <c r="FKA8" s="72"/>
      <c r="FKH8" s="74"/>
      <c r="FKI8" s="72"/>
      <c r="FKP8" s="74"/>
      <c r="FKQ8" s="72"/>
      <c r="FKX8" s="74"/>
      <c r="FKY8" s="72"/>
      <c r="FLF8" s="74"/>
      <c r="FLG8" s="72"/>
      <c r="FLN8" s="74"/>
      <c r="FLO8" s="72"/>
      <c r="FLV8" s="74"/>
      <c r="FLW8" s="72"/>
      <c r="FMD8" s="74"/>
      <c r="FME8" s="72"/>
      <c r="FML8" s="74"/>
      <c r="FMM8" s="72"/>
      <c r="FMT8" s="74"/>
      <c r="FMU8" s="72"/>
      <c r="FNB8" s="74"/>
      <c r="FNC8" s="72"/>
      <c r="FNJ8" s="74"/>
      <c r="FNK8" s="72"/>
      <c r="FNR8" s="74"/>
      <c r="FNS8" s="72"/>
      <c r="FNZ8" s="74"/>
      <c r="FOA8" s="72"/>
      <c r="FOH8" s="74"/>
      <c r="FOI8" s="72"/>
      <c r="FOP8" s="74"/>
      <c r="FOQ8" s="72"/>
      <c r="FOX8" s="74"/>
      <c r="FOY8" s="72"/>
      <c r="FPF8" s="74"/>
      <c r="FPG8" s="72"/>
      <c r="FPN8" s="74"/>
      <c r="FPO8" s="72"/>
      <c r="FPV8" s="74"/>
      <c r="FPW8" s="72"/>
      <c r="FQD8" s="74"/>
      <c r="FQE8" s="72"/>
      <c r="FQL8" s="74"/>
      <c r="FQM8" s="72"/>
      <c r="FQT8" s="74"/>
      <c r="FQU8" s="72"/>
      <c r="FRB8" s="74"/>
      <c r="FRC8" s="72"/>
      <c r="FRJ8" s="74"/>
      <c r="FRK8" s="72"/>
      <c r="FRR8" s="74"/>
      <c r="FRS8" s="72"/>
      <c r="FRZ8" s="74"/>
      <c r="FSA8" s="72"/>
      <c r="FSH8" s="74"/>
      <c r="FSI8" s="72"/>
      <c r="FSP8" s="74"/>
      <c r="FSQ8" s="72"/>
      <c r="FSX8" s="74"/>
      <c r="FSY8" s="72"/>
      <c r="FTF8" s="74"/>
      <c r="FTG8" s="72"/>
      <c r="FTN8" s="74"/>
      <c r="FTO8" s="72"/>
      <c r="FTV8" s="74"/>
      <c r="FTW8" s="72"/>
      <c r="FUD8" s="74"/>
      <c r="FUE8" s="72"/>
      <c r="FUL8" s="74"/>
      <c r="FUM8" s="72"/>
      <c r="FUT8" s="74"/>
      <c r="FUU8" s="72"/>
      <c r="FVB8" s="74"/>
      <c r="FVC8" s="72"/>
      <c r="FVJ8" s="74"/>
      <c r="FVK8" s="72"/>
      <c r="FVR8" s="74"/>
      <c r="FVS8" s="72"/>
      <c r="FVZ8" s="74"/>
      <c r="FWA8" s="72"/>
      <c r="FWH8" s="74"/>
      <c r="FWI8" s="72"/>
      <c r="FWP8" s="74"/>
      <c r="FWQ8" s="72"/>
      <c r="FWX8" s="74"/>
      <c r="FWY8" s="72"/>
      <c r="FXF8" s="74"/>
      <c r="FXG8" s="72"/>
      <c r="FXN8" s="74"/>
      <c r="FXO8" s="72"/>
      <c r="FXV8" s="74"/>
      <c r="FXW8" s="72"/>
      <c r="FYD8" s="74"/>
      <c r="FYE8" s="72"/>
      <c r="FYL8" s="74"/>
      <c r="FYM8" s="72"/>
      <c r="FYT8" s="74"/>
      <c r="FYU8" s="72"/>
      <c r="FZB8" s="74"/>
      <c r="FZC8" s="72"/>
      <c r="FZJ8" s="74"/>
      <c r="FZK8" s="72"/>
      <c r="FZR8" s="74"/>
      <c r="FZS8" s="72"/>
      <c r="FZZ8" s="74"/>
      <c r="GAA8" s="72"/>
      <c r="GAH8" s="74"/>
      <c r="GAI8" s="72"/>
      <c r="GAP8" s="74"/>
      <c r="GAQ8" s="72"/>
      <c r="GAX8" s="74"/>
      <c r="GAY8" s="72"/>
      <c r="GBF8" s="74"/>
      <c r="GBG8" s="72"/>
      <c r="GBN8" s="74"/>
      <c r="GBO8" s="72"/>
      <c r="GBV8" s="74"/>
      <c r="GBW8" s="72"/>
      <c r="GCD8" s="74"/>
      <c r="GCE8" s="72"/>
      <c r="GCL8" s="74"/>
      <c r="GCM8" s="72"/>
      <c r="GCT8" s="74"/>
      <c r="GCU8" s="72"/>
      <c r="GDB8" s="74"/>
      <c r="GDC8" s="72"/>
      <c r="GDJ8" s="74"/>
      <c r="GDK8" s="72"/>
      <c r="GDR8" s="74"/>
      <c r="GDS8" s="72"/>
      <c r="GDZ8" s="74"/>
      <c r="GEA8" s="72"/>
      <c r="GEH8" s="74"/>
      <c r="GEI8" s="72"/>
      <c r="GEP8" s="74"/>
      <c r="GEQ8" s="72"/>
      <c r="GEX8" s="74"/>
      <c r="GEY8" s="72"/>
      <c r="GFF8" s="74"/>
      <c r="GFG8" s="72"/>
      <c r="GFN8" s="74"/>
      <c r="GFO8" s="72"/>
      <c r="GFV8" s="74"/>
      <c r="GFW8" s="72"/>
      <c r="GGD8" s="74"/>
      <c r="GGE8" s="72"/>
      <c r="GGL8" s="74"/>
      <c r="GGM8" s="72"/>
      <c r="GGT8" s="74"/>
      <c r="GGU8" s="72"/>
      <c r="GHB8" s="74"/>
      <c r="GHC8" s="72"/>
      <c r="GHJ8" s="74"/>
      <c r="GHK8" s="72"/>
      <c r="GHR8" s="74"/>
      <c r="GHS8" s="72"/>
      <c r="GHZ8" s="74"/>
      <c r="GIA8" s="72"/>
      <c r="GIH8" s="74"/>
      <c r="GII8" s="72"/>
      <c r="GIP8" s="74"/>
      <c r="GIQ8" s="72"/>
      <c r="GIX8" s="74"/>
      <c r="GIY8" s="72"/>
      <c r="GJF8" s="74"/>
      <c r="GJG8" s="72"/>
      <c r="GJN8" s="74"/>
      <c r="GJO8" s="72"/>
      <c r="GJV8" s="74"/>
      <c r="GJW8" s="72"/>
      <c r="GKD8" s="74"/>
      <c r="GKE8" s="72"/>
      <c r="GKL8" s="74"/>
      <c r="GKM8" s="72"/>
      <c r="GKT8" s="74"/>
      <c r="GKU8" s="72"/>
      <c r="GLB8" s="74"/>
      <c r="GLC8" s="72"/>
      <c r="GLJ8" s="74"/>
      <c r="GLK8" s="72"/>
      <c r="GLR8" s="74"/>
      <c r="GLS8" s="72"/>
      <c r="GLZ8" s="74"/>
      <c r="GMA8" s="72"/>
      <c r="GMH8" s="74"/>
      <c r="GMI8" s="72"/>
      <c r="GMP8" s="74"/>
      <c r="GMQ8" s="72"/>
      <c r="GMX8" s="74"/>
      <c r="GMY8" s="72"/>
      <c r="GNF8" s="74"/>
      <c r="GNG8" s="72"/>
      <c r="GNN8" s="74"/>
      <c r="GNO8" s="72"/>
      <c r="GNV8" s="74"/>
      <c r="GNW8" s="72"/>
      <c r="GOD8" s="74"/>
      <c r="GOE8" s="72"/>
      <c r="GOL8" s="74"/>
      <c r="GOM8" s="72"/>
      <c r="GOT8" s="74"/>
      <c r="GOU8" s="72"/>
      <c r="GPB8" s="74"/>
      <c r="GPC8" s="72"/>
      <c r="GPJ8" s="74"/>
      <c r="GPK8" s="72"/>
      <c r="GPR8" s="74"/>
      <c r="GPS8" s="72"/>
      <c r="GPZ8" s="74"/>
      <c r="GQA8" s="72"/>
      <c r="GQH8" s="74"/>
      <c r="GQI8" s="72"/>
      <c r="GQP8" s="74"/>
      <c r="GQQ8" s="72"/>
      <c r="GQX8" s="74"/>
      <c r="GQY8" s="72"/>
      <c r="GRF8" s="74"/>
      <c r="GRG8" s="72"/>
      <c r="GRN8" s="74"/>
      <c r="GRO8" s="72"/>
      <c r="GRV8" s="74"/>
      <c r="GRW8" s="72"/>
      <c r="GSD8" s="74"/>
      <c r="GSE8" s="72"/>
      <c r="GSL8" s="74"/>
      <c r="GSM8" s="72"/>
      <c r="GST8" s="74"/>
      <c r="GSU8" s="72"/>
      <c r="GTB8" s="74"/>
      <c r="GTC8" s="72"/>
      <c r="GTJ8" s="74"/>
      <c r="GTK8" s="72"/>
      <c r="GTR8" s="74"/>
      <c r="GTS8" s="72"/>
      <c r="GTZ8" s="74"/>
      <c r="GUA8" s="72"/>
      <c r="GUH8" s="74"/>
      <c r="GUI8" s="72"/>
      <c r="GUP8" s="74"/>
      <c r="GUQ8" s="72"/>
      <c r="GUX8" s="74"/>
      <c r="GUY8" s="72"/>
      <c r="GVF8" s="74"/>
      <c r="GVG8" s="72"/>
      <c r="GVN8" s="74"/>
      <c r="GVO8" s="72"/>
      <c r="GVV8" s="74"/>
      <c r="GVW8" s="72"/>
      <c r="GWD8" s="74"/>
      <c r="GWE8" s="72"/>
      <c r="GWL8" s="74"/>
      <c r="GWM8" s="72"/>
      <c r="GWT8" s="74"/>
      <c r="GWU8" s="72"/>
      <c r="GXB8" s="74"/>
      <c r="GXC8" s="72"/>
      <c r="GXJ8" s="74"/>
      <c r="GXK8" s="72"/>
      <c r="GXR8" s="74"/>
      <c r="GXS8" s="72"/>
      <c r="GXZ8" s="74"/>
      <c r="GYA8" s="72"/>
      <c r="GYH8" s="74"/>
      <c r="GYI8" s="72"/>
      <c r="GYP8" s="74"/>
      <c r="GYQ8" s="72"/>
      <c r="GYX8" s="74"/>
      <c r="GYY8" s="72"/>
      <c r="GZF8" s="74"/>
      <c r="GZG8" s="72"/>
      <c r="GZN8" s="74"/>
      <c r="GZO8" s="72"/>
      <c r="GZV8" s="74"/>
      <c r="GZW8" s="72"/>
      <c r="HAD8" s="74"/>
      <c r="HAE8" s="72"/>
      <c r="HAL8" s="74"/>
      <c r="HAM8" s="72"/>
      <c r="HAT8" s="74"/>
      <c r="HAU8" s="72"/>
      <c r="HBB8" s="74"/>
      <c r="HBC8" s="72"/>
      <c r="HBJ8" s="74"/>
      <c r="HBK8" s="72"/>
      <c r="HBR8" s="74"/>
      <c r="HBS8" s="72"/>
      <c r="HBZ8" s="74"/>
      <c r="HCA8" s="72"/>
      <c r="HCH8" s="74"/>
      <c r="HCI8" s="72"/>
      <c r="HCP8" s="74"/>
      <c r="HCQ8" s="72"/>
      <c r="HCX8" s="74"/>
      <c r="HCY8" s="72"/>
      <c r="HDF8" s="74"/>
      <c r="HDG8" s="72"/>
      <c r="HDN8" s="74"/>
      <c r="HDO8" s="72"/>
      <c r="HDV8" s="74"/>
      <c r="HDW8" s="72"/>
      <c r="HED8" s="74"/>
      <c r="HEE8" s="72"/>
      <c r="HEL8" s="74"/>
      <c r="HEM8" s="72"/>
      <c r="HET8" s="74"/>
      <c r="HEU8" s="72"/>
      <c r="HFB8" s="74"/>
      <c r="HFC8" s="72"/>
      <c r="HFJ8" s="74"/>
      <c r="HFK8" s="72"/>
      <c r="HFR8" s="74"/>
      <c r="HFS8" s="72"/>
      <c r="HFZ8" s="74"/>
      <c r="HGA8" s="72"/>
      <c r="HGH8" s="74"/>
      <c r="HGI8" s="72"/>
      <c r="HGP8" s="74"/>
      <c r="HGQ8" s="72"/>
      <c r="HGX8" s="74"/>
      <c r="HGY8" s="72"/>
      <c r="HHF8" s="74"/>
      <c r="HHG8" s="72"/>
      <c r="HHN8" s="74"/>
      <c r="HHO8" s="72"/>
      <c r="HHV8" s="74"/>
      <c r="HHW8" s="72"/>
      <c r="HID8" s="74"/>
      <c r="HIE8" s="72"/>
      <c r="HIL8" s="74"/>
      <c r="HIM8" s="72"/>
      <c r="HIT8" s="74"/>
      <c r="HIU8" s="72"/>
      <c r="HJB8" s="74"/>
      <c r="HJC8" s="72"/>
      <c r="HJJ8" s="74"/>
      <c r="HJK8" s="72"/>
      <c r="HJR8" s="74"/>
      <c r="HJS8" s="72"/>
      <c r="HJZ8" s="74"/>
      <c r="HKA8" s="72"/>
      <c r="HKH8" s="74"/>
      <c r="HKI8" s="72"/>
      <c r="HKP8" s="74"/>
      <c r="HKQ8" s="72"/>
      <c r="HKX8" s="74"/>
      <c r="HKY8" s="72"/>
      <c r="HLF8" s="74"/>
      <c r="HLG8" s="72"/>
      <c r="HLN8" s="74"/>
      <c r="HLO8" s="72"/>
      <c r="HLV8" s="74"/>
      <c r="HLW8" s="72"/>
      <c r="HMD8" s="74"/>
      <c r="HME8" s="72"/>
      <c r="HML8" s="74"/>
      <c r="HMM8" s="72"/>
      <c r="HMT8" s="74"/>
      <c r="HMU8" s="72"/>
      <c r="HNB8" s="74"/>
      <c r="HNC8" s="72"/>
      <c r="HNJ8" s="74"/>
      <c r="HNK8" s="72"/>
      <c r="HNR8" s="74"/>
      <c r="HNS8" s="72"/>
      <c r="HNZ8" s="74"/>
      <c r="HOA8" s="72"/>
      <c r="HOH8" s="74"/>
      <c r="HOI8" s="72"/>
      <c r="HOP8" s="74"/>
      <c r="HOQ8" s="72"/>
      <c r="HOX8" s="74"/>
      <c r="HOY8" s="72"/>
      <c r="HPF8" s="74"/>
      <c r="HPG8" s="72"/>
      <c r="HPN8" s="74"/>
      <c r="HPO8" s="72"/>
      <c r="HPV8" s="74"/>
      <c r="HPW8" s="72"/>
      <c r="HQD8" s="74"/>
      <c r="HQE8" s="72"/>
      <c r="HQL8" s="74"/>
      <c r="HQM8" s="72"/>
      <c r="HQT8" s="74"/>
      <c r="HQU8" s="72"/>
      <c r="HRB8" s="74"/>
      <c r="HRC8" s="72"/>
      <c r="HRJ8" s="74"/>
      <c r="HRK8" s="72"/>
      <c r="HRR8" s="74"/>
      <c r="HRS8" s="72"/>
      <c r="HRZ8" s="74"/>
      <c r="HSA8" s="72"/>
      <c r="HSH8" s="74"/>
      <c r="HSI8" s="72"/>
      <c r="HSP8" s="74"/>
      <c r="HSQ8" s="72"/>
      <c r="HSX8" s="74"/>
      <c r="HSY8" s="72"/>
      <c r="HTF8" s="74"/>
      <c r="HTG8" s="72"/>
      <c r="HTN8" s="74"/>
      <c r="HTO8" s="72"/>
      <c r="HTV8" s="74"/>
      <c r="HTW8" s="72"/>
      <c r="HUD8" s="74"/>
      <c r="HUE8" s="72"/>
      <c r="HUL8" s="74"/>
      <c r="HUM8" s="72"/>
      <c r="HUT8" s="74"/>
      <c r="HUU8" s="72"/>
      <c r="HVB8" s="74"/>
      <c r="HVC8" s="72"/>
      <c r="HVJ8" s="74"/>
      <c r="HVK8" s="72"/>
      <c r="HVR8" s="74"/>
      <c r="HVS8" s="72"/>
      <c r="HVZ8" s="74"/>
      <c r="HWA8" s="72"/>
      <c r="HWH8" s="74"/>
      <c r="HWI8" s="72"/>
      <c r="HWP8" s="74"/>
      <c r="HWQ8" s="72"/>
      <c r="HWX8" s="74"/>
      <c r="HWY8" s="72"/>
      <c r="HXF8" s="74"/>
      <c r="HXG8" s="72"/>
      <c r="HXN8" s="74"/>
      <c r="HXO8" s="72"/>
      <c r="HXV8" s="74"/>
      <c r="HXW8" s="72"/>
      <c r="HYD8" s="74"/>
      <c r="HYE8" s="72"/>
      <c r="HYL8" s="74"/>
      <c r="HYM8" s="72"/>
      <c r="HYT8" s="74"/>
      <c r="HYU8" s="72"/>
      <c r="HZB8" s="74"/>
      <c r="HZC8" s="72"/>
      <c r="HZJ8" s="74"/>
      <c r="HZK8" s="72"/>
      <c r="HZR8" s="74"/>
      <c r="HZS8" s="72"/>
      <c r="HZZ8" s="74"/>
      <c r="IAA8" s="72"/>
      <c r="IAH8" s="74"/>
      <c r="IAI8" s="72"/>
      <c r="IAP8" s="74"/>
      <c r="IAQ8" s="72"/>
      <c r="IAX8" s="74"/>
      <c r="IAY8" s="72"/>
      <c r="IBF8" s="74"/>
      <c r="IBG8" s="72"/>
      <c r="IBN8" s="74"/>
      <c r="IBO8" s="72"/>
      <c r="IBV8" s="74"/>
      <c r="IBW8" s="72"/>
      <c r="ICD8" s="74"/>
      <c r="ICE8" s="72"/>
      <c r="ICL8" s="74"/>
      <c r="ICM8" s="72"/>
      <c r="ICT8" s="74"/>
      <c r="ICU8" s="72"/>
      <c r="IDB8" s="74"/>
      <c r="IDC8" s="72"/>
      <c r="IDJ8" s="74"/>
      <c r="IDK8" s="72"/>
      <c r="IDR8" s="74"/>
      <c r="IDS8" s="72"/>
      <c r="IDZ8" s="74"/>
      <c r="IEA8" s="72"/>
      <c r="IEH8" s="74"/>
      <c r="IEI8" s="72"/>
      <c r="IEP8" s="74"/>
      <c r="IEQ8" s="72"/>
      <c r="IEX8" s="74"/>
      <c r="IEY8" s="72"/>
      <c r="IFF8" s="74"/>
      <c r="IFG8" s="72"/>
      <c r="IFN8" s="74"/>
      <c r="IFO8" s="72"/>
      <c r="IFV8" s="74"/>
      <c r="IFW8" s="72"/>
      <c r="IGD8" s="74"/>
      <c r="IGE8" s="72"/>
      <c r="IGL8" s="74"/>
      <c r="IGM8" s="72"/>
      <c r="IGT8" s="74"/>
      <c r="IGU8" s="72"/>
      <c r="IHB8" s="74"/>
      <c r="IHC8" s="72"/>
      <c r="IHJ8" s="74"/>
      <c r="IHK8" s="72"/>
      <c r="IHR8" s="74"/>
      <c r="IHS8" s="72"/>
      <c r="IHZ8" s="74"/>
      <c r="IIA8" s="72"/>
      <c r="IIH8" s="74"/>
      <c r="III8" s="72"/>
      <c r="IIP8" s="74"/>
      <c r="IIQ8" s="72"/>
      <c r="IIX8" s="74"/>
      <c r="IIY8" s="72"/>
      <c r="IJF8" s="74"/>
      <c r="IJG8" s="72"/>
      <c r="IJN8" s="74"/>
      <c r="IJO8" s="72"/>
      <c r="IJV8" s="74"/>
      <c r="IJW8" s="72"/>
      <c r="IKD8" s="74"/>
      <c r="IKE8" s="72"/>
      <c r="IKL8" s="74"/>
      <c r="IKM8" s="72"/>
      <c r="IKT8" s="74"/>
      <c r="IKU8" s="72"/>
      <c r="ILB8" s="74"/>
      <c r="ILC8" s="72"/>
      <c r="ILJ8" s="74"/>
      <c r="ILK8" s="72"/>
      <c r="ILR8" s="74"/>
      <c r="ILS8" s="72"/>
      <c r="ILZ8" s="74"/>
      <c r="IMA8" s="72"/>
      <c r="IMH8" s="74"/>
      <c r="IMI8" s="72"/>
      <c r="IMP8" s="74"/>
      <c r="IMQ8" s="72"/>
      <c r="IMX8" s="74"/>
      <c r="IMY8" s="72"/>
      <c r="INF8" s="74"/>
      <c r="ING8" s="72"/>
      <c r="INN8" s="74"/>
      <c r="INO8" s="72"/>
      <c r="INV8" s="74"/>
      <c r="INW8" s="72"/>
      <c r="IOD8" s="74"/>
      <c r="IOE8" s="72"/>
      <c r="IOL8" s="74"/>
      <c r="IOM8" s="72"/>
      <c r="IOT8" s="74"/>
      <c r="IOU8" s="72"/>
      <c r="IPB8" s="74"/>
      <c r="IPC8" s="72"/>
      <c r="IPJ8" s="74"/>
      <c r="IPK8" s="72"/>
      <c r="IPR8" s="74"/>
      <c r="IPS8" s="72"/>
      <c r="IPZ8" s="74"/>
      <c r="IQA8" s="72"/>
      <c r="IQH8" s="74"/>
      <c r="IQI8" s="72"/>
      <c r="IQP8" s="74"/>
      <c r="IQQ8" s="72"/>
      <c r="IQX8" s="74"/>
      <c r="IQY8" s="72"/>
      <c r="IRF8" s="74"/>
      <c r="IRG8" s="72"/>
      <c r="IRN8" s="74"/>
      <c r="IRO8" s="72"/>
      <c r="IRV8" s="74"/>
      <c r="IRW8" s="72"/>
      <c r="ISD8" s="74"/>
      <c r="ISE8" s="72"/>
      <c r="ISL8" s="74"/>
      <c r="ISM8" s="72"/>
      <c r="IST8" s="74"/>
      <c r="ISU8" s="72"/>
      <c r="ITB8" s="74"/>
      <c r="ITC8" s="72"/>
      <c r="ITJ8" s="74"/>
      <c r="ITK8" s="72"/>
      <c r="ITR8" s="74"/>
      <c r="ITS8" s="72"/>
      <c r="ITZ8" s="74"/>
      <c r="IUA8" s="72"/>
      <c r="IUH8" s="74"/>
      <c r="IUI8" s="72"/>
      <c r="IUP8" s="74"/>
      <c r="IUQ8" s="72"/>
      <c r="IUX8" s="74"/>
      <c r="IUY8" s="72"/>
      <c r="IVF8" s="74"/>
      <c r="IVG8" s="72"/>
      <c r="IVN8" s="74"/>
      <c r="IVO8" s="72"/>
      <c r="IVV8" s="74"/>
      <c r="IVW8" s="72"/>
      <c r="IWD8" s="74"/>
      <c r="IWE8" s="72"/>
      <c r="IWL8" s="74"/>
      <c r="IWM8" s="72"/>
      <c r="IWT8" s="74"/>
      <c r="IWU8" s="72"/>
      <c r="IXB8" s="74"/>
      <c r="IXC8" s="72"/>
      <c r="IXJ8" s="74"/>
      <c r="IXK8" s="72"/>
      <c r="IXR8" s="74"/>
      <c r="IXS8" s="72"/>
      <c r="IXZ8" s="74"/>
      <c r="IYA8" s="72"/>
      <c r="IYH8" s="74"/>
      <c r="IYI8" s="72"/>
      <c r="IYP8" s="74"/>
      <c r="IYQ8" s="72"/>
      <c r="IYX8" s="74"/>
      <c r="IYY8" s="72"/>
      <c r="IZF8" s="74"/>
      <c r="IZG8" s="72"/>
      <c r="IZN8" s="74"/>
      <c r="IZO8" s="72"/>
      <c r="IZV8" s="74"/>
      <c r="IZW8" s="72"/>
      <c r="JAD8" s="74"/>
      <c r="JAE8" s="72"/>
      <c r="JAL8" s="74"/>
      <c r="JAM8" s="72"/>
      <c r="JAT8" s="74"/>
      <c r="JAU8" s="72"/>
      <c r="JBB8" s="74"/>
      <c r="JBC8" s="72"/>
      <c r="JBJ8" s="74"/>
      <c r="JBK8" s="72"/>
      <c r="JBR8" s="74"/>
      <c r="JBS8" s="72"/>
      <c r="JBZ8" s="74"/>
      <c r="JCA8" s="72"/>
      <c r="JCH8" s="74"/>
      <c r="JCI8" s="72"/>
      <c r="JCP8" s="74"/>
      <c r="JCQ8" s="72"/>
      <c r="JCX8" s="74"/>
      <c r="JCY8" s="72"/>
      <c r="JDF8" s="74"/>
      <c r="JDG8" s="72"/>
      <c r="JDN8" s="74"/>
      <c r="JDO8" s="72"/>
      <c r="JDV8" s="74"/>
      <c r="JDW8" s="72"/>
      <c r="JED8" s="74"/>
      <c r="JEE8" s="72"/>
      <c r="JEL8" s="74"/>
      <c r="JEM8" s="72"/>
      <c r="JET8" s="74"/>
      <c r="JEU8" s="72"/>
      <c r="JFB8" s="74"/>
      <c r="JFC8" s="72"/>
      <c r="JFJ8" s="74"/>
      <c r="JFK8" s="72"/>
      <c r="JFR8" s="74"/>
      <c r="JFS8" s="72"/>
      <c r="JFZ8" s="74"/>
      <c r="JGA8" s="72"/>
      <c r="JGH8" s="74"/>
      <c r="JGI8" s="72"/>
      <c r="JGP8" s="74"/>
      <c r="JGQ8" s="72"/>
      <c r="JGX8" s="74"/>
      <c r="JGY8" s="72"/>
      <c r="JHF8" s="74"/>
      <c r="JHG8" s="72"/>
      <c r="JHN8" s="74"/>
      <c r="JHO8" s="72"/>
      <c r="JHV8" s="74"/>
      <c r="JHW8" s="72"/>
      <c r="JID8" s="74"/>
      <c r="JIE8" s="72"/>
      <c r="JIL8" s="74"/>
      <c r="JIM8" s="72"/>
      <c r="JIT8" s="74"/>
      <c r="JIU8" s="72"/>
      <c r="JJB8" s="74"/>
      <c r="JJC8" s="72"/>
      <c r="JJJ8" s="74"/>
      <c r="JJK8" s="72"/>
      <c r="JJR8" s="74"/>
      <c r="JJS8" s="72"/>
      <c r="JJZ8" s="74"/>
      <c r="JKA8" s="72"/>
      <c r="JKH8" s="74"/>
      <c r="JKI8" s="72"/>
      <c r="JKP8" s="74"/>
      <c r="JKQ8" s="72"/>
      <c r="JKX8" s="74"/>
      <c r="JKY8" s="72"/>
      <c r="JLF8" s="74"/>
      <c r="JLG8" s="72"/>
      <c r="JLN8" s="74"/>
      <c r="JLO8" s="72"/>
      <c r="JLV8" s="74"/>
      <c r="JLW8" s="72"/>
      <c r="JMD8" s="74"/>
      <c r="JME8" s="72"/>
      <c r="JML8" s="74"/>
      <c r="JMM8" s="72"/>
      <c r="JMT8" s="74"/>
      <c r="JMU8" s="72"/>
      <c r="JNB8" s="74"/>
      <c r="JNC8" s="72"/>
      <c r="JNJ8" s="74"/>
      <c r="JNK8" s="72"/>
      <c r="JNR8" s="74"/>
      <c r="JNS8" s="72"/>
      <c r="JNZ8" s="74"/>
      <c r="JOA8" s="72"/>
      <c r="JOH8" s="74"/>
      <c r="JOI8" s="72"/>
      <c r="JOP8" s="74"/>
      <c r="JOQ8" s="72"/>
      <c r="JOX8" s="74"/>
      <c r="JOY8" s="72"/>
      <c r="JPF8" s="74"/>
      <c r="JPG8" s="72"/>
      <c r="JPN8" s="74"/>
      <c r="JPO8" s="72"/>
      <c r="JPV8" s="74"/>
      <c r="JPW8" s="72"/>
      <c r="JQD8" s="74"/>
      <c r="JQE8" s="72"/>
      <c r="JQL8" s="74"/>
      <c r="JQM8" s="72"/>
      <c r="JQT8" s="74"/>
      <c r="JQU8" s="72"/>
      <c r="JRB8" s="74"/>
      <c r="JRC8" s="72"/>
      <c r="JRJ8" s="74"/>
      <c r="JRK8" s="72"/>
      <c r="JRR8" s="74"/>
      <c r="JRS8" s="72"/>
      <c r="JRZ8" s="74"/>
      <c r="JSA8" s="72"/>
      <c r="JSH8" s="74"/>
      <c r="JSI8" s="72"/>
      <c r="JSP8" s="74"/>
      <c r="JSQ8" s="72"/>
      <c r="JSX8" s="74"/>
      <c r="JSY8" s="72"/>
      <c r="JTF8" s="74"/>
      <c r="JTG8" s="72"/>
      <c r="JTN8" s="74"/>
      <c r="JTO8" s="72"/>
      <c r="JTV8" s="74"/>
      <c r="JTW8" s="72"/>
      <c r="JUD8" s="74"/>
      <c r="JUE8" s="72"/>
      <c r="JUL8" s="74"/>
      <c r="JUM8" s="72"/>
      <c r="JUT8" s="74"/>
      <c r="JUU8" s="72"/>
      <c r="JVB8" s="74"/>
      <c r="JVC8" s="72"/>
      <c r="JVJ8" s="74"/>
      <c r="JVK8" s="72"/>
      <c r="JVR8" s="74"/>
      <c r="JVS8" s="72"/>
      <c r="JVZ8" s="74"/>
      <c r="JWA8" s="72"/>
      <c r="JWH8" s="74"/>
      <c r="JWI8" s="72"/>
      <c r="JWP8" s="74"/>
      <c r="JWQ8" s="72"/>
      <c r="JWX8" s="74"/>
      <c r="JWY8" s="72"/>
      <c r="JXF8" s="74"/>
      <c r="JXG8" s="72"/>
      <c r="JXN8" s="74"/>
      <c r="JXO8" s="72"/>
      <c r="JXV8" s="74"/>
      <c r="JXW8" s="72"/>
      <c r="JYD8" s="74"/>
      <c r="JYE8" s="72"/>
      <c r="JYL8" s="74"/>
      <c r="JYM8" s="72"/>
      <c r="JYT8" s="74"/>
      <c r="JYU8" s="72"/>
      <c r="JZB8" s="74"/>
      <c r="JZC8" s="72"/>
      <c r="JZJ8" s="74"/>
      <c r="JZK8" s="72"/>
      <c r="JZR8" s="74"/>
      <c r="JZS8" s="72"/>
      <c r="JZZ8" s="74"/>
      <c r="KAA8" s="72"/>
      <c r="KAH8" s="74"/>
      <c r="KAI8" s="72"/>
      <c r="KAP8" s="74"/>
      <c r="KAQ8" s="72"/>
      <c r="KAX8" s="74"/>
      <c r="KAY8" s="72"/>
      <c r="KBF8" s="74"/>
      <c r="KBG8" s="72"/>
      <c r="KBN8" s="74"/>
      <c r="KBO8" s="72"/>
      <c r="KBV8" s="74"/>
      <c r="KBW8" s="72"/>
      <c r="KCD8" s="74"/>
      <c r="KCE8" s="72"/>
      <c r="KCL8" s="74"/>
      <c r="KCM8" s="72"/>
      <c r="KCT8" s="74"/>
      <c r="KCU8" s="72"/>
      <c r="KDB8" s="74"/>
      <c r="KDC8" s="72"/>
      <c r="KDJ8" s="74"/>
      <c r="KDK8" s="72"/>
      <c r="KDR8" s="74"/>
      <c r="KDS8" s="72"/>
      <c r="KDZ8" s="74"/>
      <c r="KEA8" s="72"/>
      <c r="KEH8" s="74"/>
      <c r="KEI8" s="72"/>
      <c r="KEP8" s="74"/>
      <c r="KEQ8" s="72"/>
      <c r="KEX8" s="74"/>
      <c r="KEY8" s="72"/>
      <c r="KFF8" s="74"/>
      <c r="KFG8" s="72"/>
      <c r="KFN8" s="74"/>
      <c r="KFO8" s="72"/>
      <c r="KFV8" s="74"/>
      <c r="KFW8" s="72"/>
      <c r="KGD8" s="74"/>
      <c r="KGE8" s="72"/>
      <c r="KGL8" s="74"/>
      <c r="KGM8" s="72"/>
      <c r="KGT8" s="74"/>
      <c r="KGU8" s="72"/>
      <c r="KHB8" s="74"/>
      <c r="KHC8" s="72"/>
      <c r="KHJ8" s="74"/>
      <c r="KHK8" s="72"/>
      <c r="KHR8" s="74"/>
      <c r="KHS8" s="72"/>
      <c r="KHZ8" s="74"/>
      <c r="KIA8" s="72"/>
      <c r="KIH8" s="74"/>
      <c r="KII8" s="72"/>
      <c r="KIP8" s="74"/>
      <c r="KIQ8" s="72"/>
      <c r="KIX8" s="74"/>
      <c r="KIY8" s="72"/>
      <c r="KJF8" s="74"/>
      <c r="KJG8" s="72"/>
      <c r="KJN8" s="74"/>
      <c r="KJO8" s="72"/>
      <c r="KJV8" s="74"/>
      <c r="KJW8" s="72"/>
      <c r="KKD8" s="74"/>
      <c r="KKE8" s="72"/>
      <c r="KKL8" s="74"/>
      <c r="KKM8" s="72"/>
      <c r="KKT8" s="74"/>
      <c r="KKU8" s="72"/>
      <c r="KLB8" s="74"/>
      <c r="KLC8" s="72"/>
      <c r="KLJ8" s="74"/>
      <c r="KLK8" s="72"/>
      <c r="KLR8" s="74"/>
      <c r="KLS8" s="72"/>
      <c r="KLZ8" s="74"/>
      <c r="KMA8" s="72"/>
      <c r="KMH8" s="74"/>
      <c r="KMI8" s="72"/>
      <c r="KMP8" s="74"/>
      <c r="KMQ8" s="72"/>
      <c r="KMX8" s="74"/>
      <c r="KMY8" s="72"/>
      <c r="KNF8" s="74"/>
      <c r="KNG8" s="72"/>
      <c r="KNN8" s="74"/>
      <c r="KNO8" s="72"/>
      <c r="KNV8" s="74"/>
      <c r="KNW8" s="72"/>
      <c r="KOD8" s="74"/>
      <c r="KOE8" s="72"/>
      <c r="KOL8" s="74"/>
      <c r="KOM8" s="72"/>
      <c r="KOT8" s="74"/>
      <c r="KOU8" s="72"/>
      <c r="KPB8" s="74"/>
      <c r="KPC8" s="72"/>
      <c r="KPJ8" s="74"/>
      <c r="KPK8" s="72"/>
      <c r="KPR8" s="74"/>
      <c r="KPS8" s="72"/>
      <c r="KPZ8" s="74"/>
      <c r="KQA8" s="72"/>
      <c r="KQH8" s="74"/>
      <c r="KQI8" s="72"/>
      <c r="KQP8" s="74"/>
      <c r="KQQ8" s="72"/>
      <c r="KQX8" s="74"/>
      <c r="KQY8" s="72"/>
      <c r="KRF8" s="74"/>
      <c r="KRG8" s="72"/>
      <c r="KRN8" s="74"/>
      <c r="KRO8" s="72"/>
      <c r="KRV8" s="74"/>
      <c r="KRW8" s="72"/>
      <c r="KSD8" s="74"/>
      <c r="KSE8" s="72"/>
      <c r="KSL8" s="74"/>
      <c r="KSM8" s="72"/>
      <c r="KST8" s="74"/>
      <c r="KSU8" s="72"/>
      <c r="KTB8" s="74"/>
      <c r="KTC8" s="72"/>
      <c r="KTJ8" s="74"/>
      <c r="KTK8" s="72"/>
      <c r="KTR8" s="74"/>
      <c r="KTS8" s="72"/>
      <c r="KTZ8" s="74"/>
      <c r="KUA8" s="72"/>
      <c r="KUH8" s="74"/>
      <c r="KUI8" s="72"/>
      <c r="KUP8" s="74"/>
      <c r="KUQ8" s="72"/>
      <c r="KUX8" s="74"/>
      <c r="KUY8" s="72"/>
      <c r="KVF8" s="74"/>
      <c r="KVG8" s="72"/>
      <c r="KVN8" s="74"/>
      <c r="KVO8" s="72"/>
      <c r="KVV8" s="74"/>
      <c r="KVW8" s="72"/>
      <c r="KWD8" s="74"/>
      <c r="KWE8" s="72"/>
      <c r="KWL8" s="74"/>
      <c r="KWM8" s="72"/>
      <c r="KWT8" s="74"/>
      <c r="KWU8" s="72"/>
      <c r="KXB8" s="74"/>
      <c r="KXC8" s="72"/>
      <c r="KXJ8" s="74"/>
      <c r="KXK8" s="72"/>
      <c r="KXR8" s="74"/>
      <c r="KXS8" s="72"/>
      <c r="KXZ8" s="74"/>
      <c r="KYA8" s="72"/>
      <c r="KYH8" s="74"/>
      <c r="KYI8" s="72"/>
      <c r="KYP8" s="74"/>
      <c r="KYQ8" s="72"/>
      <c r="KYX8" s="74"/>
      <c r="KYY8" s="72"/>
      <c r="KZF8" s="74"/>
      <c r="KZG8" s="72"/>
      <c r="KZN8" s="74"/>
      <c r="KZO8" s="72"/>
      <c r="KZV8" s="74"/>
      <c r="KZW8" s="72"/>
      <c r="LAD8" s="74"/>
      <c r="LAE8" s="72"/>
      <c r="LAL8" s="74"/>
      <c r="LAM8" s="72"/>
      <c r="LAT8" s="74"/>
      <c r="LAU8" s="72"/>
      <c r="LBB8" s="74"/>
      <c r="LBC8" s="72"/>
      <c r="LBJ8" s="74"/>
      <c r="LBK8" s="72"/>
      <c r="LBR8" s="74"/>
      <c r="LBS8" s="72"/>
      <c r="LBZ8" s="74"/>
      <c r="LCA8" s="72"/>
      <c r="LCH8" s="74"/>
      <c r="LCI8" s="72"/>
      <c r="LCP8" s="74"/>
      <c r="LCQ8" s="72"/>
      <c r="LCX8" s="74"/>
      <c r="LCY8" s="72"/>
      <c r="LDF8" s="74"/>
      <c r="LDG8" s="72"/>
      <c r="LDN8" s="74"/>
      <c r="LDO8" s="72"/>
      <c r="LDV8" s="74"/>
      <c r="LDW8" s="72"/>
      <c r="LED8" s="74"/>
      <c r="LEE8" s="72"/>
      <c r="LEL8" s="74"/>
      <c r="LEM8" s="72"/>
      <c r="LET8" s="74"/>
      <c r="LEU8" s="72"/>
      <c r="LFB8" s="74"/>
      <c r="LFC8" s="72"/>
      <c r="LFJ8" s="74"/>
      <c r="LFK8" s="72"/>
      <c r="LFR8" s="74"/>
      <c r="LFS8" s="72"/>
      <c r="LFZ8" s="74"/>
      <c r="LGA8" s="72"/>
      <c r="LGH8" s="74"/>
      <c r="LGI8" s="72"/>
      <c r="LGP8" s="74"/>
      <c r="LGQ8" s="72"/>
      <c r="LGX8" s="74"/>
      <c r="LGY8" s="72"/>
      <c r="LHF8" s="74"/>
      <c r="LHG8" s="72"/>
      <c r="LHN8" s="74"/>
      <c r="LHO8" s="72"/>
      <c r="LHV8" s="74"/>
      <c r="LHW8" s="72"/>
      <c r="LID8" s="74"/>
      <c r="LIE8" s="72"/>
      <c r="LIL8" s="74"/>
      <c r="LIM8" s="72"/>
      <c r="LIT8" s="74"/>
      <c r="LIU8" s="72"/>
      <c r="LJB8" s="74"/>
      <c r="LJC8" s="72"/>
      <c r="LJJ8" s="74"/>
      <c r="LJK8" s="72"/>
      <c r="LJR8" s="74"/>
      <c r="LJS8" s="72"/>
      <c r="LJZ8" s="74"/>
      <c r="LKA8" s="72"/>
      <c r="LKH8" s="74"/>
      <c r="LKI8" s="72"/>
      <c r="LKP8" s="74"/>
      <c r="LKQ8" s="72"/>
      <c r="LKX8" s="74"/>
      <c r="LKY8" s="72"/>
      <c r="LLF8" s="74"/>
      <c r="LLG8" s="72"/>
      <c r="LLN8" s="74"/>
      <c r="LLO8" s="72"/>
      <c r="LLV8" s="74"/>
      <c r="LLW8" s="72"/>
      <c r="LMD8" s="74"/>
      <c r="LME8" s="72"/>
      <c r="LML8" s="74"/>
      <c r="LMM8" s="72"/>
      <c r="LMT8" s="74"/>
      <c r="LMU8" s="72"/>
      <c r="LNB8" s="74"/>
      <c r="LNC8" s="72"/>
      <c r="LNJ8" s="74"/>
      <c r="LNK8" s="72"/>
      <c r="LNR8" s="74"/>
      <c r="LNS8" s="72"/>
      <c r="LNZ8" s="74"/>
      <c r="LOA8" s="72"/>
      <c r="LOH8" s="74"/>
      <c r="LOI8" s="72"/>
      <c r="LOP8" s="74"/>
      <c r="LOQ8" s="72"/>
      <c r="LOX8" s="74"/>
      <c r="LOY8" s="72"/>
      <c r="LPF8" s="74"/>
      <c r="LPG8" s="72"/>
      <c r="LPN8" s="74"/>
      <c r="LPO8" s="72"/>
      <c r="LPV8" s="74"/>
      <c r="LPW8" s="72"/>
      <c r="LQD8" s="74"/>
      <c r="LQE8" s="72"/>
      <c r="LQL8" s="74"/>
      <c r="LQM8" s="72"/>
      <c r="LQT8" s="74"/>
      <c r="LQU8" s="72"/>
      <c r="LRB8" s="74"/>
      <c r="LRC8" s="72"/>
      <c r="LRJ8" s="74"/>
      <c r="LRK8" s="72"/>
      <c r="LRR8" s="74"/>
      <c r="LRS8" s="72"/>
      <c r="LRZ8" s="74"/>
      <c r="LSA8" s="72"/>
      <c r="LSH8" s="74"/>
      <c r="LSI8" s="72"/>
      <c r="LSP8" s="74"/>
      <c r="LSQ8" s="72"/>
      <c r="LSX8" s="74"/>
      <c r="LSY8" s="72"/>
      <c r="LTF8" s="74"/>
      <c r="LTG8" s="72"/>
      <c r="LTN8" s="74"/>
      <c r="LTO8" s="72"/>
      <c r="LTV8" s="74"/>
      <c r="LTW8" s="72"/>
      <c r="LUD8" s="74"/>
      <c r="LUE8" s="72"/>
      <c r="LUL8" s="74"/>
      <c r="LUM8" s="72"/>
      <c r="LUT8" s="74"/>
      <c r="LUU8" s="72"/>
      <c r="LVB8" s="74"/>
      <c r="LVC8" s="72"/>
      <c r="LVJ8" s="74"/>
      <c r="LVK8" s="72"/>
      <c r="LVR8" s="74"/>
      <c r="LVS8" s="72"/>
      <c r="LVZ8" s="74"/>
      <c r="LWA8" s="72"/>
      <c r="LWH8" s="74"/>
      <c r="LWI8" s="72"/>
      <c r="LWP8" s="74"/>
      <c r="LWQ8" s="72"/>
      <c r="LWX8" s="74"/>
      <c r="LWY8" s="72"/>
      <c r="LXF8" s="74"/>
      <c r="LXG8" s="72"/>
      <c r="LXN8" s="74"/>
      <c r="LXO8" s="72"/>
      <c r="LXV8" s="74"/>
      <c r="LXW8" s="72"/>
      <c r="LYD8" s="74"/>
      <c r="LYE8" s="72"/>
      <c r="LYL8" s="74"/>
      <c r="LYM8" s="72"/>
      <c r="LYT8" s="74"/>
      <c r="LYU8" s="72"/>
      <c r="LZB8" s="74"/>
      <c r="LZC8" s="72"/>
      <c r="LZJ8" s="74"/>
      <c r="LZK8" s="72"/>
      <c r="LZR8" s="74"/>
      <c r="LZS8" s="72"/>
      <c r="LZZ8" s="74"/>
      <c r="MAA8" s="72"/>
      <c r="MAH8" s="74"/>
      <c r="MAI8" s="72"/>
      <c r="MAP8" s="74"/>
      <c r="MAQ8" s="72"/>
      <c r="MAX8" s="74"/>
      <c r="MAY8" s="72"/>
      <c r="MBF8" s="74"/>
      <c r="MBG8" s="72"/>
      <c r="MBN8" s="74"/>
      <c r="MBO8" s="72"/>
      <c r="MBV8" s="74"/>
      <c r="MBW8" s="72"/>
      <c r="MCD8" s="74"/>
      <c r="MCE8" s="72"/>
      <c r="MCL8" s="74"/>
      <c r="MCM8" s="72"/>
      <c r="MCT8" s="74"/>
      <c r="MCU8" s="72"/>
      <c r="MDB8" s="74"/>
      <c r="MDC8" s="72"/>
      <c r="MDJ8" s="74"/>
      <c r="MDK8" s="72"/>
      <c r="MDR8" s="74"/>
      <c r="MDS8" s="72"/>
      <c r="MDZ8" s="74"/>
      <c r="MEA8" s="72"/>
      <c r="MEH8" s="74"/>
      <c r="MEI8" s="72"/>
      <c r="MEP8" s="74"/>
      <c r="MEQ8" s="72"/>
      <c r="MEX8" s="74"/>
      <c r="MEY8" s="72"/>
      <c r="MFF8" s="74"/>
      <c r="MFG8" s="72"/>
      <c r="MFN8" s="74"/>
      <c r="MFO8" s="72"/>
      <c r="MFV8" s="74"/>
      <c r="MFW8" s="72"/>
      <c r="MGD8" s="74"/>
      <c r="MGE8" s="72"/>
      <c r="MGL8" s="74"/>
      <c r="MGM8" s="72"/>
      <c r="MGT8" s="74"/>
      <c r="MGU8" s="72"/>
      <c r="MHB8" s="74"/>
      <c r="MHC8" s="72"/>
      <c r="MHJ8" s="74"/>
      <c r="MHK8" s="72"/>
      <c r="MHR8" s="74"/>
      <c r="MHS8" s="72"/>
      <c r="MHZ8" s="74"/>
      <c r="MIA8" s="72"/>
      <c r="MIH8" s="74"/>
      <c r="MII8" s="72"/>
      <c r="MIP8" s="74"/>
      <c r="MIQ8" s="72"/>
      <c r="MIX8" s="74"/>
      <c r="MIY8" s="72"/>
      <c r="MJF8" s="74"/>
      <c r="MJG8" s="72"/>
      <c r="MJN8" s="74"/>
      <c r="MJO8" s="72"/>
      <c r="MJV8" s="74"/>
      <c r="MJW8" s="72"/>
      <c r="MKD8" s="74"/>
      <c r="MKE8" s="72"/>
      <c r="MKL8" s="74"/>
      <c r="MKM8" s="72"/>
      <c r="MKT8" s="74"/>
      <c r="MKU8" s="72"/>
      <c r="MLB8" s="74"/>
      <c r="MLC8" s="72"/>
      <c r="MLJ8" s="74"/>
      <c r="MLK8" s="72"/>
      <c r="MLR8" s="74"/>
      <c r="MLS8" s="72"/>
      <c r="MLZ8" s="74"/>
      <c r="MMA8" s="72"/>
      <c r="MMH8" s="74"/>
      <c r="MMI8" s="72"/>
      <c r="MMP8" s="74"/>
      <c r="MMQ8" s="72"/>
      <c r="MMX8" s="74"/>
      <c r="MMY8" s="72"/>
      <c r="MNF8" s="74"/>
      <c r="MNG8" s="72"/>
      <c r="MNN8" s="74"/>
      <c r="MNO8" s="72"/>
      <c r="MNV8" s="74"/>
      <c r="MNW8" s="72"/>
      <c r="MOD8" s="74"/>
      <c r="MOE8" s="72"/>
      <c r="MOL8" s="74"/>
      <c r="MOM8" s="72"/>
      <c r="MOT8" s="74"/>
      <c r="MOU8" s="72"/>
      <c r="MPB8" s="74"/>
      <c r="MPC8" s="72"/>
      <c r="MPJ8" s="74"/>
      <c r="MPK8" s="72"/>
      <c r="MPR8" s="74"/>
      <c r="MPS8" s="72"/>
      <c r="MPZ8" s="74"/>
      <c r="MQA8" s="72"/>
      <c r="MQH8" s="74"/>
      <c r="MQI8" s="72"/>
      <c r="MQP8" s="74"/>
      <c r="MQQ8" s="72"/>
      <c r="MQX8" s="74"/>
      <c r="MQY8" s="72"/>
      <c r="MRF8" s="74"/>
      <c r="MRG8" s="72"/>
      <c r="MRN8" s="74"/>
      <c r="MRO8" s="72"/>
      <c r="MRV8" s="74"/>
      <c r="MRW8" s="72"/>
      <c r="MSD8" s="74"/>
      <c r="MSE8" s="72"/>
      <c r="MSL8" s="74"/>
      <c r="MSM8" s="72"/>
      <c r="MST8" s="74"/>
      <c r="MSU8" s="72"/>
      <c r="MTB8" s="74"/>
      <c r="MTC8" s="72"/>
      <c r="MTJ8" s="74"/>
      <c r="MTK8" s="72"/>
      <c r="MTR8" s="74"/>
      <c r="MTS8" s="72"/>
      <c r="MTZ8" s="74"/>
      <c r="MUA8" s="72"/>
      <c r="MUH8" s="74"/>
      <c r="MUI8" s="72"/>
      <c r="MUP8" s="74"/>
      <c r="MUQ8" s="72"/>
      <c r="MUX8" s="74"/>
      <c r="MUY8" s="72"/>
      <c r="MVF8" s="74"/>
      <c r="MVG8" s="72"/>
      <c r="MVN8" s="74"/>
      <c r="MVO8" s="72"/>
      <c r="MVV8" s="74"/>
      <c r="MVW8" s="72"/>
      <c r="MWD8" s="74"/>
      <c r="MWE8" s="72"/>
      <c r="MWL8" s="74"/>
      <c r="MWM8" s="72"/>
      <c r="MWT8" s="74"/>
      <c r="MWU8" s="72"/>
      <c r="MXB8" s="74"/>
      <c r="MXC8" s="72"/>
      <c r="MXJ8" s="74"/>
      <c r="MXK8" s="72"/>
      <c r="MXR8" s="74"/>
      <c r="MXS8" s="72"/>
      <c r="MXZ8" s="74"/>
      <c r="MYA8" s="72"/>
      <c r="MYH8" s="74"/>
      <c r="MYI8" s="72"/>
      <c r="MYP8" s="74"/>
      <c r="MYQ8" s="72"/>
      <c r="MYX8" s="74"/>
      <c r="MYY8" s="72"/>
      <c r="MZF8" s="74"/>
      <c r="MZG8" s="72"/>
      <c r="MZN8" s="74"/>
      <c r="MZO8" s="72"/>
      <c r="MZV8" s="74"/>
      <c r="MZW8" s="72"/>
      <c r="NAD8" s="74"/>
      <c r="NAE8" s="72"/>
      <c r="NAL8" s="74"/>
      <c r="NAM8" s="72"/>
      <c r="NAT8" s="74"/>
      <c r="NAU8" s="72"/>
      <c r="NBB8" s="74"/>
      <c r="NBC8" s="72"/>
      <c r="NBJ8" s="74"/>
      <c r="NBK8" s="72"/>
      <c r="NBR8" s="74"/>
      <c r="NBS8" s="72"/>
      <c r="NBZ8" s="74"/>
      <c r="NCA8" s="72"/>
      <c r="NCH8" s="74"/>
      <c r="NCI8" s="72"/>
      <c r="NCP8" s="74"/>
      <c r="NCQ8" s="72"/>
      <c r="NCX8" s="74"/>
      <c r="NCY8" s="72"/>
      <c r="NDF8" s="74"/>
      <c r="NDG8" s="72"/>
      <c r="NDN8" s="74"/>
      <c r="NDO8" s="72"/>
      <c r="NDV8" s="74"/>
      <c r="NDW8" s="72"/>
      <c r="NED8" s="74"/>
      <c r="NEE8" s="72"/>
      <c r="NEL8" s="74"/>
      <c r="NEM8" s="72"/>
      <c r="NET8" s="74"/>
      <c r="NEU8" s="72"/>
      <c r="NFB8" s="74"/>
      <c r="NFC8" s="72"/>
      <c r="NFJ8" s="74"/>
      <c r="NFK8" s="72"/>
      <c r="NFR8" s="74"/>
      <c r="NFS8" s="72"/>
      <c r="NFZ8" s="74"/>
      <c r="NGA8" s="72"/>
      <c r="NGH8" s="74"/>
      <c r="NGI8" s="72"/>
      <c r="NGP8" s="74"/>
      <c r="NGQ8" s="72"/>
      <c r="NGX8" s="74"/>
      <c r="NGY8" s="72"/>
      <c r="NHF8" s="74"/>
      <c r="NHG8" s="72"/>
      <c r="NHN8" s="74"/>
      <c r="NHO8" s="72"/>
      <c r="NHV8" s="74"/>
      <c r="NHW8" s="72"/>
      <c r="NID8" s="74"/>
      <c r="NIE8" s="72"/>
      <c r="NIL8" s="74"/>
      <c r="NIM8" s="72"/>
      <c r="NIT8" s="74"/>
      <c r="NIU8" s="72"/>
      <c r="NJB8" s="74"/>
      <c r="NJC8" s="72"/>
      <c r="NJJ8" s="74"/>
      <c r="NJK8" s="72"/>
      <c r="NJR8" s="74"/>
      <c r="NJS8" s="72"/>
      <c r="NJZ8" s="74"/>
      <c r="NKA8" s="72"/>
      <c r="NKH8" s="74"/>
      <c r="NKI8" s="72"/>
      <c r="NKP8" s="74"/>
      <c r="NKQ8" s="72"/>
      <c r="NKX8" s="74"/>
      <c r="NKY8" s="72"/>
      <c r="NLF8" s="74"/>
      <c r="NLG8" s="72"/>
      <c r="NLN8" s="74"/>
      <c r="NLO8" s="72"/>
      <c r="NLV8" s="74"/>
      <c r="NLW8" s="72"/>
      <c r="NMD8" s="74"/>
      <c r="NME8" s="72"/>
      <c r="NML8" s="74"/>
      <c r="NMM8" s="72"/>
      <c r="NMT8" s="74"/>
      <c r="NMU8" s="72"/>
      <c r="NNB8" s="74"/>
      <c r="NNC8" s="72"/>
      <c r="NNJ8" s="74"/>
      <c r="NNK8" s="72"/>
      <c r="NNR8" s="74"/>
      <c r="NNS8" s="72"/>
      <c r="NNZ8" s="74"/>
      <c r="NOA8" s="72"/>
      <c r="NOH8" s="74"/>
      <c r="NOI8" s="72"/>
      <c r="NOP8" s="74"/>
      <c r="NOQ8" s="72"/>
      <c r="NOX8" s="74"/>
      <c r="NOY8" s="72"/>
      <c r="NPF8" s="74"/>
      <c r="NPG8" s="72"/>
      <c r="NPN8" s="74"/>
      <c r="NPO8" s="72"/>
      <c r="NPV8" s="74"/>
      <c r="NPW8" s="72"/>
      <c r="NQD8" s="74"/>
      <c r="NQE8" s="72"/>
      <c r="NQL8" s="74"/>
      <c r="NQM8" s="72"/>
      <c r="NQT8" s="74"/>
      <c r="NQU8" s="72"/>
      <c r="NRB8" s="74"/>
      <c r="NRC8" s="72"/>
      <c r="NRJ8" s="74"/>
      <c r="NRK8" s="72"/>
      <c r="NRR8" s="74"/>
      <c r="NRS8" s="72"/>
      <c r="NRZ8" s="74"/>
      <c r="NSA8" s="72"/>
      <c r="NSH8" s="74"/>
      <c r="NSI8" s="72"/>
      <c r="NSP8" s="74"/>
      <c r="NSQ8" s="72"/>
      <c r="NSX8" s="74"/>
      <c r="NSY8" s="72"/>
      <c r="NTF8" s="74"/>
      <c r="NTG8" s="72"/>
      <c r="NTN8" s="74"/>
      <c r="NTO8" s="72"/>
      <c r="NTV8" s="74"/>
      <c r="NTW8" s="72"/>
      <c r="NUD8" s="74"/>
      <c r="NUE8" s="72"/>
      <c r="NUL8" s="74"/>
      <c r="NUM8" s="72"/>
      <c r="NUT8" s="74"/>
      <c r="NUU8" s="72"/>
      <c r="NVB8" s="74"/>
      <c r="NVC8" s="72"/>
      <c r="NVJ8" s="74"/>
      <c r="NVK8" s="72"/>
      <c r="NVR8" s="74"/>
      <c r="NVS8" s="72"/>
      <c r="NVZ8" s="74"/>
      <c r="NWA8" s="72"/>
      <c r="NWH8" s="74"/>
      <c r="NWI8" s="72"/>
      <c r="NWP8" s="74"/>
      <c r="NWQ8" s="72"/>
      <c r="NWX8" s="74"/>
      <c r="NWY8" s="72"/>
      <c r="NXF8" s="74"/>
      <c r="NXG8" s="72"/>
      <c r="NXN8" s="74"/>
      <c r="NXO8" s="72"/>
      <c r="NXV8" s="74"/>
      <c r="NXW8" s="72"/>
      <c r="NYD8" s="74"/>
      <c r="NYE8" s="72"/>
      <c r="NYL8" s="74"/>
      <c r="NYM8" s="72"/>
      <c r="NYT8" s="74"/>
      <c r="NYU8" s="72"/>
      <c r="NZB8" s="74"/>
      <c r="NZC8" s="72"/>
      <c r="NZJ8" s="74"/>
      <c r="NZK8" s="72"/>
      <c r="NZR8" s="74"/>
      <c r="NZS8" s="72"/>
      <c r="NZZ8" s="74"/>
      <c r="OAA8" s="72"/>
      <c r="OAH8" s="74"/>
      <c r="OAI8" s="72"/>
      <c r="OAP8" s="74"/>
      <c r="OAQ8" s="72"/>
      <c r="OAX8" s="74"/>
      <c r="OAY8" s="72"/>
      <c r="OBF8" s="74"/>
      <c r="OBG8" s="72"/>
      <c r="OBN8" s="74"/>
      <c r="OBO8" s="72"/>
      <c r="OBV8" s="74"/>
      <c r="OBW8" s="72"/>
      <c r="OCD8" s="74"/>
      <c r="OCE8" s="72"/>
      <c r="OCL8" s="74"/>
      <c r="OCM8" s="72"/>
      <c r="OCT8" s="74"/>
      <c r="OCU8" s="72"/>
      <c r="ODB8" s="74"/>
      <c r="ODC8" s="72"/>
      <c r="ODJ8" s="74"/>
      <c r="ODK8" s="72"/>
      <c r="ODR8" s="74"/>
      <c r="ODS8" s="72"/>
      <c r="ODZ8" s="74"/>
      <c r="OEA8" s="72"/>
      <c r="OEH8" s="74"/>
      <c r="OEI8" s="72"/>
      <c r="OEP8" s="74"/>
      <c r="OEQ8" s="72"/>
      <c r="OEX8" s="74"/>
      <c r="OEY8" s="72"/>
      <c r="OFF8" s="74"/>
      <c r="OFG8" s="72"/>
      <c r="OFN8" s="74"/>
      <c r="OFO8" s="72"/>
      <c r="OFV8" s="74"/>
      <c r="OFW8" s="72"/>
      <c r="OGD8" s="74"/>
      <c r="OGE8" s="72"/>
      <c r="OGL8" s="74"/>
      <c r="OGM8" s="72"/>
      <c r="OGT8" s="74"/>
      <c r="OGU8" s="72"/>
      <c r="OHB8" s="74"/>
      <c r="OHC8" s="72"/>
      <c r="OHJ8" s="74"/>
      <c r="OHK8" s="72"/>
      <c r="OHR8" s="74"/>
      <c r="OHS8" s="72"/>
      <c r="OHZ8" s="74"/>
      <c r="OIA8" s="72"/>
      <c r="OIH8" s="74"/>
      <c r="OII8" s="72"/>
      <c r="OIP8" s="74"/>
      <c r="OIQ8" s="72"/>
      <c r="OIX8" s="74"/>
      <c r="OIY8" s="72"/>
      <c r="OJF8" s="74"/>
      <c r="OJG8" s="72"/>
      <c r="OJN8" s="74"/>
      <c r="OJO8" s="72"/>
      <c r="OJV8" s="74"/>
      <c r="OJW8" s="72"/>
      <c r="OKD8" s="74"/>
      <c r="OKE8" s="72"/>
      <c r="OKL8" s="74"/>
      <c r="OKM8" s="72"/>
      <c r="OKT8" s="74"/>
      <c r="OKU8" s="72"/>
      <c r="OLB8" s="74"/>
      <c r="OLC8" s="72"/>
      <c r="OLJ8" s="74"/>
      <c r="OLK8" s="72"/>
      <c r="OLR8" s="74"/>
      <c r="OLS8" s="72"/>
      <c r="OLZ8" s="74"/>
      <c r="OMA8" s="72"/>
      <c r="OMH8" s="74"/>
      <c r="OMI8" s="72"/>
      <c r="OMP8" s="74"/>
      <c r="OMQ8" s="72"/>
      <c r="OMX8" s="74"/>
      <c r="OMY8" s="72"/>
      <c r="ONF8" s="74"/>
      <c r="ONG8" s="72"/>
      <c r="ONN8" s="74"/>
      <c r="ONO8" s="72"/>
      <c r="ONV8" s="74"/>
      <c r="ONW8" s="72"/>
      <c r="OOD8" s="74"/>
      <c r="OOE8" s="72"/>
      <c r="OOL8" s="74"/>
      <c r="OOM8" s="72"/>
      <c r="OOT8" s="74"/>
      <c r="OOU8" s="72"/>
      <c r="OPB8" s="74"/>
      <c r="OPC8" s="72"/>
      <c r="OPJ8" s="74"/>
      <c r="OPK8" s="72"/>
      <c r="OPR8" s="74"/>
      <c r="OPS8" s="72"/>
      <c r="OPZ8" s="74"/>
      <c r="OQA8" s="72"/>
      <c r="OQH8" s="74"/>
      <c r="OQI8" s="72"/>
      <c r="OQP8" s="74"/>
      <c r="OQQ8" s="72"/>
      <c r="OQX8" s="74"/>
      <c r="OQY8" s="72"/>
      <c r="ORF8" s="74"/>
      <c r="ORG8" s="72"/>
      <c r="ORN8" s="74"/>
      <c r="ORO8" s="72"/>
      <c r="ORV8" s="74"/>
      <c r="ORW8" s="72"/>
      <c r="OSD8" s="74"/>
      <c r="OSE8" s="72"/>
      <c r="OSL8" s="74"/>
      <c r="OSM8" s="72"/>
      <c r="OST8" s="74"/>
      <c r="OSU8" s="72"/>
      <c r="OTB8" s="74"/>
      <c r="OTC8" s="72"/>
      <c r="OTJ8" s="74"/>
      <c r="OTK8" s="72"/>
      <c r="OTR8" s="74"/>
      <c r="OTS8" s="72"/>
      <c r="OTZ8" s="74"/>
      <c r="OUA8" s="72"/>
      <c r="OUH8" s="74"/>
      <c r="OUI8" s="72"/>
      <c r="OUP8" s="74"/>
      <c r="OUQ8" s="72"/>
      <c r="OUX8" s="74"/>
      <c r="OUY8" s="72"/>
      <c r="OVF8" s="74"/>
      <c r="OVG8" s="72"/>
      <c r="OVN8" s="74"/>
      <c r="OVO8" s="72"/>
      <c r="OVV8" s="74"/>
      <c r="OVW8" s="72"/>
      <c r="OWD8" s="74"/>
      <c r="OWE8" s="72"/>
      <c r="OWL8" s="74"/>
      <c r="OWM8" s="72"/>
      <c r="OWT8" s="74"/>
      <c r="OWU8" s="72"/>
      <c r="OXB8" s="74"/>
      <c r="OXC8" s="72"/>
      <c r="OXJ8" s="74"/>
      <c r="OXK8" s="72"/>
      <c r="OXR8" s="74"/>
      <c r="OXS8" s="72"/>
      <c r="OXZ8" s="74"/>
      <c r="OYA8" s="72"/>
      <c r="OYH8" s="74"/>
      <c r="OYI8" s="72"/>
      <c r="OYP8" s="74"/>
      <c r="OYQ8" s="72"/>
      <c r="OYX8" s="74"/>
      <c r="OYY8" s="72"/>
      <c r="OZF8" s="74"/>
      <c r="OZG8" s="72"/>
      <c r="OZN8" s="74"/>
      <c r="OZO8" s="72"/>
      <c r="OZV8" s="74"/>
      <c r="OZW8" s="72"/>
      <c r="PAD8" s="74"/>
      <c r="PAE8" s="72"/>
      <c r="PAL8" s="74"/>
      <c r="PAM8" s="72"/>
      <c r="PAT8" s="74"/>
      <c r="PAU8" s="72"/>
      <c r="PBB8" s="74"/>
      <c r="PBC8" s="72"/>
      <c r="PBJ8" s="74"/>
      <c r="PBK8" s="72"/>
      <c r="PBR8" s="74"/>
      <c r="PBS8" s="72"/>
      <c r="PBZ8" s="74"/>
      <c r="PCA8" s="72"/>
      <c r="PCH8" s="74"/>
      <c r="PCI8" s="72"/>
      <c r="PCP8" s="74"/>
      <c r="PCQ8" s="72"/>
      <c r="PCX8" s="74"/>
      <c r="PCY8" s="72"/>
      <c r="PDF8" s="74"/>
      <c r="PDG8" s="72"/>
      <c r="PDN8" s="74"/>
      <c r="PDO8" s="72"/>
      <c r="PDV8" s="74"/>
      <c r="PDW8" s="72"/>
      <c r="PED8" s="74"/>
      <c r="PEE8" s="72"/>
      <c r="PEL8" s="74"/>
      <c r="PEM8" s="72"/>
      <c r="PET8" s="74"/>
      <c r="PEU8" s="72"/>
      <c r="PFB8" s="74"/>
      <c r="PFC8" s="72"/>
      <c r="PFJ8" s="74"/>
      <c r="PFK8" s="72"/>
      <c r="PFR8" s="74"/>
      <c r="PFS8" s="72"/>
      <c r="PFZ8" s="74"/>
      <c r="PGA8" s="72"/>
      <c r="PGH8" s="74"/>
      <c r="PGI8" s="72"/>
      <c r="PGP8" s="74"/>
      <c r="PGQ8" s="72"/>
      <c r="PGX8" s="74"/>
      <c r="PGY8" s="72"/>
      <c r="PHF8" s="74"/>
      <c r="PHG8" s="72"/>
      <c r="PHN8" s="74"/>
      <c r="PHO8" s="72"/>
      <c r="PHV8" s="74"/>
      <c r="PHW8" s="72"/>
      <c r="PID8" s="74"/>
      <c r="PIE8" s="72"/>
      <c r="PIL8" s="74"/>
      <c r="PIM8" s="72"/>
      <c r="PIT8" s="74"/>
      <c r="PIU8" s="72"/>
      <c r="PJB8" s="74"/>
      <c r="PJC8" s="72"/>
      <c r="PJJ8" s="74"/>
      <c r="PJK8" s="72"/>
      <c r="PJR8" s="74"/>
      <c r="PJS8" s="72"/>
      <c r="PJZ8" s="74"/>
      <c r="PKA8" s="72"/>
      <c r="PKH8" s="74"/>
      <c r="PKI8" s="72"/>
      <c r="PKP8" s="74"/>
      <c r="PKQ8" s="72"/>
      <c r="PKX8" s="74"/>
      <c r="PKY8" s="72"/>
      <c r="PLF8" s="74"/>
      <c r="PLG8" s="72"/>
      <c r="PLN8" s="74"/>
      <c r="PLO8" s="72"/>
      <c r="PLV8" s="74"/>
      <c r="PLW8" s="72"/>
      <c r="PMD8" s="74"/>
      <c r="PME8" s="72"/>
      <c r="PML8" s="74"/>
      <c r="PMM8" s="72"/>
      <c r="PMT8" s="74"/>
      <c r="PMU8" s="72"/>
      <c r="PNB8" s="74"/>
      <c r="PNC8" s="72"/>
      <c r="PNJ8" s="74"/>
      <c r="PNK8" s="72"/>
      <c r="PNR8" s="74"/>
      <c r="PNS8" s="72"/>
      <c r="PNZ8" s="74"/>
      <c r="POA8" s="72"/>
      <c r="POH8" s="74"/>
      <c r="POI8" s="72"/>
      <c r="POP8" s="74"/>
      <c r="POQ8" s="72"/>
      <c r="POX8" s="74"/>
      <c r="POY8" s="72"/>
      <c r="PPF8" s="74"/>
      <c r="PPG8" s="72"/>
      <c r="PPN8" s="74"/>
      <c r="PPO8" s="72"/>
      <c r="PPV8" s="74"/>
      <c r="PPW8" s="72"/>
      <c r="PQD8" s="74"/>
      <c r="PQE8" s="72"/>
      <c r="PQL8" s="74"/>
      <c r="PQM8" s="72"/>
      <c r="PQT8" s="74"/>
      <c r="PQU8" s="72"/>
      <c r="PRB8" s="74"/>
      <c r="PRC8" s="72"/>
      <c r="PRJ8" s="74"/>
      <c r="PRK8" s="72"/>
      <c r="PRR8" s="74"/>
      <c r="PRS8" s="72"/>
      <c r="PRZ8" s="74"/>
      <c r="PSA8" s="72"/>
      <c r="PSH8" s="74"/>
      <c r="PSI8" s="72"/>
      <c r="PSP8" s="74"/>
      <c r="PSQ8" s="72"/>
      <c r="PSX8" s="74"/>
      <c r="PSY8" s="72"/>
      <c r="PTF8" s="74"/>
      <c r="PTG8" s="72"/>
      <c r="PTN8" s="74"/>
      <c r="PTO8" s="72"/>
      <c r="PTV8" s="74"/>
      <c r="PTW8" s="72"/>
      <c r="PUD8" s="74"/>
      <c r="PUE8" s="72"/>
      <c r="PUL8" s="74"/>
      <c r="PUM8" s="72"/>
      <c r="PUT8" s="74"/>
      <c r="PUU8" s="72"/>
      <c r="PVB8" s="74"/>
      <c r="PVC8" s="72"/>
      <c r="PVJ8" s="74"/>
      <c r="PVK8" s="72"/>
      <c r="PVR8" s="74"/>
      <c r="PVS8" s="72"/>
      <c r="PVZ8" s="74"/>
      <c r="PWA8" s="72"/>
      <c r="PWH8" s="74"/>
      <c r="PWI8" s="72"/>
      <c r="PWP8" s="74"/>
      <c r="PWQ8" s="72"/>
      <c r="PWX8" s="74"/>
      <c r="PWY8" s="72"/>
      <c r="PXF8" s="74"/>
      <c r="PXG8" s="72"/>
      <c r="PXN8" s="74"/>
      <c r="PXO8" s="72"/>
      <c r="PXV8" s="74"/>
      <c r="PXW8" s="72"/>
      <c r="PYD8" s="74"/>
      <c r="PYE8" s="72"/>
      <c r="PYL8" s="74"/>
      <c r="PYM8" s="72"/>
      <c r="PYT8" s="74"/>
      <c r="PYU8" s="72"/>
      <c r="PZB8" s="74"/>
      <c r="PZC8" s="72"/>
      <c r="PZJ8" s="74"/>
      <c r="PZK8" s="72"/>
      <c r="PZR8" s="74"/>
      <c r="PZS8" s="72"/>
      <c r="PZZ8" s="74"/>
      <c r="QAA8" s="72"/>
      <c r="QAH8" s="74"/>
      <c r="QAI8" s="72"/>
      <c r="QAP8" s="74"/>
      <c r="QAQ8" s="72"/>
      <c r="QAX8" s="74"/>
      <c r="QAY8" s="72"/>
      <c r="QBF8" s="74"/>
      <c r="QBG8" s="72"/>
      <c r="QBN8" s="74"/>
      <c r="QBO8" s="72"/>
      <c r="QBV8" s="74"/>
      <c r="QBW8" s="72"/>
      <c r="QCD8" s="74"/>
      <c r="QCE8" s="72"/>
      <c r="QCL8" s="74"/>
      <c r="QCM8" s="72"/>
      <c r="QCT8" s="74"/>
      <c r="QCU8" s="72"/>
      <c r="QDB8" s="74"/>
      <c r="QDC8" s="72"/>
      <c r="QDJ8" s="74"/>
      <c r="QDK8" s="72"/>
      <c r="QDR8" s="74"/>
      <c r="QDS8" s="72"/>
      <c r="QDZ8" s="74"/>
      <c r="QEA8" s="72"/>
      <c r="QEH8" s="74"/>
      <c r="QEI8" s="72"/>
      <c r="QEP8" s="74"/>
      <c r="QEQ8" s="72"/>
      <c r="QEX8" s="74"/>
      <c r="QEY8" s="72"/>
      <c r="QFF8" s="74"/>
      <c r="QFG8" s="72"/>
      <c r="QFN8" s="74"/>
      <c r="QFO8" s="72"/>
      <c r="QFV8" s="74"/>
      <c r="QFW8" s="72"/>
      <c r="QGD8" s="74"/>
      <c r="QGE8" s="72"/>
      <c r="QGL8" s="74"/>
      <c r="QGM8" s="72"/>
      <c r="QGT8" s="74"/>
      <c r="QGU8" s="72"/>
      <c r="QHB8" s="74"/>
      <c r="QHC8" s="72"/>
      <c r="QHJ8" s="74"/>
      <c r="QHK8" s="72"/>
      <c r="QHR8" s="74"/>
      <c r="QHS8" s="72"/>
      <c r="QHZ8" s="74"/>
      <c r="QIA8" s="72"/>
      <c r="QIH8" s="74"/>
      <c r="QII8" s="72"/>
      <c r="QIP8" s="74"/>
      <c r="QIQ8" s="72"/>
      <c r="QIX8" s="74"/>
      <c r="QIY8" s="72"/>
      <c r="QJF8" s="74"/>
      <c r="QJG8" s="72"/>
      <c r="QJN8" s="74"/>
      <c r="QJO8" s="72"/>
      <c r="QJV8" s="74"/>
      <c r="QJW8" s="72"/>
      <c r="QKD8" s="74"/>
      <c r="QKE8" s="72"/>
      <c r="QKL8" s="74"/>
      <c r="QKM8" s="72"/>
      <c r="QKT8" s="74"/>
      <c r="QKU8" s="72"/>
      <c r="QLB8" s="74"/>
      <c r="QLC8" s="72"/>
      <c r="QLJ8" s="74"/>
      <c r="QLK8" s="72"/>
      <c r="QLR8" s="74"/>
      <c r="QLS8" s="72"/>
      <c r="QLZ8" s="74"/>
      <c r="QMA8" s="72"/>
      <c r="QMH8" s="74"/>
      <c r="QMI8" s="72"/>
      <c r="QMP8" s="74"/>
      <c r="QMQ8" s="72"/>
      <c r="QMX8" s="74"/>
      <c r="QMY8" s="72"/>
      <c r="QNF8" s="74"/>
      <c r="QNG8" s="72"/>
      <c r="QNN8" s="74"/>
      <c r="QNO8" s="72"/>
      <c r="QNV8" s="74"/>
      <c r="QNW8" s="72"/>
      <c r="QOD8" s="74"/>
      <c r="QOE8" s="72"/>
      <c r="QOL8" s="74"/>
      <c r="QOM8" s="72"/>
      <c r="QOT8" s="74"/>
      <c r="QOU8" s="72"/>
      <c r="QPB8" s="74"/>
      <c r="QPC8" s="72"/>
      <c r="QPJ8" s="74"/>
      <c r="QPK8" s="72"/>
      <c r="QPR8" s="74"/>
      <c r="QPS8" s="72"/>
      <c r="QPZ8" s="74"/>
      <c r="QQA8" s="72"/>
      <c r="QQH8" s="74"/>
      <c r="QQI8" s="72"/>
      <c r="QQP8" s="74"/>
      <c r="QQQ8" s="72"/>
      <c r="QQX8" s="74"/>
      <c r="QQY8" s="72"/>
      <c r="QRF8" s="74"/>
      <c r="QRG8" s="72"/>
      <c r="QRN8" s="74"/>
      <c r="QRO8" s="72"/>
      <c r="QRV8" s="74"/>
      <c r="QRW8" s="72"/>
      <c r="QSD8" s="74"/>
      <c r="QSE8" s="72"/>
      <c r="QSL8" s="74"/>
      <c r="QSM8" s="72"/>
      <c r="QST8" s="74"/>
      <c r="QSU8" s="72"/>
      <c r="QTB8" s="74"/>
      <c r="QTC8" s="72"/>
      <c r="QTJ8" s="74"/>
      <c r="QTK8" s="72"/>
      <c r="QTR8" s="74"/>
      <c r="QTS8" s="72"/>
      <c r="QTZ8" s="74"/>
      <c r="QUA8" s="72"/>
      <c r="QUH8" s="74"/>
      <c r="QUI8" s="72"/>
      <c r="QUP8" s="74"/>
      <c r="QUQ8" s="72"/>
      <c r="QUX8" s="74"/>
      <c r="QUY8" s="72"/>
      <c r="QVF8" s="74"/>
      <c r="QVG8" s="72"/>
      <c r="QVN8" s="74"/>
      <c r="QVO8" s="72"/>
      <c r="QVV8" s="74"/>
      <c r="QVW8" s="72"/>
      <c r="QWD8" s="74"/>
      <c r="QWE8" s="72"/>
      <c r="QWL8" s="74"/>
      <c r="QWM8" s="72"/>
      <c r="QWT8" s="74"/>
      <c r="QWU8" s="72"/>
      <c r="QXB8" s="74"/>
      <c r="QXC8" s="72"/>
      <c r="QXJ8" s="74"/>
      <c r="QXK8" s="72"/>
      <c r="QXR8" s="74"/>
      <c r="QXS8" s="72"/>
      <c r="QXZ8" s="74"/>
      <c r="QYA8" s="72"/>
      <c r="QYH8" s="74"/>
      <c r="QYI8" s="72"/>
      <c r="QYP8" s="74"/>
      <c r="QYQ8" s="72"/>
      <c r="QYX8" s="74"/>
      <c r="QYY8" s="72"/>
      <c r="QZF8" s="74"/>
      <c r="QZG8" s="72"/>
      <c r="QZN8" s="74"/>
      <c r="QZO8" s="72"/>
      <c r="QZV8" s="74"/>
      <c r="QZW8" s="72"/>
      <c r="RAD8" s="74"/>
      <c r="RAE8" s="72"/>
      <c r="RAL8" s="74"/>
      <c r="RAM8" s="72"/>
      <c r="RAT8" s="74"/>
      <c r="RAU8" s="72"/>
      <c r="RBB8" s="74"/>
      <c r="RBC8" s="72"/>
      <c r="RBJ8" s="74"/>
      <c r="RBK8" s="72"/>
      <c r="RBR8" s="74"/>
      <c r="RBS8" s="72"/>
      <c r="RBZ8" s="74"/>
      <c r="RCA8" s="72"/>
      <c r="RCH8" s="74"/>
      <c r="RCI8" s="72"/>
      <c r="RCP8" s="74"/>
      <c r="RCQ8" s="72"/>
      <c r="RCX8" s="74"/>
      <c r="RCY8" s="72"/>
      <c r="RDF8" s="74"/>
      <c r="RDG8" s="72"/>
      <c r="RDN8" s="74"/>
      <c r="RDO8" s="72"/>
      <c r="RDV8" s="74"/>
      <c r="RDW8" s="72"/>
      <c r="RED8" s="74"/>
      <c r="REE8" s="72"/>
      <c r="REL8" s="74"/>
      <c r="REM8" s="72"/>
      <c r="RET8" s="74"/>
      <c r="REU8" s="72"/>
      <c r="RFB8" s="74"/>
      <c r="RFC8" s="72"/>
      <c r="RFJ8" s="74"/>
      <c r="RFK8" s="72"/>
      <c r="RFR8" s="74"/>
      <c r="RFS8" s="72"/>
      <c r="RFZ8" s="74"/>
      <c r="RGA8" s="72"/>
      <c r="RGH8" s="74"/>
      <c r="RGI8" s="72"/>
      <c r="RGP8" s="74"/>
      <c r="RGQ8" s="72"/>
      <c r="RGX8" s="74"/>
      <c r="RGY8" s="72"/>
      <c r="RHF8" s="74"/>
      <c r="RHG8" s="72"/>
      <c r="RHN8" s="74"/>
      <c r="RHO8" s="72"/>
      <c r="RHV8" s="74"/>
      <c r="RHW8" s="72"/>
      <c r="RID8" s="74"/>
      <c r="RIE8" s="72"/>
      <c r="RIL8" s="74"/>
      <c r="RIM8" s="72"/>
      <c r="RIT8" s="74"/>
      <c r="RIU8" s="72"/>
      <c r="RJB8" s="74"/>
      <c r="RJC8" s="72"/>
      <c r="RJJ8" s="74"/>
      <c r="RJK8" s="72"/>
      <c r="RJR8" s="74"/>
      <c r="RJS8" s="72"/>
      <c r="RJZ8" s="74"/>
      <c r="RKA8" s="72"/>
      <c r="RKH8" s="74"/>
      <c r="RKI8" s="72"/>
      <c r="RKP8" s="74"/>
      <c r="RKQ8" s="72"/>
      <c r="RKX8" s="74"/>
      <c r="RKY8" s="72"/>
      <c r="RLF8" s="74"/>
      <c r="RLG8" s="72"/>
      <c r="RLN8" s="74"/>
      <c r="RLO8" s="72"/>
      <c r="RLV8" s="74"/>
      <c r="RLW8" s="72"/>
      <c r="RMD8" s="74"/>
      <c r="RME8" s="72"/>
      <c r="RML8" s="74"/>
      <c r="RMM8" s="72"/>
      <c r="RMT8" s="74"/>
      <c r="RMU8" s="72"/>
      <c r="RNB8" s="74"/>
      <c r="RNC8" s="72"/>
      <c r="RNJ8" s="74"/>
      <c r="RNK8" s="72"/>
      <c r="RNR8" s="74"/>
      <c r="RNS8" s="72"/>
      <c r="RNZ8" s="74"/>
      <c r="ROA8" s="72"/>
      <c r="ROH8" s="74"/>
      <c r="ROI8" s="72"/>
      <c r="ROP8" s="74"/>
      <c r="ROQ8" s="72"/>
      <c r="ROX8" s="74"/>
      <c r="ROY8" s="72"/>
      <c r="RPF8" s="74"/>
      <c r="RPG8" s="72"/>
      <c r="RPN8" s="74"/>
      <c r="RPO8" s="72"/>
      <c r="RPV8" s="74"/>
      <c r="RPW8" s="72"/>
      <c r="RQD8" s="74"/>
      <c r="RQE8" s="72"/>
      <c r="RQL8" s="74"/>
      <c r="RQM8" s="72"/>
      <c r="RQT8" s="74"/>
      <c r="RQU8" s="72"/>
      <c r="RRB8" s="74"/>
      <c r="RRC8" s="72"/>
      <c r="RRJ8" s="74"/>
      <c r="RRK8" s="72"/>
      <c r="RRR8" s="74"/>
      <c r="RRS8" s="72"/>
      <c r="RRZ8" s="74"/>
      <c r="RSA8" s="72"/>
      <c r="RSH8" s="74"/>
      <c r="RSI8" s="72"/>
      <c r="RSP8" s="74"/>
      <c r="RSQ8" s="72"/>
      <c r="RSX8" s="74"/>
      <c r="RSY8" s="72"/>
      <c r="RTF8" s="74"/>
      <c r="RTG8" s="72"/>
      <c r="RTN8" s="74"/>
      <c r="RTO8" s="72"/>
      <c r="RTV8" s="74"/>
      <c r="RTW8" s="72"/>
      <c r="RUD8" s="74"/>
      <c r="RUE8" s="72"/>
      <c r="RUL8" s="74"/>
      <c r="RUM8" s="72"/>
      <c r="RUT8" s="74"/>
      <c r="RUU8" s="72"/>
      <c r="RVB8" s="74"/>
      <c r="RVC8" s="72"/>
      <c r="RVJ8" s="74"/>
      <c r="RVK8" s="72"/>
      <c r="RVR8" s="74"/>
      <c r="RVS8" s="72"/>
      <c r="RVZ8" s="74"/>
      <c r="RWA8" s="72"/>
      <c r="RWH8" s="74"/>
      <c r="RWI8" s="72"/>
      <c r="RWP8" s="74"/>
      <c r="RWQ8" s="72"/>
      <c r="RWX8" s="74"/>
      <c r="RWY8" s="72"/>
      <c r="RXF8" s="74"/>
      <c r="RXG8" s="72"/>
      <c r="RXN8" s="74"/>
      <c r="RXO8" s="72"/>
      <c r="RXV8" s="74"/>
      <c r="RXW8" s="72"/>
      <c r="RYD8" s="74"/>
      <c r="RYE8" s="72"/>
      <c r="RYL8" s="74"/>
      <c r="RYM8" s="72"/>
      <c r="RYT8" s="74"/>
      <c r="RYU8" s="72"/>
      <c r="RZB8" s="74"/>
      <c r="RZC8" s="72"/>
      <c r="RZJ8" s="74"/>
      <c r="RZK8" s="72"/>
      <c r="RZR8" s="74"/>
      <c r="RZS8" s="72"/>
      <c r="RZZ8" s="74"/>
      <c r="SAA8" s="72"/>
      <c r="SAH8" s="74"/>
      <c r="SAI8" s="72"/>
      <c r="SAP8" s="74"/>
      <c r="SAQ8" s="72"/>
      <c r="SAX8" s="74"/>
      <c r="SAY8" s="72"/>
      <c r="SBF8" s="74"/>
      <c r="SBG8" s="72"/>
      <c r="SBN8" s="74"/>
      <c r="SBO8" s="72"/>
      <c r="SBV8" s="74"/>
      <c r="SBW8" s="72"/>
      <c r="SCD8" s="74"/>
      <c r="SCE8" s="72"/>
      <c r="SCL8" s="74"/>
      <c r="SCM8" s="72"/>
      <c r="SCT8" s="74"/>
      <c r="SCU8" s="72"/>
      <c r="SDB8" s="74"/>
      <c r="SDC8" s="72"/>
      <c r="SDJ8" s="74"/>
      <c r="SDK8" s="72"/>
      <c r="SDR8" s="74"/>
      <c r="SDS8" s="72"/>
      <c r="SDZ8" s="74"/>
      <c r="SEA8" s="72"/>
      <c r="SEH8" s="74"/>
      <c r="SEI8" s="72"/>
      <c r="SEP8" s="74"/>
      <c r="SEQ8" s="72"/>
      <c r="SEX8" s="74"/>
      <c r="SEY8" s="72"/>
      <c r="SFF8" s="74"/>
      <c r="SFG8" s="72"/>
      <c r="SFN8" s="74"/>
      <c r="SFO8" s="72"/>
      <c r="SFV8" s="74"/>
      <c r="SFW8" s="72"/>
      <c r="SGD8" s="74"/>
      <c r="SGE8" s="72"/>
      <c r="SGL8" s="74"/>
      <c r="SGM8" s="72"/>
      <c r="SGT8" s="74"/>
      <c r="SGU8" s="72"/>
      <c r="SHB8" s="74"/>
      <c r="SHC8" s="72"/>
      <c r="SHJ8" s="74"/>
      <c r="SHK8" s="72"/>
      <c r="SHR8" s="74"/>
      <c r="SHS8" s="72"/>
      <c r="SHZ8" s="74"/>
      <c r="SIA8" s="72"/>
      <c r="SIH8" s="74"/>
      <c r="SII8" s="72"/>
      <c r="SIP8" s="74"/>
      <c r="SIQ8" s="72"/>
      <c r="SIX8" s="74"/>
      <c r="SIY8" s="72"/>
      <c r="SJF8" s="74"/>
      <c r="SJG8" s="72"/>
      <c r="SJN8" s="74"/>
      <c r="SJO8" s="72"/>
      <c r="SJV8" s="74"/>
      <c r="SJW8" s="72"/>
      <c r="SKD8" s="74"/>
      <c r="SKE8" s="72"/>
      <c r="SKL8" s="74"/>
      <c r="SKM8" s="72"/>
      <c r="SKT8" s="74"/>
      <c r="SKU8" s="72"/>
      <c r="SLB8" s="74"/>
      <c r="SLC8" s="72"/>
      <c r="SLJ8" s="74"/>
      <c r="SLK8" s="72"/>
      <c r="SLR8" s="74"/>
      <c r="SLS8" s="72"/>
      <c r="SLZ8" s="74"/>
      <c r="SMA8" s="72"/>
      <c r="SMH8" s="74"/>
      <c r="SMI8" s="72"/>
      <c r="SMP8" s="74"/>
      <c r="SMQ8" s="72"/>
      <c r="SMX8" s="74"/>
      <c r="SMY8" s="72"/>
      <c r="SNF8" s="74"/>
      <c r="SNG8" s="72"/>
      <c r="SNN8" s="74"/>
      <c r="SNO8" s="72"/>
      <c r="SNV8" s="74"/>
      <c r="SNW8" s="72"/>
      <c r="SOD8" s="74"/>
      <c r="SOE8" s="72"/>
      <c r="SOL8" s="74"/>
      <c r="SOM8" s="72"/>
      <c r="SOT8" s="74"/>
      <c r="SOU8" s="72"/>
      <c r="SPB8" s="74"/>
      <c r="SPC8" s="72"/>
      <c r="SPJ8" s="74"/>
      <c r="SPK8" s="72"/>
      <c r="SPR8" s="74"/>
      <c r="SPS8" s="72"/>
      <c r="SPZ8" s="74"/>
      <c r="SQA8" s="72"/>
      <c r="SQH8" s="74"/>
      <c r="SQI8" s="72"/>
      <c r="SQP8" s="74"/>
      <c r="SQQ8" s="72"/>
      <c r="SQX8" s="74"/>
      <c r="SQY8" s="72"/>
      <c r="SRF8" s="74"/>
      <c r="SRG8" s="72"/>
      <c r="SRN8" s="74"/>
      <c r="SRO8" s="72"/>
      <c r="SRV8" s="74"/>
      <c r="SRW8" s="72"/>
      <c r="SSD8" s="74"/>
      <c r="SSE8" s="72"/>
      <c r="SSL8" s="74"/>
      <c r="SSM8" s="72"/>
      <c r="SST8" s="74"/>
      <c r="SSU8" s="72"/>
      <c r="STB8" s="74"/>
      <c r="STC8" s="72"/>
      <c r="STJ8" s="74"/>
      <c r="STK8" s="72"/>
      <c r="STR8" s="74"/>
      <c r="STS8" s="72"/>
      <c r="STZ8" s="74"/>
      <c r="SUA8" s="72"/>
      <c r="SUH8" s="74"/>
      <c r="SUI8" s="72"/>
      <c r="SUP8" s="74"/>
      <c r="SUQ8" s="72"/>
      <c r="SUX8" s="74"/>
      <c r="SUY8" s="72"/>
      <c r="SVF8" s="74"/>
      <c r="SVG8" s="72"/>
      <c r="SVN8" s="74"/>
      <c r="SVO8" s="72"/>
      <c r="SVV8" s="74"/>
      <c r="SVW8" s="72"/>
      <c r="SWD8" s="74"/>
      <c r="SWE8" s="72"/>
      <c r="SWL8" s="74"/>
      <c r="SWM8" s="72"/>
      <c r="SWT8" s="74"/>
      <c r="SWU8" s="72"/>
      <c r="SXB8" s="74"/>
      <c r="SXC8" s="72"/>
      <c r="SXJ8" s="74"/>
      <c r="SXK8" s="72"/>
      <c r="SXR8" s="74"/>
      <c r="SXS8" s="72"/>
      <c r="SXZ8" s="74"/>
      <c r="SYA8" s="72"/>
      <c r="SYH8" s="74"/>
      <c r="SYI8" s="72"/>
      <c r="SYP8" s="74"/>
      <c r="SYQ8" s="72"/>
      <c r="SYX8" s="74"/>
      <c r="SYY8" s="72"/>
      <c r="SZF8" s="74"/>
      <c r="SZG8" s="72"/>
      <c r="SZN8" s="74"/>
      <c r="SZO8" s="72"/>
      <c r="SZV8" s="74"/>
      <c r="SZW8" s="72"/>
      <c r="TAD8" s="74"/>
      <c r="TAE8" s="72"/>
      <c r="TAL8" s="74"/>
      <c r="TAM8" s="72"/>
      <c r="TAT8" s="74"/>
      <c r="TAU8" s="72"/>
      <c r="TBB8" s="74"/>
      <c r="TBC8" s="72"/>
      <c r="TBJ8" s="74"/>
      <c r="TBK8" s="72"/>
      <c r="TBR8" s="74"/>
      <c r="TBS8" s="72"/>
      <c r="TBZ8" s="74"/>
      <c r="TCA8" s="72"/>
      <c r="TCH8" s="74"/>
      <c r="TCI8" s="72"/>
      <c r="TCP8" s="74"/>
      <c r="TCQ8" s="72"/>
      <c r="TCX8" s="74"/>
      <c r="TCY8" s="72"/>
      <c r="TDF8" s="74"/>
      <c r="TDG8" s="72"/>
      <c r="TDN8" s="74"/>
      <c r="TDO8" s="72"/>
      <c r="TDV8" s="74"/>
      <c r="TDW8" s="72"/>
      <c r="TED8" s="74"/>
      <c r="TEE8" s="72"/>
      <c r="TEL8" s="74"/>
      <c r="TEM8" s="72"/>
      <c r="TET8" s="74"/>
      <c r="TEU8" s="72"/>
      <c r="TFB8" s="74"/>
      <c r="TFC8" s="72"/>
      <c r="TFJ8" s="74"/>
      <c r="TFK8" s="72"/>
      <c r="TFR8" s="74"/>
      <c r="TFS8" s="72"/>
      <c r="TFZ8" s="74"/>
      <c r="TGA8" s="72"/>
      <c r="TGH8" s="74"/>
      <c r="TGI8" s="72"/>
      <c r="TGP8" s="74"/>
      <c r="TGQ8" s="72"/>
      <c r="TGX8" s="74"/>
      <c r="TGY8" s="72"/>
      <c r="THF8" s="74"/>
      <c r="THG8" s="72"/>
      <c r="THN8" s="74"/>
      <c r="THO8" s="72"/>
      <c r="THV8" s="74"/>
      <c r="THW8" s="72"/>
      <c r="TID8" s="74"/>
      <c r="TIE8" s="72"/>
      <c r="TIL8" s="74"/>
      <c r="TIM8" s="72"/>
      <c r="TIT8" s="74"/>
      <c r="TIU8" s="72"/>
      <c r="TJB8" s="74"/>
      <c r="TJC8" s="72"/>
      <c r="TJJ8" s="74"/>
      <c r="TJK8" s="72"/>
      <c r="TJR8" s="74"/>
      <c r="TJS8" s="72"/>
      <c r="TJZ8" s="74"/>
      <c r="TKA8" s="72"/>
      <c r="TKH8" s="74"/>
      <c r="TKI8" s="72"/>
      <c r="TKP8" s="74"/>
      <c r="TKQ8" s="72"/>
      <c r="TKX8" s="74"/>
      <c r="TKY8" s="72"/>
      <c r="TLF8" s="74"/>
      <c r="TLG8" s="72"/>
      <c r="TLN8" s="74"/>
      <c r="TLO8" s="72"/>
      <c r="TLV8" s="74"/>
      <c r="TLW8" s="72"/>
      <c r="TMD8" s="74"/>
      <c r="TME8" s="72"/>
      <c r="TML8" s="74"/>
      <c r="TMM8" s="72"/>
      <c r="TMT8" s="74"/>
      <c r="TMU8" s="72"/>
      <c r="TNB8" s="74"/>
      <c r="TNC8" s="72"/>
      <c r="TNJ8" s="74"/>
      <c r="TNK8" s="72"/>
      <c r="TNR8" s="74"/>
      <c r="TNS8" s="72"/>
      <c r="TNZ8" s="74"/>
      <c r="TOA8" s="72"/>
      <c r="TOH8" s="74"/>
      <c r="TOI8" s="72"/>
      <c r="TOP8" s="74"/>
      <c r="TOQ8" s="72"/>
      <c r="TOX8" s="74"/>
      <c r="TOY8" s="72"/>
      <c r="TPF8" s="74"/>
      <c r="TPG8" s="72"/>
      <c r="TPN8" s="74"/>
      <c r="TPO8" s="72"/>
      <c r="TPV8" s="74"/>
      <c r="TPW8" s="72"/>
      <c r="TQD8" s="74"/>
      <c r="TQE8" s="72"/>
      <c r="TQL8" s="74"/>
      <c r="TQM8" s="72"/>
      <c r="TQT8" s="74"/>
      <c r="TQU8" s="72"/>
      <c r="TRB8" s="74"/>
      <c r="TRC8" s="72"/>
      <c r="TRJ8" s="74"/>
      <c r="TRK8" s="72"/>
      <c r="TRR8" s="74"/>
      <c r="TRS8" s="72"/>
      <c r="TRZ8" s="74"/>
      <c r="TSA8" s="72"/>
      <c r="TSH8" s="74"/>
      <c r="TSI8" s="72"/>
      <c r="TSP8" s="74"/>
      <c r="TSQ8" s="72"/>
      <c r="TSX8" s="74"/>
      <c r="TSY8" s="72"/>
      <c r="TTF8" s="74"/>
      <c r="TTG8" s="72"/>
      <c r="TTN8" s="74"/>
      <c r="TTO8" s="72"/>
      <c r="TTV8" s="74"/>
      <c r="TTW8" s="72"/>
      <c r="TUD8" s="74"/>
      <c r="TUE8" s="72"/>
      <c r="TUL8" s="74"/>
      <c r="TUM8" s="72"/>
      <c r="TUT8" s="74"/>
      <c r="TUU8" s="72"/>
      <c r="TVB8" s="74"/>
      <c r="TVC8" s="72"/>
      <c r="TVJ8" s="74"/>
      <c r="TVK8" s="72"/>
      <c r="TVR8" s="74"/>
      <c r="TVS8" s="72"/>
      <c r="TVZ8" s="74"/>
      <c r="TWA8" s="72"/>
      <c r="TWH8" s="74"/>
      <c r="TWI8" s="72"/>
      <c r="TWP8" s="74"/>
      <c r="TWQ8" s="72"/>
      <c r="TWX8" s="74"/>
      <c r="TWY8" s="72"/>
      <c r="TXF8" s="74"/>
      <c r="TXG8" s="72"/>
      <c r="TXN8" s="74"/>
      <c r="TXO8" s="72"/>
      <c r="TXV8" s="74"/>
      <c r="TXW8" s="72"/>
      <c r="TYD8" s="74"/>
      <c r="TYE8" s="72"/>
      <c r="TYL8" s="74"/>
      <c r="TYM8" s="72"/>
      <c r="TYT8" s="74"/>
      <c r="TYU8" s="72"/>
      <c r="TZB8" s="74"/>
      <c r="TZC8" s="72"/>
      <c r="TZJ8" s="74"/>
      <c r="TZK8" s="72"/>
      <c r="TZR8" s="74"/>
      <c r="TZS8" s="72"/>
      <c r="TZZ8" s="74"/>
      <c r="UAA8" s="72"/>
      <c r="UAH8" s="74"/>
      <c r="UAI8" s="72"/>
      <c r="UAP8" s="74"/>
      <c r="UAQ8" s="72"/>
      <c r="UAX8" s="74"/>
      <c r="UAY8" s="72"/>
      <c r="UBF8" s="74"/>
      <c r="UBG8" s="72"/>
      <c r="UBN8" s="74"/>
      <c r="UBO8" s="72"/>
      <c r="UBV8" s="74"/>
      <c r="UBW8" s="72"/>
      <c r="UCD8" s="74"/>
      <c r="UCE8" s="72"/>
      <c r="UCL8" s="74"/>
      <c r="UCM8" s="72"/>
      <c r="UCT8" s="74"/>
      <c r="UCU8" s="72"/>
      <c r="UDB8" s="74"/>
      <c r="UDC8" s="72"/>
      <c r="UDJ8" s="74"/>
      <c r="UDK8" s="72"/>
      <c r="UDR8" s="74"/>
      <c r="UDS8" s="72"/>
      <c r="UDZ8" s="74"/>
      <c r="UEA8" s="72"/>
      <c r="UEH8" s="74"/>
      <c r="UEI8" s="72"/>
      <c r="UEP8" s="74"/>
      <c r="UEQ8" s="72"/>
      <c r="UEX8" s="74"/>
      <c r="UEY8" s="72"/>
      <c r="UFF8" s="74"/>
      <c r="UFG8" s="72"/>
      <c r="UFN8" s="74"/>
      <c r="UFO8" s="72"/>
      <c r="UFV8" s="74"/>
      <c r="UFW8" s="72"/>
      <c r="UGD8" s="74"/>
      <c r="UGE8" s="72"/>
      <c r="UGL8" s="74"/>
      <c r="UGM8" s="72"/>
      <c r="UGT8" s="74"/>
      <c r="UGU8" s="72"/>
      <c r="UHB8" s="74"/>
      <c r="UHC8" s="72"/>
      <c r="UHJ8" s="74"/>
      <c r="UHK8" s="72"/>
      <c r="UHR8" s="74"/>
      <c r="UHS8" s="72"/>
      <c r="UHZ8" s="74"/>
      <c r="UIA8" s="72"/>
      <c r="UIH8" s="74"/>
      <c r="UII8" s="72"/>
      <c r="UIP8" s="74"/>
      <c r="UIQ8" s="72"/>
      <c r="UIX8" s="74"/>
      <c r="UIY8" s="72"/>
      <c r="UJF8" s="74"/>
      <c r="UJG8" s="72"/>
      <c r="UJN8" s="74"/>
      <c r="UJO8" s="72"/>
      <c r="UJV8" s="74"/>
      <c r="UJW8" s="72"/>
      <c r="UKD8" s="74"/>
      <c r="UKE8" s="72"/>
      <c r="UKL8" s="74"/>
      <c r="UKM8" s="72"/>
      <c r="UKT8" s="74"/>
      <c r="UKU8" s="72"/>
      <c r="ULB8" s="74"/>
      <c r="ULC8" s="72"/>
      <c r="ULJ8" s="74"/>
      <c r="ULK8" s="72"/>
      <c r="ULR8" s="74"/>
      <c r="ULS8" s="72"/>
      <c r="ULZ8" s="74"/>
      <c r="UMA8" s="72"/>
      <c r="UMH8" s="74"/>
      <c r="UMI8" s="72"/>
      <c r="UMP8" s="74"/>
      <c r="UMQ8" s="72"/>
      <c r="UMX8" s="74"/>
      <c r="UMY8" s="72"/>
      <c r="UNF8" s="74"/>
      <c r="UNG8" s="72"/>
      <c r="UNN8" s="74"/>
      <c r="UNO8" s="72"/>
      <c r="UNV8" s="74"/>
      <c r="UNW8" s="72"/>
      <c r="UOD8" s="74"/>
      <c r="UOE8" s="72"/>
      <c r="UOL8" s="74"/>
      <c r="UOM8" s="72"/>
      <c r="UOT8" s="74"/>
      <c r="UOU8" s="72"/>
      <c r="UPB8" s="74"/>
      <c r="UPC8" s="72"/>
      <c r="UPJ8" s="74"/>
      <c r="UPK8" s="72"/>
      <c r="UPR8" s="74"/>
      <c r="UPS8" s="72"/>
      <c r="UPZ8" s="74"/>
      <c r="UQA8" s="72"/>
      <c r="UQH8" s="74"/>
      <c r="UQI8" s="72"/>
      <c r="UQP8" s="74"/>
      <c r="UQQ8" s="72"/>
      <c r="UQX8" s="74"/>
      <c r="UQY8" s="72"/>
      <c r="URF8" s="74"/>
      <c r="URG8" s="72"/>
      <c r="URN8" s="74"/>
      <c r="URO8" s="72"/>
      <c r="URV8" s="74"/>
      <c r="URW8" s="72"/>
      <c r="USD8" s="74"/>
      <c r="USE8" s="72"/>
      <c r="USL8" s="74"/>
      <c r="USM8" s="72"/>
      <c r="UST8" s="74"/>
      <c r="USU8" s="72"/>
      <c r="UTB8" s="74"/>
      <c r="UTC8" s="72"/>
      <c r="UTJ8" s="74"/>
      <c r="UTK8" s="72"/>
      <c r="UTR8" s="74"/>
      <c r="UTS8" s="72"/>
      <c r="UTZ8" s="74"/>
      <c r="UUA8" s="72"/>
      <c r="UUH8" s="74"/>
      <c r="UUI8" s="72"/>
      <c r="UUP8" s="74"/>
      <c r="UUQ8" s="72"/>
      <c r="UUX8" s="74"/>
      <c r="UUY8" s="72"/>
      <c r="UVF8" s="74"/>
      <c r="UVG8" s="72"/>
      <c r="UVN8" s="74"/>
      <c r="UVO8" s="72"/>
      <c r="UVV8" s="74"/>
      <c r="UVW8" s="72"/>
      <c r="UWD8" s="74"/>
      <c r="UWE8" s="72"/>
      <c r="UWL8" s="74"/>
      <c r="UWM8" s="72"/>
      <c r="UWT8" s="74"/>
      <c r="UWU8" s="72"/>
      <c r="UXB8" s="74"/>
      <c r="UXC8" s="72"/>
      <c r="UXJ8" s="74"/>
      <c r="UXK8" s="72"/>
      <c r="UXR8" s="74"/>
      <c r="UXS8" s="72"/>
      <c r="UXZ8" s="74"/>
      <c r="UYA8" s="72"/>
      <c r="UYH8" s="74"/>
      <c r="UYI8" s="72"/>
      <c r="UYP8" s="74"/>
      <c r="UYQ8" s="72"/>
      <c r="UYX8" s="74"/>
      <c r="UYY8" s="72"/>
      <c r="UZF8" s="74"/>
      <c r="UZG8" s="72"/>
      <c r="UZN8" s="74"/>
      <c r="UZO8" s="72"/>
      <c r="UZV8" s="74"/>
      <c r="UZW8" s="72"/>
      <c r="VAD8" s="74"/>
      <c r="VAE8" s="72"/>
      <c r="VAL8" s="74"/>
      <c r="VAM8" s="72"/>
      <c r="VAT8" s="74"/>
      <c r="VAU8" s="72"/>
      <c r="VBB8" s="74"/>
      <c r="VBC8" s="72"/>
      <c r="VBJ8" s="74"/>
      <c r="VBK8" s="72"/>
      <c r="VBR8" s="74"/>
      <c r="VBS8" s="72"/>
      <c r="VBZ8" s="74"/>
      <c r="VCA8" s="72"/>
      <c r="VCH8" s="74"/>
      <c r="VCI8" s="72"/>
      <c r="VCP8" s="74"/>
      <c r="VCQ8" s="72"/>
      <c r="VCX8" s="74"/>
      <c r="VCY8" s="72"/>
      <c r="VDF8" s="74"/>
      <c r="VDG8" s="72"/>
      <c r="VDN8" s="74"/>
      <c r="VDO8" s="72"/>
      <c r="VDV8" s="74"/>
      <c r="VDW8" s="72"/>
      <c r="VED8" s="74"/>
      <c r="VEE8" s="72"/>
      <c r="VEL8" s="74"/>
      <c r="VEM8" s="72"/>
      <c r="VET8" s="74"/>
      <c r="VEU8" s="72"/>
      <c r="VFB8" s="74"/>
      <c r="VFC8" s="72"/>
      <c r="VFJ8" s="74"/>
      <c r="VFK8" s="72"/>
      <c r="VFR8" s="74"/>
      <c r="VFS8" s="72"/>
      <c r="VFZ8" s="74"/>
      <c r="VGA8" s="72"/>
      <c r="VGH8" s="74"/>
      <c r="VGI8" s="72"/>
      <c r="VGP8" s="74"/>
      <c r="VGQ8" s="72"/>
      <c r="VGX8" s="74"/>
      <c r="VGY8" s="72"/>
      <c r="VHF8" s="74"/>
      <c r="VHG8" s="72"/>
      <c r="VHN8" s="74"/>
      <c r="VHO8" s="72"/>
      <c r="VHV8" s="74"/>
      <c r="VHW8" s="72"/>
      <c r="VID8" s="74"/>
      <c r="VIE8" s="72"/>
      <c r="VIL8" s="74"/>
      <c r="VIM8" s="72"/>
      <c r="VIT8" s="74"/>
      <c r="VIU8" s="72"/>
      <c r="VJB8" s="74"/>
      <c r="VJC8" s="72"/>
      <c r="VJJ8" s="74"/>
      <c r="VJK8" s="72"/>
      <c r="VJR8" s="74"/>
      <c r="VJS8" s="72"/>
      <c r="VJZ8" s="74"/>
      <c r="VKA8" s="72"/>
      <c r="VKH8" s="74"/>
      <c r="VKI8" s="72"/>
      <c r="VKP8" s="74"/>
      <c r="VKQ8" s="72"/>
      <c r="VKX8" s="74"/>
      <c r="VKY8" s="72"/>
      <c r="VLF8" s="74"/>
      <c r="VLG8" s="72"/>
      <c r="VLN8" s="74"/>
      <c r="VLO8" s="72"/>
      <c r="VLV8" s="74"/>
      <c r="VLW8" s="72"/>
      <c r="VMD8" s="74"/>
      <c r="VME8" s="72"/>
      <c r="VML8" s="74"/>
      <c r="VMM8" s="72"/>
      <c r="VMT8" s="74"/>
      <c r="VMU8" s="72"/>
      <c r="VNB8" s="74"/>
      <c r="VNC8" s="72"/>
      <c r="VNJ8" s="74"/>
      <c r="VNK8" s="72"/>
      <c r="VNR8" s="74"/>
      <c r="VNS8" s="72"/>
      <c r="VNZ8" s="74"/>
      <c r="VOA8" s="72"/>
      <c r="VOH8" s="74"/>
      <c r="VOI8" s="72"/>
      <c r="VOP8" s="74"/>
      <c r="VOQ8" s="72"/>
      <c r="VOX8" s="74"/>
      <c r="VOY8" s="72"/>
      <c r="VPF8" s="74"/>
      <c r="VPG8" s="72"/>
      <c r="VPN8" s="74"/>
      <c r="VPO8" s="72"/>
      <c r="VPV8" s="74"/>
      <c r="VPW8" s="72"/>
      <c r="VQD8" s="74"/>
      <c r="VQE8" s="72"/>
      <c r="VQL8" s="74"/>
      <c r="VQM8" s="72"/>
      <c r="VQT8" s="74"/>
      <c r="VQU8" s="72"/>
      <c r="VRB8" s="74"/>
      <c r="VRC8" s="72"/>
      <c r="VRJ8" s="74"/>
      <c r="VRK8" s="72"/>
      <c r="VRR8" s="74"/>
      <c r="VRS8" s="72"/>
      <c r="VRZ8" s="74"/>
      <c r="VSA8" s="72"/>
      <c r="VSH8" s="74"/>
      <c r="VSI8" s="72"/>
      <c r="VSP8" s="74"/>
      <c r="VSQ8" s="72"/>
      <c r="VSX8" s="74"/>
      <c r="VSY8" s="72"/>
      <c r="VTF8" s="74"/>
      <c r="VTG8" s="72"/>
      <c r="VTN8" s="74"/>
      <c r="VTO8" s="72"/>
      <c r="VTV8" s="74"/>
      <c r="VTW8" s="72"/>
      <c r="VUD8" s="74"/>
      <c r="VUE8" s="72"/>
      <c r="VUL8" s="74"/>
      <c r="VUM8" s="72"/>
      <c r="VUT8" s="74"/>
      <c r="VUU8" s="72"/>
      <c r="VVB8" s="74"/>
      <c r="VVC8" s="72"/>
      <c r="VVJ8" s="74"/>
      <c r="VVK8" s="72"/>
      <c r="VVR8" s="74"/>
      <c r="VVS8" s="72"/>
      <c r="VVZ8" s="74"/>
      <c r="VWA8" s="72"/>
      <c r="VWH8" s="74"/>
      <c r="VWI8" s="72"/>
      <c r="VWP8" s="74"/>
      <c r="VWQ8" s="72"/>
      <c r="VWX8" s="74"/>
      <c r="VWY8" s="72"/>
      <c r="VXF8" s="74"/>
      <c r="VXG8" s="72"/>
      <c r="VXN8" s="74"/>
      <c r="VXO8" s="72"/>
      <c r="VXV8" s="74"/>
      <c r="VXW8" s="72"/>
      <c r="VYD8" s="74"/>
      <c r="VYE8" s="72"/>
      <c r="VYL8" s="74"/>
      <c r="VYM8" s="72"/>
      <c r="VYT8" s="74"/>
      <c r="VYU8" s="72"/>
      <c r="VZB8" s="74"/>
      <c r="VZC8" s="72"/>
      <c r="VZJ8" s="74"/>
      <c r="VZK8" s="72"/>
      <c r="VZR8" s="74"/>
      <c r="VZS8" s="72"/>
      <c r="VZZ8" s="74"/>
      <c r="WAA8" s="72"/>
      <c r="WAH8" s="74"/>
      <c r="WAI8" s="72"/>
      <c r="WAP8" s="74"/>
      <c r="WAQ8" s="72"/>
      <c r="WAX8" s="74"/>
      <c r="WAY8" s="72"/>
      <c r="WBF8" s="74"/>
      <c r="WBG8" s="72"/>
      <c r="WBN8" s="74"/>
      <c r="WBO8" s="72"/>
      <c r="WBV8" s="74"/>
      <c r="WBW8" s="72"/>
      <c r="WCD8" s="74"/>
      <c r="WCE8" s="72"/>
      <c r="WCL8" s="74"/>
      <c r="WCM8" s="72"/>
      <c r="WCT8" s="74"/>
      <c r="WCU8" s="72"/>
      <c r="WDB8" s="74"/>
      <c r="WDC8" s="72"/>
      <c r="WDJ8" s="74"/>
      <c r="WDK8" s="72"/>
      <c r="WDR8" s="74"/>
      <c r="WDS8" s="72"/>
      <c r="WDZ8" s="74"/>
      <c r="WEA8" s="72"/>
      <c r="WEH8" s="74"/>
      <c r="WEI8" s="72"/>
      <c r="WEP8" s="74"/>
      <c r="WEQ8" s="72"/>
      <c r="WEX8" s="74"/>
      <c r="WEY8" s="72"/>
      <c r="WFF8" s="74"/>
      <c r="WFG8" s="72"/>
      <c r="WFN8" s="74"/>
      <c r="WFO8" s="72"/>
      <c r="WFV8" s="74"/>
      <c r="WFW8" s="72"/>
      <c r="WGD8" s="74"/>
      <c r="WGE8" s="72"/>
      <c r="WGL8" s="74"/>
      <c r="WGM8" s="72"/>
      <c r="WGT8" s="74"/>
      <c r="WGU8" s="72"/>
      <c r="WHB8" s="74"/>
      <c r="WHC8" s="72"/>
      <c r="WHJ8" s="74"/>
      <c r="WHK8" s="72"/>
      <c r="WHR8" s="74"/>
      <c r="WHS8" s="72"/>
      <c r="WHZ8" s="74"/>
      <c r="WIA8" s="72"/>
      <c r="WIH8" s="74"/>
      <c r="WII8" s="72"/>
      <c r="WIP8" s="74"/>
      <c r="WIQ8" s="72"/>
      <c r="WIX8" s="74"/>
      <c r="WIY8" s="72"/>
      <c r="WJF8" s="74"/>
      <c r="WJG8" s="72"/>
      <c r="WJN8" s="74"/>
      <c r="WJO8" s="72"/>
      <c r="WJV8" s="74"/>
      <c r="WJW8" s="72"/>
      <c r="WKD8" s="74"/>
      <c r="WKE8" s="72"/>
      <c r="WKL8" s="74"/>
      <c r="WKM8" s="72"/>
      <c r="WKT8" s="74"/>
      <c r="WKU8" s="72"/>
      <c r="WLB8" s="74"/>
      <c r="WLC8" s="72"/>
      <c r="WLJ8" s="74"/>
      <c r="WLK8" s="72"/>
      <c r="WLR8" s="74"/>
      <c r="WLS8" s="72"/>
      <c r="WLZ8" s="74"/>
      <c r="WMA8" s="72"/>
      <c r="WMH8" s="74"/>
      <c r="WMI8" s="72"/>
      <c r="WMP8" s="74"/>
      <c r="WMQ8" s="72"/>
      <c r="WMX8" s="74"/>
      <c r="WMY8" s="72"/>
      <c r="WNF8" s="74"/>
      <c r="WNG8" s="72"/>
      <c r="WNN8" s="74"/>
      <c r="WNO8" s="72"/>
      <c r="WNV8" s="74"/>
      <c r="WNW8" s="72"/>
      <c r="WOD8" s="74"/>
      <c r="WOE8" s="72"/>
      <c r="WOL8" s="74"/>
      <c r="WOM8" s="72"/>
      <c r="WOT8" s="74"/>
      <c r="WOU8" s="72"/>
      <c r="WPB8" s="74"/>
      <c r="WPC8" s="72"/>
      <c r="WPJ8" s="74"/>
      <c r="WPK8" s="72"/>
      <c r="WPR8" s="74"/>
      <c r="WPS8" s="72"/>
      <c r="WPZ8" s="74"/>
      <c r="WQA8" s="72"/>
      <c r="WQH8" s="74"/>
      <c r="WQI8" s="72"/>
      <c r="WQP8" s="74"/>
      <c r="WQQ8" s="72"/>
      <c r="WQX8" s="74"/>
      <c r="WQY8" s="72"/>
      <c r="WRF8" s="74"/>
      <c r="WRG8" s="72"/>
      <c r="WRN8" s="74"/>
      <c r="WRO8" s="72"/>
      <c r="WRV8" s="74"/>
      <c r="WRW8" s="72"/>
      <c r="WSD8" s="74"/>
      <c r="WSE8" s="72"/>
      <c r="WSL8" s="74"/>
      <c r="WSM8" s="72"/>
      <c r="WST8" s="74"/>
      <c r="WSU8" s="72"/>
      <c r="WTB8" s="74"/>
      <c r="WTC8" s="72"/>
      <c r="WTJ8" s="74"/>
      <c r="WTK8" s="72"/>
      <c r="WTR8" s="74"/>
      <c r="WTS8" s="72"/>
      <c r="WTZ8" s="74"/>
      <c r="WUA8" s="72"/>
      <c r="WUH8" s="74"/>
      <c r="WUI8" s="72"/>
      <c r="WUP8" s="74"/>
      <c r="WUQ8" s="72"/>
      <c r="WUX8" s="74"/>
      <c r="WUY8" s="72"/>
      <c r="WVF8" s="74"/>
      <c r="WVG8" s="72"/>
      <c r="WVN8" s="74"/>
      <c r="WVO8" s="72"/>
      <c r="WVV8" s="74"/>
      <c r="WVW8" s="72"/>
      <c r="WWD8" s="74"/>
      <c r="WWE8" s="72"/>
      <c r="WWL8" s="74"/>
      <c r="WWM8" s="72"/>
      <c r="WWT8" s="74"/>
      <c r="WWU8" s="72"/>
      <c r="WXB8" s="74"/>
      <c r="WXC8" s="72"/>
      <c r="WXJ8" s="74"/>
      <c r="WXK8" s="72"/>
      <c r="WXR8" s="74"/>
      <c r="WXS8" s="72"/>
      <c r="WXZ8" s="74"/>
      <c r="WYA8" s="72"/>
      <c r="WYH8" s="74"/>
      <c r="WYI8" s="72"/>
      <c r="WYP8" s="74"/>
      <c r="WYQ8" s="72"/>
      <c r="WYX8" s="74"/>
      <c r="WYY8" s="72"/>
      <c r="WZF8" s="74"/>
      <c r="WZG8" s="72"/>
      <c r="WZN8" s="74"/>
      <c r="WZO8" s="72"/>
      <c r="WZV8" s="74"/>
      <c r="WZW8" s="72"/>
      <c r="XAD8" s="74"/>
      <c r="XAE8" s="72"/>
      <c r="XAL8" s="74"/>
      <c r="XAM8" s="72"/>
      <c r="XAT8" s="74"/>
      <c r="XAU8" s="72"/>
      <c r="XBB8" s="74"/>
      <c r="XBC8" s="72"/>
      <c r="XBJ8" s="74"/>
      <c r="XBK8" s="72"/>
      <c r="XBR8" s="74"/>
      <c r="XBS8" s="72"/>
      <c r="XBZ8" s="74"/>
      <c r="XCA8" s="72"/>
      <c r="XCH8" s="74"/>
      <c r="XCI8" s="72"/>
      <c r="XCP8" s="74"/>
      <c r="XCQ8" s="72"/>
      <c r="XCX8" s="74"/>
      <c r="XCY8" s="72"/>
      <c r="XDF8" s="74"/>
      <c r="XDG8" s="72"/>
      <c r="XDN8" s="74"/>
      <c r="XDO8" s="72"/>
      <c r="XDV8" s="74"/>
      <c r="XDW8" s="72"/>
      <c r="XED8" s="74"/>
      <c r="XEE8" s="72"/>
      <c r="XEL8" s="74"/>
      <c r="XEM8" s="72"/>
      <c r="XET8" s="74"/>
      <c r="XEU8" s="72"/>
      <c r="XFB8" s="74"/>
      <c r="XFC8" s="72"/>
    </row>
    <row r="9" spans="1:1023 1030:2047 2054:3071 3078:4095 4102:5119 5126:6143 6150:7167 7174:8191 8198:9215 9222:10239 10246:11263 11270:12287 12294:13311 13318:14335 14342:15359 15366:16383" s="76" customFormat="1" ht="2.15" customHeight="1">
      <c r="B9" s="77"/>
      <c r="C9" s="109"/>
      <c r="D9" s="109"/>
      <c r="E9" s="109"/>
      <c r="F9" s="109"/>
      <c r="G9" s="109"/>
      <c r="H9" s="109"/>
      <c r="I9" s="109"/>
      <c r="J9" s="109"/>
      <c r="K9" s="109"/>
      <c r="L9" s="109"/>
      <c r="M9" s="109"/>
      <c r="N9" s="109"/>
      <c r="O9" s="109"/>
      <c r="P9" s="109"/>
      <c r="Q9" s="109"/>
      <c r="R9" s="109"/>
      <c r="S9" s="140"/>
      <c r="T9" s="108"/>
      <c r="U9" s="109"/>
      <c r="V9" s="109"/>
    </row>
    <row r="10" spans="1:1023 1030:2047 2054:3071 3078:4095 4102:5119 5126:6143 6150:7167 7174:8191 8198:9215 9222:10239 10246:11263 11270:12287 12294:13311 13318:14335 14342:15359 15366:16383" s="4" customFormat="1" ht="15" customHeight="1" thickBot="1">
      <c r="B10" s="56" t="s">
        <v>248</v>
      </c>
      <c r="C10" s="153"/>
      <c r="D10" s="153"/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4"/>
      <c r="X10" s="154"/>
      <c r="Y10" s="154"/>
      <c r="Z10" s="154"/>
      <c r="AA10" s="22"/>
      <c r="AB10" s="22"/>
      <c r="AC10" s="22"/>
    </row>
    <row r="11" spans="1:1023 1030:2047 2054:3071 3078:4095 4102:5119 5126:6143 6150:7167 7174:8191 8198:9215 9222:10239 10246:11263 11270:12287 12294:13311 13318:14335 14342:15359 15366:16383" s="80" customFormat="1" ht="15" customHeight="1" thickBot="1">
      <c r="B11" s="159" t="s">
        <v>249</v>
      </c>
      <c r="C11" s="141">
        <f t="shared" ref="C11:K11" si="0">SUM(C12:C13)</f>
        <v>1897.3659499999999</v>
      </c>
      <c r="D11" s="141">
        <f t="shared" ref="D11:D16" si="1">E11</f>
        <v>6013.5477900000005</v>
      </c>
      <c r="E11" s="141">
        <f t="shared" si="0"/>
        <v>6013.5477900000005</v>
      </c>
      <c r="F11" s="141">
        <f t="shared" si="0"/>
        <v>4688.72</v>
      </c>
      <c r="G11" s="141">
        <f t="shared" si="0"/>
        <v>2165</v>
      </c>
      <c r="H11" s="141">
        <f t="shared" si="0"/>
        <v>5174</v>
      </c>
      <c r="I11" s="141">
        <f t="shared" si="0"/>
        <v>5174</v>
      </c>
      <c r="J11" s="141">
        <f t="shared" si="0"/>
        <v>3361</v>
      </c>
      <c r="K11" s="141">
        <f t="shared" si="0"/>
        <v>930</v>
      </c>
      <c r="L11" s="141">
        <f t="shared" ref="L11:V11" si="2">SUM(L12:L13)</f>
        <v>4838</v>
      </c>
      <c r="M11" s="141">
        <f t="shared" si="2"/>
        <v>4838</v>
      </c>
      <c r="N11" s="141">
        <f t="shared" si="2"/>
        <v>3719.1</v>
      </c>
      <c r="O11" s="141">
        <f t="shared" si="2"/>
        <v>1647</v>
      </c>
      <c r="P11" s="141">
        <f t="shared" si="2"/>
        <v>5012</v>
      </c>
      <c r="Q11" s="141">
        <f t="shared" si="2"/>
        <v>5012</v>
      </c>
      <c r="R11" s="141">
        <f t="shared" si="2"/>
        <v>3694</v>
      </c>
      <c r="S11" s="141">
        <f t="shared" si="2"/>
        <v>1596</v>
      </c>
      <c r="T11" s="141">
        <f t="shared" si="2"/>
        <v>5024</v>
      </c>
      <c r="U11" s="141">
        <f t="shared" si="2"/>
        <v>5024</v>
      </c>
      <c r="V11" s="141">
        <f t="shared" si="2"/>
        <v>4956</v>
      </c>
    </row>
    <row r="12" spans="1:1023 1030:2047 2054:3071 3078:4095 4102:5119 5126:6143 6150:7167 7174:8191 8198:9215 9222:10239 10246:11263 11270:12287 12294:13311 13318:14335 14342:15359 15366:16383" s="80" customFormat="1" ht="15" customHeight="1" thickBot="1">
      <c r="B12" s="159" t="s">
        <v>250</v>
      </c>
      <c r="C12" s="141">
        <v>1250.54802</v>
      </c>
      <c r="D12" s="141">
        <f t="shared" si="1"/>
        <v>3771.1241400000004</v>
      </c>
      <c r="E12" s="141">
        <v>3771.1241400000004</v>
      </c>
      <c r="F12" s="141">
        <v>2955.34</v>
      </c>
      <c r="G12" s="141">
        <v>1401</v>
      </c>
      <c r="H12" s="141">
        <f>I12</f>
        <v>3051</v>
      </c>
      <c r="I12" s="141">
        <f>3051</f>
        <v>3051</v>
      </c>
      <c r="J12" s="141">
        <v>2011</v>
      </c>
      <c r="K12" s="141">
        <v>573</v>
      </c>
      <c r="L12" s="141">
        <f>M12</f>
        <v>2889</v>
      </c>
      <c r="M12" s="141">
        <v>2889</v>
      </c>
      <c r="N12" s="141">
        <v>2174</v>
      </c>
      <c r="O12" s="141">
        <v>959</v>
      </c>
      <c r="P12" s="141">
        <f>Q12</f>
        <v>2940</v>
      </c>
      <c r="Q12" s="141">
        <v>2940</v>
      </c>
      <c r="R12" s="141">
        <v>2146</v>
      </c>
      <c r="S12" s="141">
        <v>925</v>
      </c>
      <c r="T12" s="141">
        <v>2783</v>
      </c>
      <c r="U12" s="141">
        <v>2783</v>
      </c>
      <c r="V12" s="141">
        <v>2549</v>
      </c>
    </row>
    <row r="13" spans="1:1023 1030:2047 2054:3071 3078:4095 4102:5119 5126:6143 6150:7167 7174:8191 8198:9215 9222:10239 10246:11263 11270:12287 12294:13311 13318:14335 14342:15359 15366:16383" s="80" customFormat="1" ht="15" customHeight="1" thickBot="1">
      <c r="B13" s="159" t="s">
        <v>251</v>
      </c>
      <c r="C13" s="141">
        <v>646.81792999999993</v>
      </c>
      <c r="D13" s="141">
        <f t="shared" si="1"/>
        <v>2242.4236500000002</v>
      </c>
      <c r="E13" s="141">
        <v>2242.4236500000002</v>
      </c>
      <c r="F13" s="141">
        <v>1733.38</v>
      </c>
      <c r="G13" s="141">
        <v>764</v>
      </c>
      <c r="H13" s="141">
        <f>I13</f>
        <v>2123</v>
      </c>
      <c r="I13" s="141">
        <f>2123</f>
        <v>2123</v>
      </c>
      <c r="J13" s="141">
        <v>1350</v>
      </c>
      <c r="K13" s="141">
        <v>357</v>
      </c>
      <c r="L13" s="141">
        <f>M13</f>
        <v>1949</v>
      </c>
      <c r="M13" s="141">
        <v>1949</v>
      </c>
      <c r="N13" s="141">
        <v>1545.1</v>
      </c>
      <c r="O13" s="141">
        <v>688</v>
      </c>
      <c r="P13" s="141">
        <f>Q13</f>
        <v>2072</v>
      </c>
      <c r="Q13" s="141">
        <v>2072</v>
      </c>
      <c r="R13" s="141">
        <v>1548</v>
      </c>
      <c r="S13" s="141">
        <v>671</v>
      </c>
      <c r="T13" s="141">
        <v>2241</v>
      </c>
      <c r="U13" s="141">
        <v>2241</v>
      </c>
      <c r="V13" s="141">
        <v>2407</v>
      </c>
    </row>
    <row r="14" spans="1:1023 1030:2047 2054:3071 3078:4095 4102:5119 5126:6143 6150:7167 7174:8191 8198:9215 9222:10239 10246:11263 11270:12287 12294:13311 13318:14335 14342:15359 15366:16383" s="80" customFormat="1" ht="15" customHeight="1" thickBot="1">
      <c r="B14" s="159" t="s">
        <v>252</v>
      </c>
      <c r="C14" s="141">
        <v>10.286100331912841</v>
      </c>
      <c r="D14" s="141">
        <f t="shared" si="1"/>
        <v>12.2</v>
      </c>
      <c r="E14" s="141">
        <v>12.2</v>
      </c>
      <c r="F14" s="141">
        <v>13.6</v>
      </c>
      <c r="G14" s="141">
        <v>12.1</v>
      </c>
      <c r="H14" s="141">
        <f>I14</f>
        <v>12.1</v>
      </c>
      <c r="I14" s="141">
        <f>12.1</f>
        <v>12.1</v>
      </c>
      <c r="J14" s="141">
        <v>13.2</v>
      </c>
      <c r="K14" s="141">
        <v>11.8</v>
      </c>
      <c r="L14" s="141">
        <f>M14</f>
        <v>11.25</v>
      </c>
      <c r="M14" s="141">
        <v>11.25</v>
      </c>
      <c r="N14" s="141">
        <v>14.4</v>
      </c>
      <c r="O14" s="141">
        <v>11.11</v>
      </c>
      <c r="P14" s="141">
        <f>Q14</f>
        <v>0</v>
      </c>
      <c r="Q14" s="141">
        <v>0</v>
      </c>
      <c r="R14" s="141">
        <v>0</v>
      </c>
      <c r="S14" s="141">
        <v>0</v>
      </c>
      <c r="T14" s="141">
        <v>0</v>
      </c>
      <c r="U14" s="141">
        <v>0</v>
      </c>
      <c r="V14" s="141">
        <v>0</v>
      </c>
    </row>
    <row r="15" spans="1:1023 1030:2047 2054:3071 3078:4095 4102:5119 5126:6143 6150:7167 7174:8191 8198:9215 9222:10239 10246:11263 11270:12287 12294:13311 13318:14335 14342:15359 15366:16383" s="80" customFormat="1" ht="15" customHeight="1" thickBot="1">
      <c r="B15" s="159" t="s">
        <v>253</v>
      </c>
      <c r="C15" s="141">
        <v>91.562224781136194</v>
      </c>
      <c r="D15" s="141">
        <f t="shared" si="1"/>
        <v>94.7</v>
      </c>
      <c r="E15" s="141">
        <v>94.7</v>
      </c>
      <c r="F15" s="141">
        <v>103.57</v>
      </c>
      <c r="G15" s="141">
        <v>102.2</v>
      </c>
      <c r="H15" s="141">
        <f>I15</f>
        <v>91.1</v>
      </c>
      <c r="I15" s="141">
        <f>91.1</f>
        <v>91.1</v>
      </c>
      <c r="J15" s="141">
        <v>96.8</v>
      </c>
      <c r="K15" s="141">
        <v>87.7</v>
      </c>
      <c r="L15" s="141">
        <f>M15</f>
        <v>81.760000000000005</v>
      </c>
      <c r="M15" s="141">
        <v>81.760000000000005</v>
      </c>
      <c r="N15" s="141">
        <v>102.5</v>
      </c>
      <c r="O15" s="141">
        <v>87.5</v>
      </c>
      <c r="P15" s="141">
        <f>Q15</f>
        <v>90.2</v>
      </c>
      <c r="Q15" s="141">
        <v>90.2</v>
      </c>
      <c r="R15" s="141">
        <v>103</v>
      </c>
      <c r="S15" s="141">
        <v>95.2</v>
      </c>
      <c r="T15" s="141">
        <v>92.6</v>
      </c>
      <c r="U15" s="141">
        <v>92.6</v>
      </c>
      <c r="V15" s="141">
        <v>93.9</v>
      </c>
    </row>
    <row r="16" spans="1:1023 1030:2047 2054:3071 3078:4095 4102:5119 5126:6143 6150:7167 7174:8191 8198:9215 9222:10239 10246:11263 11270:12287 12294:13311 13318:14335 14342:15359 15366:16383" s="80" customFormat="1" ht="15" customHeight="1" thickBot="1">
      <c r="B16" s="159" t="s">
        <v>254</v>
      </c>
      <c r="C16" s="141">
        <v>112.34</v>
      </c>
      <c r="D16" s="141">
        <f t="shared" si="1"/>
        <v>129.19999999999999</v>
      </c>
      <c r="E16" s="141">
        <v>129.19999999999999</v>
      </c>
      <c r="F16" s="141">
        <v>131.65</v>
      </c>
      <c r="G16" s="141">
        <v>118.7</v>
      </c>
      <c r="H16" s="141">
        <f>I16</f>
        <v>135.69999999999999</v>
      </c>
      <c r="I16" s="141">
        <f>135.7</f>
        <v>135.69999999999999</v>
      </c>
      <c r="J16" s="141">
        <v>139.5</v>
      </c>
      <c r="K16" s="141">
        <v>134</v>
      </c>
      <c r="L16" s="141">
        <f>M16</f>
        <v>139.80000000000001</v>
      </c>
      <c r="M16" s="141">
        <v>139.80000000000001</v>
      </c>
      <c r="N16" s="141">
        <v>141.1</v>
      </c>
      <c r="O16" s="141">
        <v>126.8</v>
      </c>
      <c r="P16" s="141">
        <f>Q16</f>
        <v>132.69999999999999</v>
      </c>
      <c r="Q16" s="141">
        <v>132.69999999999999</v>
      </c>
      <c r="R16" s="141">
        <v>133</v>
      </c>
      <c r="S16" s="141">
        <v>120.3</v>
      </c>
      <c r="T16" s="141">
        <v>128.1</v>
      </c>
      <c r="U16" s="141">
        <v>128.1</v>
      </c>
      <c r="V16" s="141">
        <v>130.30000000000001</v>
      </c>
    </row>
    <row r="17" spans="1:1023 1030:2047 2054:3071 3078:4095 4102:5119 5126:6143 6150:7167 7174:8191 8198:9215 9222:10239 10246:11263 11270:12287 12294:13311 13318:14335 14342:15359 15366:16383" ht="15" customHeight="1"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80"/>
      <c r="X17" s="80"/>
      <c r="Y17" s="80"/>
      <c r="Z17" s="80"/>
    </row>
    <row r="18" spans="1:1023 1030:2047 2054:3071 3078:4095 4102:5119 5126:6143 6150:7167 7174:8191 8198:9215 9222:10239 10246:11263 11270:12287 12294:13311 13318:14335 14342:15359 15366:16383" s="4" customFormat="1" ht="15" customHeight="1" thickBot="1">
      <c r="B18" s="56" t="s">
        <v>255</v>
      </c>
      <c r="C18" s="167"/>
      <c r="D18" s="167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80"/>
      <c r="X18" s="80"/>
      <c r="Y18" s="80"/>
      <c r="Z18" s="80"/>
      <c r="AA18" s="22"/>
      <c r="AB18" s="22"/>
      <c r="AC18" s="22"/>
    </row>
    <row r="19" spans="1:1023 1030:2047 2054:3071 3078:4095 4102:5119 5126:6143 6150:7167 7174:8191 8198:9215 9222:10239 10246:11263 11270:12287 12294:13311 13318:14335 14342:15359 15366:16383" s="73" customFormat="1" ht="15" customHeight="1" thickBot="1">
      <c r="A19" s="4"/>
      <c r="B19" s="163" t="s">
        <v>160</v>
      </c>
      <c r="C19" s="146"/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80"/>
      <c r="X19" s="80"/>
      <c r="Y19" s="80"/>
      <c r="Z19" s="80"/>
      <c r="AD19" s="74"/>
      <c r="AE19" s="72"/>
      <c r="AL19" s="74"/>
      <c r="AM19" s="72"/>
      <c r="AT19" s="74"/>
      <c r="AU19" s="72"/>
      <c r="BB19" s="74"/>
      <c r="BC19" s="72"/>
      <c r="BJ19" s="74"/>
      <c r="BK19" s="72"/>
      <c r="BR19" s="74"/>
      <c r="BS19" s="72"/>
      <c r="BZ19" s="74"/>
      <c r="CA19" s="72"/>
      <c r="CH19" s="74"/>
      <c r="CI19" s="72"/>
      <c r="CP19" s="74"/>
      <c r="CQ19" s="72"/>
      <c r="CX19" s="74"/>
      <c r="CY19" s="72"/>
      <c r="DF19" s="74"/>
      <c r="DG19" s="72"/>
      <c r="DN19" s="74"/>
      <c r="DO19" s="72"/>
      <c r="DV19" s="74"/>
      <c r="DW19" s="72"/>
      <c r="ED19" s="74"/>
      <c r="EE19" s="72"/>
      <c r="EL19" s="74"/>
      <c r="EM19" s="72"/>
      <c r="ET19" s="74"/>
      <c r="EU19" s="72"/>
      <c r="FB19" s="74"/>
      <c r="FC19" s="72"/>
      <c r="FJ19" s="74"/>
      <c r="FK19" s="72"/>
      <c r="FR19" s="74"/>
      <c r="FS19" s="72"/>
      <c r="FZ19" s="74"/>
      <c r="GA19" s="72"/>
      <c r="GH19" s="74"/>
      <c r="GI19" s="72"/>
      <c r="GP19" s="74"/>
      <c r="GQ19" s="72"/>
      <c r="GX19" s="74"/>
      <c r="GY19" s="72"/>
      <c r="HF19" s="74"/>
      <c r="HG19" s="72"/>
      <c r="HN19" s="74"/>
      <c r="HO19" s="72"/>
      <c r="HV19" s="74"/>
      <c r="HW19" s="72"/>
      <c r="ID19" s="74"/>
      <c r="IE19" s="72"/>
      <c r="IL19" s="74"/>
      <c r="IM19" s="72"/>
      <c r="IT19" s="74"/>
      <c r="IU19" s="72"/>
      <c r="JB19" s="74"/>
      <c r="JC19" s="72"/>
      <c r="JJ19" s="74"/>
      <c r="JK19" s="72"/>
      <c r="JR19" s="74"/>
      <c r="JS19" s="72"/>
      <c r="JZ19" s="74"/>
      <c r="KA19" s="72"/>
      <c r="KH19" s="74"/>
      <c r="KI19" s="72"/>
      <c r="KP19" s="74"/>
      <c r="KQ19" s="72"/>
      <c r="KX19" s="74"/>
      <c r="KY19" s="72"/>
      <c r="LF19" s="74"/>
      <c r="LG19" s="72"/>
      <c r="LN19" s="74"/>
      <c r="LO19" s="72"/>
      <c r="LV19" s="74"/>
      <c r="LW19" s="72"/>
      <c r="MD19" s="74"/>
      <c r="ME19" s="72"/>
      <c r="ML19" s="74"/>
      <c r="MM19" s="72"/>
      <c r="MT19" s="74"/>
      <c r="MU19" s="72"/>
      <c r="NB19" s="74"/>
      <c r="NC19" s="72"/>
      <c r="NJ19" s="74"/>
      <c r="NK19" s="72"/>
      <c r="NR19" s="74"/>
      <c r="NS19" s="72"/>
      <c r="NZ19" s="74"/>
      <c r="OA19" s="72"/>
      <c r="OH19" s="74"/>
      <c r="OI19" s="72"/>
      <c r="OP19" s="74"/>
      <c r="OQ19" s="72"/>
      <c r="OX19" s="74"/>
      <c r="OY19" s="72"/>
      <c r="PF19" s="74"/>
      <c r="PG19" s="72"/>
      <c r="PN19" s="74"/>
      <c r="PO19" s="72"/>
      <c r="PV19" s="74"/>
      <c r="PW19" s="72"/>
      <c r="QD19" s="74"/>
      <c r="QE19" s="72"/>
      <c r="QL19" s="74"/>
      <c r="QM19" s="72"/>
      <c r="QT19" s="74"/>
      <c r="QU19" s="72"/>
      <c r="RB19" s="74"/>
      <c r="RC19" s="72"/>
      <c r="RJ19" s="74"/>
      <c r="RK19" s="72"/>
      <c r="RR19" s="74"/>
      <c r="RS19" s="72"/>
      <c r="RZ19" s="74"/>
      <c r="SA19" s="72"/>
      <c r="SH19" s="74"/>
      <c r="SI19" s="72"/>
      <c r="SP19" s="74"/>
      <c r="SQ19" s="72"/>
      <c r="SX19" s="74"/>
      <c r="SY19" s="72"/>
      <c r="TF19" s="74"/>
      <c r="TG19" s="72"/>
      <c r="TN19" s="74"/>
      <c r="TO19" s="72"/>
      <c r="TV19" s="74"/>
      <c r="TW19" s="72"/>
      <c r="UD19" s="74"/>
      <c r="UE19" s="72"/>
      <c r="UL19" s="74"/>
      <c r="UM19" s="72"/>
      <c r="UT19" s="74"/>
      <c r="UU19" s="72"/>
      <c r="VB19" s="74"/>
      <c r="VC19" s="72"/>
      <c r="VJ19" s="74"/>
      <c r="VK19" s="72"/>
      <c r="VR19" s="74"/>
      <c r="VS19" s="72"/>
      <c r="VZ19" s="74"/>
      <c r="WA19" s="72"/>
      <c r="WH19" s="74"/>
      <c r="WI19" s="72"/>
      <c r="WP19" s="74"/>
      <c r="WQ19" s="72"/>
      <c r="WX19" s="74"/>
      <c r="WY19" s="72"/>
      <c r="XF19" s="74"/>
      <c r="XG19" s="72"/>
      <c r="XN19" s="74"/>
      <c r="XO19" s="72"/>
      <c r="XV19" s="74"/>
      <c r="XW19" s="72"/>
      <c r="YD19" s="74"/>
      <c r="YE19" s="72"/>
      <c r="YL19" s="74"/>
      <c r="YM19" s="72"/>
      <c r="YT19" s="74"/>
      <c r="YU19" s="72"/>
      <c r="ZB19" s="74"/>
      <c r="ZC19" s="72"/>
      <c r="ZJ19" s="74"/>
      <c r="ZK19" s="72"/>
      <c r="ZR19" s="74"/>
      <c r="ZS19" s="72"/>
      <c r="ZZ19" s="74"/>
      <c r="AAA19" s="72"/>
      <c r="AAH19" s="74"/>
      <c r="AAI19" s="72"/>
      <c r="AAP19" s="74"/>
      <c r="AAQ19" s="72"/>
      <c r="AAX19" s="74"/>
      <c r="AAY19" s="72"/>
      <c r="ABF19" s="74"/>
      <c r="ABG19" s="72"/>
      <c r="ABN19" s="74"/>
      <c r="ABO19" s="72"/>
      <c r="ABV19" s="74"/>
      <c r="ABW19" s="72"/>
      <c r="ACD19" s="74"/>
      <c r="ACE19" s="72"/>
      <c r="ACL19" s="74"/>
      <c r="ACM19" s="72"/>
      <c r="ACT19" s="74"/>
      <c r="ACU19" s="72"/>
      <c r="ADB19" s="74"/>
      <c r="ADC19" s="72"/>
      <c r="ADJ19" s="74"/>
      <c r="ADK19" s="72"/>
      <c r="ADR19" s="74"/>
      <c r="ADS19" s="72"/>
      <c r="ADZ19" s="74"/>
      <c r="AEA19" s="72"/>
      <c r="AEH19" s="74"/>
      <c r="AEI19" s="72"/>
      <c r="AEP19" s="74"/>
      <c r="AEQ19" s="72"/>
      <c r="AEX19" s="74"/>
      <c r="AEY19" s="72"/>
      <c r="AFF19" s="74"/>
      <c r="AFG19" s="72"/>
      <c r="AFN19" s="74"/>
      <c r="AFO19" s="72"/>
      <c r="AFV19" s="74"/>
      <c r="AFW19" s="72"/>
      <c r="AGD19" s="74"/>
      <c r="AGE19" s="72"/>
      <c r="AGL19" s="74"/>
      <c r="AGM19" s="72"/>
      <c r="AGT19" s="74"/>
      <c r="AGU19" s="72"/>
      <c r="AHB19" s="74"/>
      <c r="AHC19" s="72"/>
      <c r="AHJ19" s="74"/>
      <c r="AHK19" s="72"/>
      <c r="AHR19" s="74"/>
      <c r="AHS19" s="72"/>
      <c r="AHZ19" s="74"/>
      <c r="AIA19" s="72"/>
      <c r="AIH19" s="74"/>
      <c r="AII19" s="72"/>
      <c r="AIP19" s="74"/>
      <c r="AIQ19" s="72"/>
      <c r="AIX19" s="74"/>
      <c r="AIY19" s="72"/>
      <c r="AJF19" s="74"/>
      <c r="AJG19" s="72"/>
      <c r="AJN19" s="74"/>
      <c r="AJO19" s="72"/>
      <c r="AJV19" s="74"/>
      <c r="AJW19" s="72"/>
      <c r="AKD19" s="74"/>
      <c r="AKE19" s="72"/>
      <c r="AKL19" s="74"/>
      <c r="AKM19" s="72"/>
      <c r="AKT19" s="74"/>
      <c r="AKU19" s="72"/>
      <c r="ALB19" s="74"/>
      <c r="ALC19" s="72"/>
      <c r="ALJ19" s="74"/>
      <c r="ALK19" s="72"/>
      <c r="ALR19" s="74"/>
      <c r="ALS19" s="72"/>
      <c r="ALZ19" s="74"/>
      <c r="AMA19" s="72"/>
      <c r="AMH19" s="74"/>
      <c r="AMI19" s="72"/>
      <c r="AMP19" s="74"/>
      <c r="AMQ19" s="72"/>
      <c r="AMX19" s="74"/>
      <c r="AMY19" s="72"/>
      <c r="ANF19" s="74"/>
      <c r="ANG19" s="72"/>
      <c r="ANN19" s="74"/>
      <c r="ANO19" s="72"/>
      <c r="ANV19" s="74"/>
      <c r="ANW19" s="72"/>
      <c r="AOD19" s="74"/>
      <c r="AOE19" s="72"/>
      <c r="AOL19" s="74"/>
      <c r="AOM19" s="72"/>
      <c r="AOT19" s="74"/>
      <c r="AOU19" s="72"/>
      <c r="APB19" s="74"/>
      <c r="APC19" s="72"/>
      <c r="APJ19" s="74"/>
      <c r="APK19" s="72"/>
      <c r="APR19" s="74"/>
      <c r="APS19" s="72"/>
      <c r="APZ19" s="74"/>
      <c r="AQA19" s="72"/>
      <c r="AQH19" s="74"/>
      <c r="AQI19" s="72"/>
      <c r="AQP19" s="74"/>
      <c r="AQQ19" s="72"/>
      <c r="AQX19" s="74"/>
      <c r="AQY19" s="72"/>
      <c r="ARF19" s="74"/>
      <c r="ARG19" s="72"/>
      <c r="ARN19" s="74"/>
      <c r="ARO19" s="72"/>
      <c r="ARV19" s="74"/>
      <c r="ARW19" s="72"/>
      <c r="ASD19" s="74"/>
      <c r="ASE19" s="72"/>
      <c r="ASL19" s="74"/>
      <c r="ASM19" s="72"/>
      <c r="AST19" s="74"/>
      <c r="ASU19" s="72"/>
      <c r="ATB19" s="74"/>
      <c r="ATC19" s="72"/>
      <c r="ATJ19" s="74"/>
      <c r="ATK19" s="72"/>
      <c r="ATR19" s="74"/>
      <c r="ATS19" s="72"/>
      <c r="ATZ19" s="74"/>
      <c r="AUA19" s="72"/>
      <c r="AUH19" s="74"/>
      <c r="AUI19" s="72"/>
      <c r="AUP19" s="74"/>
      <c r="AUQ19" s="72"/>
      <c r="AUX19" s="74"/>
      <c r="AUY19" s="72"/>
      <c r="AVF19" s="74"/>
      <c r="AVG19" s="72"/>
      <c r="AVN19" s="74"/>
      <c r="AVO19" s="72"/>
      <c r="AVV19" s="74"/>
      <c r="AVW19" s="72"/>
      <c r="AWD19" s="74"/>
      <c r="AWE19" s="72"/>
      <c r="AWL19" s="74"/>
      <c r="AWM19" s="72"/>
      <c r="AWT19" s="74"/>
      <c r="AWU19" s="72"/>
      <c r="AXB19" s="74"/>
      <c r="AXC19" s="72"/>
      <c r="AXJ19" s="74"/>
      <c r="AXK19" s="72"/>
      <c r="AXR19" s="74"/>
      <c r="AXS19" s="72"/>
      <c r="AXZ19" s="74"/>
      <c r="AYA19" s="72"/>
      <c r="AYH19" s="74"/>
      <c r="AYI19" s="72"/>
      <c r="AYP19" s="74"/>
      <c r="AYQ19" s="72"/>
      <c r="AYX19" s="74"/>
      <c r="AYY19" s="72"/>
      <c r="AZF19" s="74"/>
      <c r="AZG19" s="72"/>
      <c r="AZN19" s="74"/>
      <c r="AZO19" s="72"/>
      <c r="AZV19" s="74"/>
      <c r="AZW19" s="72"/>
      <c r="BAD19" s="74"/>
      <c r="BAE19" s="72"/>
      <c r="BAL19" s="74"/>
      <c r="BAM19" s="72"/>
      <c r="BAT19" s="74"/>
      <c r="BAU19" s="72"/>
      <c r="BBB19" s="74"/>
      <c r="BBC19" s="72"/>
      <c r="BBJ19" s="74"/>
      <c r="BBK19" s="72"/>
      <c r="BBR19" s="74"/>
      <c r="BBS19" s="72"/>
      <c r="BBZ19" s="74"/>
      <c r="BCA19" s="72"/>
      <c r="BCH19" s="74"/>
      <c r="BCI19" s="72"/>
      <c r="BCP19" s="74"/>
      <c r="BCQ19" s="72"/>
      <c r="BCX19" s="74"/>
      <c r="BCY19" s="72"/>
      <c r="BDF19" s="74"/>
      <c r="BDG19" s="72"/>
      <c r="BDN19" s="74"/>
      <c r="BDO19" s="72"/>
      <c r="BDV19" s="74"/>
      <c r="BDW19" s="72"/>
      <c r="BED19" s="74"/>
      <c r="BEE19" s="72"/>
      <c r="BEL19" s="74"/>
      <c r="BEM19" s="72"/>
      <c r="BET19" s="74"/>
      <c r="BEU19" s="72"/>
      <c r="BFB19" s="74"/>
      <c r="BFC19" s="72"/>
      <c r="BFJ19" s="74"/>
      <c r="BFK19" s="72"/>
      <c r="BFR19" s="74"/>
      <c r="BFS19" s="72"/>
      <c r="BFZ19" s="74"/>
      <c r="BGA19" s="72"/>
      <c r="BGH19" s="74"/>
      <c r="BGI19" s="72"/>
      <c r="BGP19" s="74"/>
      <c r="BGQ19" s="72"/>
      <c r="BGX19" s="74"/>
      <c r="BGY19" s="72"/>
      <c r="BHF19" s="74"/>
      <c r="BHG19" s="72"/>
      <c r="BHN19" s="74"/>
      <c r="BHO19" s="72"/>
      <c r="BHV19" s="74"/>
      <c r="BHW19" s="72"/>
      <c r="BID19" s="74"/>
      <c r="BIE19" s="72"/>
      <c r="BIL19" s="74"/>
      <c r="BIM19" s="72"/>
      <c r="BIT19" s="74"/>
      <c r="BIU19" s="72"/>
      <c r="BJB19" s="74"/>
      <c r="BJC19" s="72"/>
      <c r="BJJ19" s="74"/>
      <c r="BJK19" s="72"/>
      <c r="BJR19" s="74"/>
      <c r="BJS19" s="72"/>
      <c r="BJZ19" s="74"/>
      <c r="BKA19" s="72"/>
      <c r="BKH19" s="74"/>
      <c r="BKI19" s="72"/>
      <c r="BKP19" s="74"/>
      <c r="BKQ19" s="72"/>
      <c r="BKX19" s="74"/>
      <c r="BKY19" s="72"/>
      <c r="BLF19" s="74"/>
      <c r="BLG19" s="72"/>
      <c r="BLN19" s="74"/>
      <c r="BLO19" s="72"/>
      <c r="BLV19" s="74"/>
      <c r="BLW19" s="72"/>
      <c r="BMD19" s="74"/>
      <c r="BME19" s="72"/>
      <c r="BML19" s="74"/>
      <c r="BMM19" s="72"/>
      <c r="BMT19" s="74"/>
      <c r="BMU19" s="72"/>
      <c r="BNB19" s="74"/>
      <c r="BNC19" s="72"/>
      <c r="BNJ19" s="74"/>
      <c r="BNK19" s="72"/>
      <c r="BNR19" s="74"/>
      <c r="BNS19" s="72"/>
      <c r="BNZ19" s="74"/>
      <c r="BOA19" s="72"/>
      <c r="BOH19" s="74"/>
      <c r="BOI19" s="72"/>
      <c r="BOP19" s="74"/>
      <c r="BOQ19" s="72"/>
      <c r="BOX19" s="74"/>
      <c r="BOY19" s="72"/>
      <c r="BPF19" s="74"/>
      <c r="BPG19" s="72"/>
      <c r="BPN19" s="74"/>
      <c r="BPO19" s="72"/>
      <c r="BPV19" s="74"/>
      <c r="BPW19" s="72"/>
      <c r="BQD19" s="74"/>
      <c r="BQE19" s="72"/>
      <c r="BQL19" s="74"/>
      <c r="BQM19" s="72"/>
      <c r="BQT19" s="74"/>
      <c r="BQU19" s="72"/>
      <c r="BRB19" s="74"/>
      <c r="BRC19" s="72"/>
      <c r="BRJ19" s="74"/>
      <c r="BRK19" s="72"/>
      <c r="BRR19" s="74"/>
      <c r="BRS19" s="72"/>
      <c r="BRZ19" s="74"/>
      <c r="BSA19" s="72"/>
      <c r="BSH19" s="74"/>
      <c r="BSI19" s="72"/>
      <c r="BSP19" s="74"/>
      <c r="BSQ19" s="72"/>
      <c r="BSX19" s="74"/>
      <c r="BSY19" s="72"/>
      <c r="BTF19" s="74"/>
      <c r="BTG19" s="72"/>
      <c r="BTN19" s="74"/>
      <c r="BTO19" s="72"/>
      <c r="BTV19" s="74"/>
      <c r="BTW19" s="72"/>
      <c r="BUD19" s="74"/>
      <c r="BUE19" s="72"/>
      <c r="BUL19" s="74"/>
      <c r="BUM19" s="72"/>
      <c r="BUT19" s="74"/>
      <c r="BUU19" s="72"/>
      <c r="BVB19" s="74"/>
      <c r="BVC19" s="72"/>
      <c r="BVJ19" s="74"/>
      <c r="BVK19" s="72"/>
      <c r="BVR19" s="74"/>
      <c r="BVS19" s="72"/>
      <c r="BVZ19" s="74"/>
      <c r="BWA19" s="72"/>
      <c r="BWH19" s="74"/>
      <c r="BWI19" s="72"/>
      <c r="BWP19" s="74"/>
      <c r="BWQ19" s="72"/>
      <c r="BWX19" s="74"/>
      <c r="BWY19" s="72"/>
      <c r="BXF19" s="74"/>
      <c r="BXG19" s="72"/>
      <c r="BXN19" s="74"/>
      <c r="BXO19" s="72"/>
      <c r="BXV19" s="74"/>
      <c r="BXW19" s="72"/>
      <c r="BYD19" s="74"/>
      <c r="BYE19" s="72"/>
      <c r="BYL19" s="74"/>
      <c r="BYM19" s="72"/>
      <c r="BYT19" s="74"/>
      <c r="BYU19" s="72"/>
      <c r="BZB19" s="74"/>
      <c r="BZC19" s="72"/>
      <c r="BZJ19" s="74"/>
      <c r="BZK19" s="72"/>
      <c r="BZR19" s="74"/>
      <c r="BZS19" s="72"/>
      <c r="BZZ19" s="74"/>
      <c r="CAA19" s="72"/>
      <c r="CAH19" s="74"/>
      <c r="CAI19" s="72"/>
      <c r="CAP19" s="74"/>
      <c r="CAQ19" s="72"/>
      <c r="CAX19" s="74"/>
      <c r="CAY19" s="72"/>
      <c r="CBF19" s="74"/>
      <c r="CBG19" s="72"/>
      <c r="CBN19" s="74"/>
      <c r="CBO19" s="72"/>
      <c r="CBV19" s="74"/>
      <c r="CBW19" s="72"/>
      <c r="CCD19" s="74"/>
      <c r="CCE19" s="72"/>
      <c r="CCL19" s="74"/>
      <c r="CCM19" s="72"/>
      <c r="CCT19" s="74"/>
      <c r="CCU19" s="72"/>
      <c r="CDB19" s="74"/>
      <c r="CDC19" s="72"/>
      <c r="CDJ19" s="74"/>
      <c r="CDK19" s="72"/>
      <c r="CDR19" s="74"/>
      <c r="CDS19" s="72"/>
      <c r="CDZ19" s="74"/>
      <c r="CEA19" s="72"/>
      <c r="CEH19" s="74"/>
      <c r="CEI19" s="72"/>
      <c r="CEP19" s="74"/>
      <c r="CEQ19" s="72"/>
      <c r="CEX19" s="74"/>
      <c r="CEY19" s="72"/>
      <c r="CFF19" s="74"/>
      <c r="CFG19" s="72"/>
      <c r="CFN19" s="74"/>
      <c r="CFO19" s="72"/>
      <c r="CFV19" s="74"/>
      <c r="CFW19" s="72"/>
      <c r="CGD19" s="74"/>
      <c r="CGE19" s="72"/>
      <c r="CGL19" s="74"/>
      <c r="CGM19" s="72"/>
      <c r="CGT19" s="74"/>
      <c r="CGU19" s="72"/>
      <c r="CHB19" s="74"/>
      <c r="CHC19" s="72"/>
      <c r="CHJ19" s="74"/>
      <c r="CHK19" s="72"/>
      <c r="CHR19" s="74"/>
      <c r="CHS19" s="72"/>
      <c r="CHZ19" s="74"/>
      <c r="CIA19" s="72"/>
      <c r="CIH19" s="74"/>
      <c r="CII19" s="72"/>
      <c r="CIP19" s="74"/>
      <c r="CIQ19" s="72"/>
      <c r="CIX19" s="74"/>
      <c r="CIY19" s="72"/>
      <c r="CJF19" s="74"/>
      <c r="CJG19" s="72"/>
      <c r="CJN19" s="74"/>
      <c r="CJO19" s="72"/>
      <c r="CJV19" s="74"/>
      <c r="CJW19" s="72"/>
      <c r="CKD19" s="74"/>
      <c r="CKE19" s="72"/>
      <c r="CKL19" s="74"/>
      <c r="CKM19" s="72"/>
      <c r="CKT19" s="74"/>
      <c r="CKU19" s="72"/>
      <c r="CLB19" s="74"/>
      <c r="CLC19" s="72"/>
      <c r="CLJ19" s="74"/>
      <c r="CLK19" s="72"/>
      <c r="CLR19" s="74"/>
      <c r="CLS19" s="72"/>
      <c r="CLZ19" s="74"/>
      <c r="CMA19" s="72"/>
      <c r="CMH19" s="74"/>
      <c r="CMI19" s="72"/>
      <c r="CMP19" s="74"/>
      <c r="CMQ19" s="72"/>
      <c r="CMX19" s="74"/>
      <c r="CMY19" s="72"/>
      <c r="CNF19" s="74"/>
      <c r="CNG19" s="72"/>
      <c r="CNN19" s="74"/>
      <c r="CNO19" s="72"/>
      <c r="CNV19" s="74"/>
      <c r="CNW19" s="72"/>
      <c r="COD19" s="74"/>
      <c r="COE19" s="72"/>
      <c r="COL19" s="74"/>
      <c r="COM19" s="72"/>
      <c r="COT19" s="74"/>
      <c r="COU19" s="72"/>
      <c r="CPB19" s="74"/>
      <c r="CPC19" s="72"/>
      <c r="CPJ19" s="74"/>
      <c r="CPK19" s="72"/>
      <c r="CPR19" s="74"/>
      <c r="CPS19" s="72"/>
      <c r="CPZ19" s="74"/>
      <c r="CQA19" s="72"/>
      <c r="CQH19" s="74"/>
      <c r="CQI19" s="72"/>
      <c r="CQP19" s="74"/>
      <c r="CQQ19" s="72"/>
      <c r="CQX19" s="74"/>
      <c r="CQY19" s="72"/>
      <c r="CRF19" s="74"/>
      <c r="CRG19" s="72"/>
      <c r="CRN19" s="74"/>
      <c r="CRO19" s="72"/>
      <c r="CRV19" s="74"/>
      <c r="CRW19" s="72"/>
      <c r="CSD19" s="74"/>
      <c r="CSE19" s="72"/>
      <c r="CSL19" s="74"/>
      <c r="CSM19" s="72"/>
      <c r="CST19" s="74"/>
      <c r="CSU19" s="72"/>
      <c r="CTB19" s="74"/>
      <c r="CTC19" s="72"/>
      <c r="CTJ19" s="74"/>
      <c r="CTK19" s="72"/>
      <c r="CTR19" s="74"/>
      <c r="CTS19" s="72"/>
      <c r="CTZ19" s="74"/>
      <c r="CUA19" s="72"/>
      <c r="CUH19" s="74"/>
      <c r="CUI19" s="72"/>
      <c r="CUP19" s="74"/>
      <c r="CUQ19" s="72"/>
      <c r="CUX19" s="74"/>
      <c r="CUY19" s="72"/>
      <c r="CVF19" s="74"/>
      <c r="CVG19" s="72"/>
      <c r="CVN19" s="74"/>
      <c r="CVO19" s="72"/>
      <c r="CVV19" s="74"/>
      <c r="CVW19" s="72"/>
      <c r="CWD19" s="74"/>
      <c r="CWE19" s="72"/>
      <c r="CWL19" s="74"/>
      <c r="CWM19" s="72"/>
      <c r="CWT19" s="74"/>
      <c r="CWU19" s="72"/>
      <c r="CXB19" s="74"/>
      <c r="CXC19" s="72"/>
      <c r="CXJ19" s="74"/>
      <c r="CXK19" s="72"/>
      <c r="CXR19" s="74"/>
      <c r="CXS19" s="72"/>
      <c r="CXZ19" s="74"/>
      <c r="CYA19" s="72"/>
      <c r="CYH19" s="74"/>
      <c r="CYI19" s="72"/>
      <c r="CYP19" s="74"/>
      <c r="CYQ19" s="72"/>
      <c r="CYX19" s="74"/>
      <c r="CYY19" s="72"/>
      <c r="CZF19" s="74"/>
      <c r="CZG19" s="72"/>
      <c r="CZN19" s="74"/>
      <c r="CZO19" s="72"/>
      <c r="CZV19" s="74"/>
      <c r="CZW19" s="72"/>
      <c r="DAD19" s="74"/>
      <c r="DAE19" s="72"/>
      <c r="DAL19" s="74"/>
      <c r="DAM19" s="72"/>
      <c r="DAT19" s="74"/>
      <c r="DAU19" s="72"/>
      <c r="DBB19" s="74"/>
      <c r="DBC19" s="72"/>
      <c r="DBJ19" s="74"/>
      <c r="DBK19" s="72"/>
      <c r="DBR19" s="74"/>
      <c r="DBS19" s="72"/>
      <c r="DBZ19" s="74"/>
      <c r="DCA19" s="72"/>
      <c r="DCH19" s="74"/>
      <c r="DCI19" s="72"/>
      <c r="DCP19" s="74"/>
      <c r="DCQ19" s="72"/>
      <c r="DCX19" s="74"/>
      <c r="DCY19" s="72"/>
      <c r="DDF19" s="74"/>
      <c r="DDG19" s="72"/>
      <c r="DDN19" s="74"/>
      <c r="DDO19" s="72"/>
      <c r="DDV19" s="74"/>
      <c r="DDW19" s="72"/>
      <c r="DED19" s="74"/>
      <c r="DEE19" s="72"/>
      <c r="DEL19" s="74"/>
      <c r="DEM19" s="72"/>
      <c r="DET19" s="74"/>
      <c r="DEU19" s="72"/>
      <c r="DFB19" s="74"/>
      <c r="DFC19" s="72"/>
      <c r="DFJ19" s="74"/>
      <c r="DFK19" s="72"/>
      <c r="DFR19" s="74"/>
      <c r="DFS19" s="72"/>
      <c r="DFZ19" s="74"/>
      <c r="DGA19" s="72"/>
      <c r="DGH19" s="74"/>
      <c r="DGI19" s="72"/>
      <c r="DGP19" s="74"/>
      <c r="DGQ19" s="72"/>
      <c r="DGX19" s="74"/>
      <c r="DGY19" s="72"/>
      <c r="DHF19" s="74"/>
      <c r="DHG19" s="72"/>
      <c r="DHN19" s="74"/>
      <c r="DHO19" s="72"/>
      <c r="DHV19" s="74"/>
      <c r="DHW19" s="72"/>
      <c r="DID19" s="74"/>
      <c r="DIE19" s="72"/>
      <c r="DIL19" s="74"/>
      <c r="DIM19" s="72"/>
      <c r="DIT19" s="74"/>
      <c r="DIU19" s="72"/>
      <c r="DJB19" s="74"/>
      <c r="DJC19" s="72"/>
      <c r="DJJ19" s="74"/>
      <c r="DJK19" s="72"/>
      <c r="DJR19" s="74"/>
      <c r="DJS19" s="72"/>
      <c r="DJZ19" s="74"/>
      <c r="DKA19" s="72"/>
      <c r="DKH19" s="74"/>
      <c r="DKI19" s="72"/>
      <c r="DKP19" s="74"/>
      <c r="DKQ19" s="72"/>
      <c r="DKX19" s="74"/>
      <c r="DKY19" s="72"/>
      <c r="DLF19" s="74"/>
      <c r="DLG19" s="72"/>
      <c r="DLN19" s="74"/>
      <c r="DLO19" s="72"/>
      <c r="DLV19" s="74"/>
      <c r="DLW19" s="72"/>
      <c r="DMD19" s="74"/>
      <c r="DME19" s="72"/>
      <c r="DML19" s="74"/>
      <c r="DMM19" s="72"/>
      <c r="DMT19" s="74"/>
      <c r="DMU19" s="72"/>
      <c r="DNB19" s="74"/>
      <c r="DNC19" s="72"/>
      <c r="DNJ19" s="74"/>
      <c r="DNK19" s="72"/>
      <c r="DNR19" s="74"/>
      <c r="DNS19" s="72"/>
      <c r="DNZ19" s="74"/>
      <c r="DOA19" s="72"/>
      <c r="DOH19" s="74"/>
      <c r="DOI19" s="72"/>
      <c r="DOP19" s="74"/>
      <c r="DOQ19" s="72"/>
      <c r="DOX19" s="74"/>
      <c r="DOY19" s="72"/>
      <c r="DPF19" s="74"/>
      <c r="DPG19" s="72"/>
      <c r="DPN19" s="74"/>
      <c r="DPO19" s="72"/>
      <c r="DPV19" s="74"/>
      <c r="DPW19" s="72"/>
      <c r="DQD19" s="74"/>
      <c r="DQE19" s="72"/>
      <c r="DQL19" s="74"/>
      <c r="DQM19" s="72"/>
      <c r="DQT19" s="74"/>
      <c r="DQU19" s="72"/>
      <c r="DRB19" s="74"/>
      <c r="DRC19" s="72"/>
      <c r="DRJ19" s="74"/>
      <c r="DRK19" s="72"/>
      <c r="DRR19" s="74"/>
      <c r="DRS19" s="72"/>
      <c r="DRZ19" s="74"/>
      <c r="DSA19" s="72"/>
      <c r="DSH19" s="74"/>
      <c r="DSI19" s="72"/>
      <c r="DSP19" s="74"/>
      <c r="DSQ19" s="72"/>
      <c r="DSX19" s="74"/>
      <c r="DSY19" s="72"/>
      <c r="DTF19" s="74"/>
      <c r="DTG19" s="72"/>
      <c r="DTN19" s="74"/>
      <c r="DTO19" s="72"/>
      <c r="DTV19" s="74"/>
      <c r="DTW19" s="72"/>
      <c r="DUD19" s="74"/>
      <c r="DUE19" s="72"/>
      <c r="DUL19" s="74"/>
      <c r="DUM19" s="72"/>
      <c r="DUT19" s="74"/>
      <c r="DUU19" s="72"/>
      <c r="DVB19" s="74"/>
      <c r="DVC19" s="72"/>
      <c r="DVJ19" s="74"/>
      <c r="DVK19" s="72"/>
      <c r="DVR19" s="74"/>
      <c r="DVS19" s="72"/>
      <c r="DVZ19" s="74"/>
      <c r="DWA19" s="72"/>
      <c r="DWH19" s="74"/>
      <c r="DWI19" s="72"/>
      <c r="DWP19" s="74"/>
      <c r="DWQ19" s="72"/>
      <c r="DWX19" s="74"/>
      <c r="DWY19" s="72"/>
      <c r="DXF19" s="74"/>
      <c r="DXG19" s="72"/>
      <c r="DXN19" s="74"/>
      <c r="DXO19" s="72"/>
      <c r="DXV19" s="74"/>
      <c r="DXW19" s="72"/>
      <c r="DYD19" s="74"/>
      <c r="DYE19" s="72"/>
      <c r="DYL19" s="74"/>
      <c r="DYM19" s="72"/>
      <c r="DYT19" s="74"/>
      <c r="DYU19" s="72"/>
      <c r="DZB19" s="74"/>
      <c r="DZC19" s="72"/>
      <c r="DZJ19" s="74"/>
      <c r="DZK19" s="72"/>
      <c r="DZR19" s="74"/>
      <c r="DZS19" s="72"/>
      <c r="DZZ19" s="74"/>
      <c r="EAA19" s="72"/>
      <c r="EAH19" s="74"/>
      <c r="EAI19" s="72"/>
      <c r="EAP19" s="74"/>
      <c r="EAQ19" s="72"/>
      <c r="EAX19" s="74"/>
      <c r="EAY19" s="72"/>
      <c r="EBF19" s="74"/>
      <c r="EBG19" s="72"/>
      <c r="EBN19" s="74"/>
      <c r="EBO19" s="72"/>
      <c r="EBV19" s="74"/>
      <c r="EBW19" s="72"/>
      <c r="ECD19" s="74"/>
      <c r="ECE19" s="72"/>
      <c r="ECL19" s="74"/>
      <c r="ECM19" s="72"/>
      <c r="ECT19" s="74"/>
      <c r="ECU19" s="72"/>
      <c r="EDB19" s="74"/>
      <c r="EDC19" s="72"/>
      <c r="EDJ19" s="74"/>
      <c r="EDK19" s="72"/>
      <c r="EDR19" s="74"/>
      <c r="EDS19" s="72"/>
      <c r="EDZ19" s="74"/>
      <c r="EEA19" s="72"/>
      <c r="EEH19" s="74"/>
      <c r="EEI19" s="72"/>
      <c r="EEP19" s="74"/>
      <c r="EEQ19" s="72"/>
      <c r="EEX19" s="74"/>
      <c r="EEY19" s="72"/>
      <c r="EFF19" s="74"/>
      <c r="EFG19" s="72"/>
      <c r="EFN19" s="74"/>
      <c r="EFO19" s="72"/>
      <c r="EFV19" s="74"/>
      <c r="EFW19" s="72"/>
      <c r="EGD19" s="74"/>
      <c r="EGE19" s="72"/>
      <c r="EGL19" s="74"/>
      <c r="EGM19" s="72"/>
      <c r="EGT19" s="74"/>
      <c r="EGU19" s="72"/>
      <c r="EHB19" s="74"/>
      <c r="EHC19" s="72"/>
      <c r="EHJ19" s="74"/>
      <c r="EHK19" s="72"/>
      <c r="EHR19" s="74"/>
      <c r="EHS19" s="72"/>
      <c r="EHZ19" s="74"/>
      <c r="EIA19" s="72"/>
      <c r="EIH19" s="74"/>
      <c r="EII19" s="72"/>
      <c r="EIP19" s="74"/>
      <c r="EIQ19" s="72"/>
      <c r="EIX19" s="74"/>
      <c r="EIY19" s="72"/>
      <c r="EJF19" s="74"/>
      <c r="EJG19" s="72"/>
      <c r="EJN19" s="74"/>
      <c r="EJO19" s="72"/>
      <c r="EJV19" s="74"/>
      <c r="EJW19" s="72"/>
      <c r="EKD19" s="74"/>
      <c r="EKE19" s="72"/>
      <c r="EKL19" s="74"/>
      <c r="EKM19" s="72"/>
      <c r="EKT19" s="74"/>
      <c r="EKU19" s="72"/>
      <c r="ELB19" s="74"/>
      <c r="ELC19" s="72"/>
      <c r="ELJ19" s="74"/>
      <c r="ELK19" s="72"/>
      <c r="ELR19" s="74"/>
      <c r="ELS19" s="72"/>
      <c r="ELZ19" s="74"/>
      <c r="EMA19" s="72"/>
      <c r="EMH19" s="74"/>
      <c r="EMI19" s="72"/>
      <c r="EMP19" s="74"/>
      <c r="EMQ19" s="72"/>
      <c r="EMX19" s="74"/>
      <c r="EMY19" s="72"/>
      <c r="ENF19" s="74"/>
      <c r="ENG19" s="72"/>
      <c r="ENN19" s="74"/>
      <c r="ENO19" s="72"/>
      <c r="ENV19" s="74"/>
      <c r="ENW19" s="72"/>
      <c r="EOD19" s="74"/>
      <c r="EOE19" s="72"/>
      <c r="EOL19" s="74"/>
      <c r="EOM19" s="72"/>
      <c r="EOT19" s="74"/>
      <c r="EOU19" s="72"/>
      <c r="EPB19" s="74"/>
      <c r="EPC19" s="72"/>
      <c r="EPJ19" s="74"/>
      <c r="EPK19" s="72"/>
      <c r="EPR19" s="74"/>
      <c r="EPS19" s="72"/>
      <c r="EPZ19" s="74"/>
      <c r="EQA19" s="72"/>
      <c r="EQH19" s="74"/>
      <c r="EQI19" s="72"/>
      <c r="EQP19" s="74"/>
      <c r="EQQ19" s="72"/>
      <c r="EQX19" s="74"/>
      <c r="EQY19" s="72"/>
      <c r="ERF19" s="74"/>
      <c r="ERG19" s="72"/>
      <c r="ERN19" s="74"/>
      <c r="ERO19" s="72"/>
      <c r="ERV19" s="74"/>
      <c r="ERW19" s="72"/>
      <c r="ESD19" s="74"/>
      <c r="ESE19" s="72"/>
      <c r="ESL19" s="74"/>
      <c r="ESM19" s="72"/>
      <c r="EST19" s="74"/>
      <c r="ESU19" s="72"/>
      <c r="ETB19" s="74"/>
      <c r="ETC19" s="72"/>
      <c r="ETJ19" s="74"/>
      <c r="ETK19" s="72"/>
      <c r="ETR19" s="74"/>
      <c r="ETS19" s="72"/>
      <c r="ETZ19" s="74"/>
      <c r="EUA19" s="72"/>
      <c r="EUH19" s="74"/>
      <c r="EUI19" s="72"/>
      <c r="EUP19" s="74"/>
      <c r="EUQ19" s="72"/>
      <c r="EUX19" s="74"/>
      <c r="EUY19" s="72"/>
      <c r="EVF19" s="74"/>
      <c r="EVG19" s="72"/>
      <c r="EVN19" s="74"/>
      <c r="EVO19" s="72"/>
      <c r="EVV19" s="74"/>
      <c r="EVW19" s="72"/>
      <c r="EWD19" s="74"/>
      <c r="EWE19" s="72"/>
      <c r="EWL19" s="74"/>
      <c r="EWM19" s="72"/>
      <c r="EWT19" s="74"/>
      <c r="EWU19" s="72"/>
      <c r="EXB19" s="74"/>
      <c r="EXC19" s="72"/>
      <c r="EXJ19" s="74"/>
      <c r="EXK19" s="72"/>
      <c r="EXR19" s="74"/>
      <c r="EXS19" s="72"/>
      <c r="EXZ19" s="74"/>
      <c r="EYA19" s="72"/>
      <c r="EYH19" s="74"/>
      <c r="EYI19" s="72"/>
      <c r="EYP19" s="74"/>
      <c r="EYQ19" s="72"/>
      <c r="EYX19" s="74"/>
      <c r="EYY19" s="72"/>
      <c r="EZF19" s="74"/>
      <c r="EZG19" s="72"/>
      <c r="EZN19" s="74"/>
      <c r="EZO19" s="72"/>
      <c r="EZV19" s="74"/>
      <c r="EZW19" s="72"/>
      <c r="FAD19" s="74"/>
      <c r="FAE19" s="72"/>
      <c r="FAL19" s="74"/>
      <c r="FAM19" s="72"/>
      <c r="FAT19" s="74"/>
      <c r="FAU19" s="72"/>
      <c r="FBB19" s="74"/>
      <c r="FBC19" s="72"/>
      <c r="FBJ19" s="74"/>
      <c r="FBK19" s="72"/>
      <c r="FBR19" s="74"/>
      <c r="FBS19" s="72"/>
      <c r="FBZ19" s="74"/>
      <c r="FCA19" s="72"/>
      <c r="FCH19" s="74"/>
      <c r="FCI19" s="72"/>
      <c r="FCP19" s="74"/>
      <c r="FCQ19" s="72"/>
      <c r="FCX19" s="74"/>
      <c r="FCY19" s="72"/>
      <c r="FDF19" s="74"/>
      <c r="FDG19" s="72"/>
      <c r="FDN19" s="74"/>
      <c r="FDO19" s="72"/>
      <c r="FDV19" s="74"/>
      <c r="FDW19" s="72"/>
      <c r="FED19" s="74"/>
      <c r="FEE19" s="72"/>
      <c r="FEL19" s="74"/>
      <c r="FEM19" s="72"/>
      <c r="FET19" s="74"/>
      <c r="FEU19" s="72"/>
      <c r="FFB19" s="74"/>
      <c r="FFC19" s="72"/>
      <c r="FFJ19" s="74"/>
      <c r="FFK19" s="72"/>
      <c r="FFR19" s="74"/>
      <c r="FFS19" s="72"/>
      <c r="FFZ19" s="74"/>
      <c r="FGA19" s="72"/>
      <c r="FGH19" s="74"/>
      <c r="FGI19" s="72"/>
      <c r="FGP19" s="74"/>
      <c r="FGQ19" s="72"/>
      <c r="FGX19" s="74"/>
      <c r="FGY19" s="72"/>
      <c r="FHF19" s="74"/>
      <c r="FHG19" s="72"/>
      <c r="FHN19" s="74"/>
      <c r="FHO19" s="72"/>
      <c r="FHV19" s="74"/>
      <c r="FHW19" s="72"/>
      <c r="FID19" s="74"/>
      <c r="FIE19" s="72"/>
      <c r="FIL19" s="74"/>
      <c r="FIM19" s="72"/>
      <c r="FIT19" s="74"/>
      <c r="FIU19" s="72"/>
      <c r="FJB19" s="74"/>
      <c r="FJC19" s="72"/>
      <c r="FJJ19" s="74"/>
      <c r="FJK19" s="72"/>
      <c r="FJR19" s="74"/>
      <c r="FJS19" s="72"/>
      <c r="FJZ19" s="74"/>
      <c r="FKA19" s="72"/>
      <c r="FKH19" s="74"/>
      <c r="FKI19" s="72"/>
      <c r="FKP19" s="74"/>
      <c r="FKQ19" s="72"/>
      <c r="FKX19" s="74"/>
      <c r="FKY19" s="72"/>
      <c r="FLF19" s="74"/>
      <c r="FLG19" s="72"/>
      <c r="FLN19" s="74"/>
      <c r="FLO19" s="72"/>
      <c r="FLV19" s="74"/>
      <c r="FLW19" s="72"/>
      <c r="FMD19" s="74"/>
      <c r="FME19" s="72"/>
      <c r="FML19" s="74"/>
      <c r="FMM19" s="72"/>
      <c r="FMT19" s="74"/>
      <c r="FMU19" s="72"/>
      <c r="FNB19" s="74"/>
      <c r="FNC19" s="72"/>
      <c r="FNJ19" s="74"/>
      <c r="FNK19" s="72"/>
      <c r="FNR19" s="74"/>
      <c r="FNS19" s="72"/>
      <c r="FNZ19" s="74"/>
      <c r="FOA19" s="72"/>
      <c r="FOH19" s="74"/>
      <c r="FOI19" s="72"/>
      <c r="FOP19" s="74"/>
      <c r="FOQ19" s="72"/>
      <c r="FOX19" s="74"/>
      <c r="FOY19" s="72"/>
      <c r="FPF19" s="74"/>
      <c r="FPG19" s="72"/>
      <c r="FPN19" s="74"/>
      <c r="FPO19" s="72"/>
      <c r="FPV19" s="74"/>
      <c r="FPW19" s="72"/>
      <c r="FQD19" s="74"/>
      <c r="FQE19" s="72"/>
      <c r="FQL19" s="74"/>
      <c r="FQM19" s="72"/>
      <c r="FQT19" s="74"/>
      <c r="FQU19" s="72"/>
      <c r="FRB19" s="74"/>
      <c r="FRC19" s="72"/>
      <c r="FRJ19" s="74"/>
      <c r="FRK19" s="72"/>
      <c r="FRR19" s="74"/>
      <c r="FRS19" s="72"/>
      <c r="FRZ19" s="74"/>
      <c r="FSA19" s="72"/>
      <c r="FSH19" s="74"/>
      <c r="FSI19" s="72"/>
      <c r="FSP19" s="74"/>
      <c r="FSQ19" s="72"/>
      <c r="FSX19" s="74"/>
      <c r="FSY19" s="72"/>
      <c r="FTF19" s="74"/>
      <c r="FTG19" s="72"/>
      <c r="FTN19" s="74"/>
      <c r="FTO19" s="72"/>
      <c r="FTV19" s="74"/>
      <c r="FTW19" s="72"/>
      <c r="FUD19" s="74"/>
      <c r="FUE19" s="72"/>
      <c r="FUL19" s="74"/>
      <c r="FUM19" s="72"/>
      <c r="FUT19" s="74"/>
      <c r="FUU19" s="72"/>
      <c r="FVB19" s="74"/>
      <c r="FVC19" s="72"/>
      <c r="FVJ19" s="74"/>
      <c r="FVK19" s="72"/>
      <c r="FVR19" s="74"/>
      <c r="FVS19" s="72"/>
      <c r="FVZ19" s="74"/>
      <c r="FWA19" s="72"/>
      <c r="FWH19" s="74"/>
      <c r="FWI19" s="72"/>
      <c r="FWP19" s="74"/>
      <c r="FWQ19" s="72"/>
      <c r="FWX19" s="74"/>
      <c r="FWY19" s="72"/>
      <c r="FXF19" s="74"/>
      <c r="FXG19" s="72"/>
      <c r="FXN19" s="74"/>
      <c r="FXO19" s="72"/>
      <c r="FXV19" s="74"/>
      <c r="FXW19" s="72"/>
      <c r="FYD19" s="74"/>
      <c r="FYE19" s="72"/>
      <c r="FYL19" s="74"/>
      <c r="FYM19" s="72"/>
      <c r="FYT19" s="74"/>
      <c r="FYU19" s="72"/>
      <c r="FZB19" s="74"/>
      <c r="FZC19" s="72"/>
      <c r="FZJ19" s="74"/>
      <c r="FZK19" s="72"/>
      <c r="FZR19" s="74"/>
      <c r="FZS19" s="72"/>
      <c r="FZZ19" s="74"/>
      <c r="GAA19" s="72"/>
      <c r="GAH19" s="74"/>
      <c r="GAI19" s="72"/>
      <c r="GAP19" s="74"/>
      <c r="GAQ19" s="72"/>
      <c r="GAX19" s="74"/>
      <c r="GAY19" s="72"/>
      <c r="GBF19" s="74"/>
      <c r="GBG19" s="72"/>
      <c r="GBN19" s="74"/>
      <c r="GBO19" s="72"/>
      <c r="GBV19" s="74"/>
      <c r="GBW19" s="72"/>
      <c r="GCD19" s="74"/>
      <c r="GCE19" s="72"/>
      <c r="GCL19" s="74"/>
      <c r="GCM19" s="72"/>
      <c r="GCT19" s="74"/>
      <c r="GCU19" s="72"/>
      <c r="GDB19" s="74"/>
      <c r="GDC19" s="72"/>
      <c r="GDJ19" s="74"/>
      <c r="GDK19" s="72"/>
      <c r="GDR19" s="74"/>
      <c r="GDS19" s="72"/>
      <c r="GDZ19" s="74"/>
      <c r="GEA19" s="72"/>
      <c r="GEH19" s="74"/>
      <c r="GEI19" s="72"/>
      <c r="GEP19" s="74"/>
      <c r="GEQ19" s="72"/>
      <c r="GEX19" s="74"/>
      <c r="GEY19" s="72"/>
      <c r="GFF19" s="74"/>
      <c r="GFG19" s="72"/>
      <c r="GFN19" s="74"/>
      <c r="GFO19" s="72"/>
      <c r="GFV19" s="74"/>
      <c r="GFW19" s="72"/>
      <c r="GGD19" s="74"/>
      <c r="GGE19" s="72"/>
      <c r="GGL19" s="74"/>
      <c r="GGM19" s="72"/>
      <c r="GGT19" s="74"/>
      <c r="GGU19" s="72"/>
      <c r="GHB19" s="74"/>
      <c r="GHC19" s="72"/>
      <c r="GHJ19" s="74"/>
      <c r="GHK19" s="72"/>
      <c r="GHR19" s="74"/>
      <c r="GHS19" s="72"/>
      <c r="GHZ19" s="74"/>
      <c r="GIA19" s="72"/>
      <c r="GIH19" s="74"/>
      <c r="GII19" s="72"/>
      <c r="GIP19" s="74"/>
      <c r="GIQ19" s="72"/>
      <c r="GIX19" s="74"/>
      <c r="GIY19" s="72"/>
      <c r="GJF19" s="74"/>
      <c r="GJG19" s="72"/>
      <c r="GJN19" s="74"/>
      <c r="GJO19" s="72"/>
      <c r="GJV19" s="74"/>
      <c r="GJW19" s="72"/>
      <c r="GKD19" s="74"/>
      <c r="GKE19" s="72"/>
      <c r="GKL19" s="74"/>
      <c r="GKM19" s="72"/>
      <c r="GKT19" s="74"/>
      <c r="GKU19" s="72"/>
      <c r="GLB19" s="74"/>
      <c r="GLC19" s="72"/>
      <c r="GLJ19" s="74"/>
      <c r="GLK19" s="72"/>
      <c r="GLR19" s="74"/>
      <c r="GLS19" s="72"/>
      <c r="GLZ19" s="74"/>
      <c r="GMA19" s="72"/>
      <c r="GMH19" s="74"/>
      <c r="GMI19" s="72"/>
      <c r="GMP19" s="74"/>
      <c r="GMQ19" s="72"/>
      <c r="GMX19" s="74"/>
      <c r="GMY19" s="72"/>
      <c r="GNF19" s="74"/>
      <c r="GNG19" s="72"/>
      <c r="GNN19" s="74"/>
      <c r="GNO19" s="72"/>
      <c r="GNV19" s="74"/>
      <c r="GNW19" s="72"/>
      <c r="GOD19" s="74"/>
      <c r="GOE19" s="72"/>
      <c r="GOL19" s="74"/>
      <c r="GOM19" s="72"/>
      <c r="GOT19" s="74"/>
      <c r="GOU19" s="72"/>
      <c r="GPB19" s="74"/>
      <c r="GPC19" s="72"/>
      <c r="GPJ19" s="74"/>
      <c r="GPK19" s="72"/>
      <c r="GPR19" s="74"/>
      <c r="GPS19" s="72"/>
      <c r="GPZ19" s="74"/>
      <c r="GQA19" s="72"/>
      <c r="GQH19" s="74"/>
      <c r="GQI19" s="72"/>
      <c r="GQP19" s="74"/>
      <c r="GQQ19" s="72"/>
      <c r="GQX19" s="74"/>
      <c r="GQY19" s="72"/>
      <c r="GRF19" s="74"/>
      <c r="GRG19" s="72"/>
      <c r="GRN19" s="74"/>
      <c r="GRO19" s="72"/>
      <c r="GRV19" s="74"/>
      <c r="GRW19" s="72"/>
      <c r="GSD19" s="74"/>
      <c r="GSE19" s="72"/>
      <c r="GSL19" s="74"/>
      <c r="GSM19" s="72"/>
      <c r="GST19" s="74"/>
      <c r="GSU19" s="72"/>
      <c r="GTB19" s="74"/>
      <c r="GTC19" s="72"/>
      <c r="GTJ19" s="74"/>
      <c r="GTK19" s="72"/>
      <c r="GTR19" s="74"/>
      <c r="GTS19" s="72"/>
      <c r="GTZ19" s="74"/>
      <c r="GUA19" s="72"/>
      <c r="GUH19" s="74"/>
      <c r="GUI19" s="72"/>
      <c r="GUP19" s="74"/>
      <c r="GUQ19" s="72"/>
      <c r="GUX19" s="74"/>
      <c r="GUY19" s="72"/>
      <c r="GVF19" s="74"/>
      <c r="GVG19" s="72"/>
      <c r="GVN19" s="74"/>
      <c r="GVO19" s="72"/>
      <c r="GVV19" s="74"/>
      <c r="GVW19" s="72"/>
      <c r="GWD19" s="74"/>
      <c r="GWE19" s="72"/>
      <c r="GWL19" s="74"/>
      <c r="GWM19" s="72"/>
      <c r="GWT19" s="74"/>
      <c r="GWU19" s="72"/>
      <c r="GXB19" s="74"/>
      <c r="GXC19" s="72"/>
      <c r="GXJ19" s="74"/>
      <c r="GXK19" s="72"/>
      <c r="GXR19" s="74"/>
      <c r="GXS19" s="72"/>
      <c r="GXZ19" s="74"/>
      <c r="GYA19" s="72"/>
      <c r="GYH19" s="74"/>
      <c r="GYI19" s="72"/>
      <c r="GYP19" s="74"/>
      <c r="GYQ19" s="72"/>
      <c r="GYX19" s="74"/>
      <c r="GYY19" s="72"/>
      <c r="GZF19" s="74"/>
      <c r="GZG19" s="72"/>
      <c r="GZN19" s="74"/>
      <c r="GZO19" s="72"/>
      <c r="GZV19" s="74"/>
      <c r="GZW19" s="72"/>
      <c r="HAD19" s="74"/>
      <c r="HAE19" s="72"/>
      <c r="HAL19" s="74"/>
      <c r="HAM19" s="72"/>
      <c r="HAT19" s="74"/>
      <c r="HAU19" s="72"/>
      <c r="HBB19" s="74"/>
      <c r="HBC19" s="72"/>
      <c r="HBJ19" s="74"/>
      <c r="HBK19" s="72"/>
      <c r="HBR19" s="74"/>
      <c r="HBS19" s="72"/>
      <c r="HBZ19" s="74"/>
      <c r="HCA19" s="72"/>
      <c r="HCH19" s="74"/>
      <c r="HCI19" s="72"/>
      <c r="HCP19" s="74"/>
      <c r="HCQ19" s="72"/>
      <c r="HCX19" s="74"/>
      <c r="HCY19" s="72"/>
      <c r="HDF19" s="74"/>
      <c r="HDG19" s="72"/>
      <c r="HDN19" s="74"/>
      <c r="HDO19" s="72"/>
      <c r="HDV19" s="74"/>
      <c r="HDW19" s="72"/>
      <c r="HED19" s="74"/>
      <c r="HEE19" s="72"/>
      <c r="HEL19" s="74"/>
      <c r="HEM19" s="72"/>
      <c r="HET19" s="74"/>
      <c r="HEU19" s="72"/>
      <c r="HFB19" s="74"/>
      <c r="HFC19" s="72"/>
      <c r="HFJ19" s="74"/>
      <c r="HFK19" s="72"/>
      <c r="HFR19" s="74"/>
      <c r="HFS19" s="72"/>
      <c r="HFZ19" s="74"/>
      <c r="HGA19" s="72"/>
      <c r="HGH19" s="74"/>
      <c r="HGI19" s="72"/>
      <c r="HGP19" s="74"/>
      <c r="HGQ19" s="72"/>
      <c r="HGX19" s="74"/>
      <c r="HGY19" s="72"/>
      <c r="HHF19" s="74"/>
      <c r="HHG19" s="72"/>
      <c r="HHN19" s="74"/>
      <c r="HHO19" s="72"/>
      <c r="HHV19" s="74"/>
      <c r="HHW19" s="72"/>
      <c r="HID19" s="74"/>
      <c r="HIE19" s="72"/>
      <c r="HIL19" s="74"/>
      <c r="HIM19" s="72"/>
      <c r="HIT19" s="74"/>
      <c r="HIU19" s="72"/>
      <c r="HJB19" s="74"/>
      <c r="HJC19" s="72"/>
      <c r="HJJ19" s="74"/>
      <c r="HJK19" s="72"/>
      <c r="HJR19" s="74"/>
      <c r="HJS19" s="72"/>
      <c r="HJZ19" s="74"/>
      <c r="HKA19" s="72"/>
      <c r="HKH19" s="74"/>
      <c r="HKI19" s="72"/>
      <c r="HKP19" s="74"/>
      <c r="HKQ19" s="72"/>
      <c r="HKX19" s="74"/>
      <c r="HKY19" s="72"/>
      <c r="HLF19" s="74"/>
      <c r="HLG19" s="72"/>
      <c r="HLN19" s="74"/>
      <c r="HLO19" s="72"/>
      <c r="HLV19" s="74"/>
      <c r="HLW19" s="72"/>
      <c r="HMD19" s="74"/>
      <c r="HME19" s="72"/>
      <c r="HML19" s="74"/>
      <c r="HMM19" s="72"/>
      <c r="HMT19" s="74"/>
      <c r="HMU19" s="72"/>
      <c r="HNB19" s="74"/>
      <c r="HNC19" s="72"/>
      <c r="HNJ19" s="74"/>
      <c r="HNK19" s="72"/>
      <c r="HNR19" s="74"/>
      <c r="HNS19" s="72"/>
      <c r="HNZ19" s="74"/>
      <c r="HOA19" s="72"/>
      <c r="HOH19" s="74"/>
      <c r="HOI19" s="72"/>
      <c r="HOP19" s="74"/>
      <c r="HOQ19" s="72"/>
      <c r="HOX19" s="74"/>
      <c r="HOY19" s="72"/>
      <c r="HPF19" s="74"/>
      <c r="HPG19" s="72"/>
      <c r="HPN19" s="74"/>
      <c r="HPO19" s="72"/>
      <c r="HPV19" s="74"/>
      <c r="HPW19" s="72"/>
      <c r="HQD19" s="74"/>
      <c r="HQE19" s="72"/>
      <c r="HQL19" s="74"/>
      <c r="HQM19" s="72"/>
      <c r="HQT19" s="74"/>
      <c r="HQU19" s="72"/>
      <c r="HRB19" s="74"/>
      <c r="HRC19" s="72"/>
      <c r="HRJ19" s="74"/>
      <c r="HRK19" s="72"/>
      <c r="HRR19" s="74"/>
      <c r="HRS19" s="72"/>
      <c r="HRZ19" s="74"/>
      <c r="HSA19" s="72"/>
      <c r="HSH19" s="74"/>
      <c r="HSI19" s="72"/>
      <c r="HSP19" s="74"/>
      <c r="HSQ19" s="72"/>
      <c r="HSX19" s="74"/>
      <c r="HSY19" s="72"/>
      <c r="HTF19" s="74"/>
      <c r="HTG19" s="72"/>
      <c r="HTN19" s="74"/>
      <c r="HTO19" s="72"/>
      <c r="HTV19" s="74"/>
      <c r="HTW19" s="72"/>
      <c r="HUD19" s="74"/>
      <c r="HUE19" s="72"/>
      <c r="HUL19" s="74"/>
      <c r="HUM19" s="72"/>
      <c r="HUT19" s="74"/>
      <c r="HUU19" s="72"/>
      <c r="HVB19" s="74"/>
      <c r="HVC19" s="72"/>
      <c r="HVJ19" s="74"/>
      <c r="HVK19" s="72"/>
      <c r="HVR19" s="74"/>
      <c r="HVS19" s="72"/>
      <c r="HVZ19" s="74"/>
      <c r="HWA19" s="72"/>
      <c r="HWH19" s="74"/>
      <c r="HWI19" s="72"/>
      <c r="HWP19" s="74"/>
      <c r="HWQ19" s="72"/>
      <c r="HWX19" s="74"/>
      <c r="HWY19" s="72"/>
      <c r="HXF19" s="74"/>
      <c r="HXG19" s="72"/>
      <c r="HXN19" s="74"/>
      <c r="HXO19" s="72"/>
      <c r="HXV19" s="74"/>
      <c r="HXW19" s="72"/>
      <c r="HYD19" s="74"/>
      <c r="HYE19" s="72"/>
      <c r="HYL19" s="74"/>
      <c r="HYM19" s="72"/>
      <c r="HYT19" s="74"/>
      <c r="HYU19" s="72"/>
      <c r="HZB19" s="74"/>
      <c r="HZC19" s="72"/>
      <c r="HZJ19" s="74"/>
      <c r="HZK19" s="72"/>
      <c r="HZR19" s="74"/>
      <c r="HZS19" s="72"/>
      <c r="HZZ19" s="74"/>
      <c r="IAA19" s="72"/>
      <c r="IAH19" s="74"/>
      <c r="IAI19" s="72"/>
      <c r="IAP19" s="74"/>
      <c r="IAQ19" s="72"/>
      <c r="IAX19" s="74"/>
      <c r="IAY19" s="72"/>
      <c r="IBF19" s="74"/>
      <c r="IBG19" s="72"/>
      <c r="IBN19" s="74"/>
      <c r="IBO19" s="72"/>
      <c r="IBV19" s="74"/>
      <c r="IBW19" s="72"/>
      <c r="ICD19" s="74"/>
      <c r="ICE19" s="72"/>
      <c r="ICL19" s="74"/>
      <c r="ICM19" s="72"/>
      <c r="ICT19" s="74"/>
      <c r="ICU19" s="72"/>
      <c r="IDB19" s="74"/>
      <c r="IDC19" s="72"/>
      <c r="IDJ19" s="74"/>
      <c r="IDK19" s="72"/>
      <c r="IDR19" s="74"/>
      <c r="IDS19" s="72"/>
      <c r="IDZ19" s="74"/>
      <c r="IEA19" s="72"/>
      <c r="IEH19" s="74"/>
      <c r="IEI19" s="72"/>
      <c r="IEP19" s="74"/>
      <c r="IEQ19" s="72"/>
      <c r="IEX19" s="74"/>
      <c r="IEY19" s="72"/>
      <c r="IFF19" s="74"/>
      <c r="IFG19" s="72"/>
      <c r="IFN19" s="74"/>
      <c r="IFO19" s="72"/>
      <c r="IFV19" s="74"/>
      <c r="IFW19" s="72"/>
      <c r="IGD19" s="74"/>
      <c r="IGE19" s="72"/>
      <c r="IGL19" s="74"/>
      <c r="IGM19" s="72"/>
      <c r="IGT19" s="74"/>
      <c r="IGU19" s="72"/>
      <c r="IHB19" s="74"/>
      <c r="IHC19" s="72"/>
      <c r="IHJ19" s="74"/>
      <c r="IHK19" s="72"/>
      <c r="IHR19" s="74"/>
      <c r="IHS19" s="72"/>
      <c r="IHZ19" s="74"/>
      <c r="IIA19" s="72"/>
      <c r="IIH19" s="74"/>
      <c r="III19" s="72"/>
      <c r="IIP19" s="74"/>
      <c r="IIQ19" s="72"/>
      <c r="IIX19" s="74"/>
      <c r="IIY19" s="72"/>
      <c r="IJF19" s="74"/>
      <c r="IJG19" s="72"/>
      <c r="IJN19" s="74"/>
      <c r="IJO19" s="72"/>
      <c r="IJV19" s="74"/>
      <c r="IJW19" s="72"/>
      <c r="IKD19" s="74"/>
      <c r="IKE19" s="72"/>
      <c r="IKL19" s="74"/>
      <c r="IKM19" s="72"/>
      <c r="IKT19" s="74"/>
      <c r="IKU19" s="72"/>
      <c r="ILB19" s="74"/>
      <c r="ILC19" s="72"/>
      <c r="ILJ19" s="74"/>
      <c r="ILK19" s="72"/>
      <c r="ILR19" s="74"/>
      <c r="ILS19" s="72"/>
      <c r="ILZ19" s="74"/>
      <c r="IMA19" s="72"/>
      <c r="IMH19" s="74"/>
      <c r="IMI19" s="72"/>
      <c r="IMP19" s="74"/>
      <c r="IMQ19" s="72"/>
      <c r="IMX19" s="74"/>
      <c r="IMY19" s="72"/>
      <c r="INF19" s="74"/>
      <c r="ING19" s="72"/>
      <c r="INN19" s="74"/>
      <c r="INO19" s="72"/>
      <c r="INV19" s="74"/>
      <c r="INW19" s="72"/>
      <c r="IOD19" s="74"/>
      <c r="IOE19" s="72"/>
      <c r="IOL19" s="74"/>
      <c r="IOM19" s="72"/>
      <c r="IOT19" s="74"/>
      <c r="IOU19" s="72"/>
      <c r="IPB19" s="74"/>
      <c r="IPC19" s="72"/>
      <c r="IPJ19" s="74"/>
      <c r="IPK19" s="72"/>
      <c r="IPR19" s="74"/>
      <c r="IPS19" s="72"/>
      <c r="IPZ19" s="74"/>
      <c r="IQA19" s="72"/>
      <c r="IQH19" s="74"/>
      <c r="IQI19" s="72"/>
      <c r="IQP19" s="74"/>
      <c r="IQQ19" s="72"/>
      <c r="IQX19" s="74"/>
      <c r="IQY19" s="72"/>
      <c r="IRF19" s="74"/>
      <c r="IRG19" s="72"/>
      <c r="IRN19" s="74"/>
      <c r="IRO19" s="72"/>
      <c r="IRV19" s="74"/>
      <c r="IRW19" s="72"/>
      <c r="ISD19" s="74"/>
      <c r="ISE19" s="72"/>
      <c r="ISL19" s="74"/>
      <c r="ISM19" s="72"/>
      <c r="IST19" s="74"/>
      <c r="ISU19" s="72"/>
      <c r="ITB19" s="74"/>
      <c r="ITC19" s="72"/>
      <c r="ITJ19" s="74"/>
      <c r="ITK19" s="72"/>
      <c r="ITR19" s="74"/>
      <c r="ITS19" s="72"/>
      <c r="ITZ19" s="74"/>
      <c r="IUA19" s="72"/>
      <c r="IUH19" s="74"/>
      <c r="IUI19" s="72"/>
      <c r="IUP19" s="74"/>
      <c r="IUQ19" s="72"/>
      <c r="IUX19" s="74"/>
      <c r="IUY19" s="72"/>
      <c r="IVF19" s="74"/>
      <c r="IVG19" s="72"/>
      <c r="IVN19" s="74"/>
      <c r="IVO19" s="72"/>
      <c r="IVV19" s="74"/>
      <c r="IVW19" s="72"/>
      <c r="IWD19" s="74"/>
      <c r="IWE19" s="72"/>
      <c r="IWL19" s="74"/>
      <c r="IWM19" s="72"/>
      <c r="IWT19" s="74"/>
      <c r="IWU19" s="72"/>
      <c r="IXB19" s="74"/>
      <c r="IXC19" s="72"/>
      <c r="IXJ19" s="74"/>
      <c r="IXK19" s="72"/>
      <c r="IXR19" s="74"/>
      <c r="IXS19" s="72"/>
      <c r="IXZ19" s="74"/>
      <c r="IYA19" s="72"/>
      <c r="IYH19" s="74"/>
      <c r="IYI19" s="72"/>
      <c r="IYP19" s="74"/>
      <c r="IYQ19" s="72"/>
      <c r="IYX19" s="74"/>
      <c r="IYY19" s="72"/>
      <c r="IZF19" s="74"/>
      <c r="IZG19" s="72"/>
      <c r="IZN19" s="74"/>
      <c r="IZO19" s="72"/>
      <c r="IZV19" s="74"/>
      <c r="IZW19" s="72"/>
      <c r="JAD19" s="74"/>
      <c r="JAE19" s="72"/>
      <c r="JAL19" s="74"/>
      <c r="JAM19" s="72"/>
      <c r="JAT19" s="74"/>
      <c r="JAU19" s="72"/>
      <c r="JBB19" s="74"/>
      <c r="JBC19" s="72"/>
      <c r="JBJ19" s="74"/>
      <c r="JBK19" s="72"/>
      <c r="JBR19" s="74"/>
      <c r="JBS19" s="72"/>
      <c r="JBZ19" s="74"/>
      <c r="JCA19" s="72"/>
      <c r="JCH19" s="74"/>
      <c r="JCI19" s="72"/>
      <c r="JCP19" s="74"/>
      <c r="JCQ19" s="72"/>
      <c r="JCX19" s="74"/>
      <c r="JCY19" s="72"/>
      <c r="JDF19" s="74"/>
      <c r="JDG19" s="72"/>
      <c r="JDN19" s="74"/>
      <c r="JDO19" s="72"/>
      <c r="JDV19" s="74"/>
      <c r="JDW19" s="72"/>
      <c r="JED19" s="74"/>
      <c r="JEE19" s="72"/>
      <c r="JEL19" s="74"/>
      <c r="JEM19" s="72"/>
      <c r="JET19" s="74"/>
      <c r="JEU19" s="72"/>
      <c r="JFB19" s="74"/>
      <c r="JFC19" s="72"/>
      <c r="JFJ19" s="74"/>
      <c r="JFK19" s="72"/>
      <c r="JFR19" s="74"/>
      <c r="JFS19" s="72"/>
      <c r="JFZ19" s="74"/>
      <c r="JGA19" s="72"/>
      <c r="JGH19" s="74"/>
      <c r="JGI19" s="72"/>
      <c r="JGP19" s="74"/>
      <c r="JGQ19" s="72"/>
      <c r="JGX19" s="74"/>
      <c r="JGY19" s="72"/>
      <c r="JHF19" s="74"/>
      <c r="JHG19" s="72"/>
      <c r="JHN19" s="74"/>
      <c r="JHO19" s="72"/>
      <c r="JHV19" s="74"/>
      <c r="JHW19" s="72"/>
      <c r="JID19" s="74"/>
      <c r="JIE19" s="72"/>
      <c r="JIL19" s="74"/>
      <c r="JIM19" s="72"/>
      <c r="JIT19" s="74"/>
      <c r="JIU19" s="72"/>
      <c r="JJB19" s="74"/>
      <c r="JJC19" s="72"/>
      <c r="JJJ19" s="74"/>
      <c r="JJK19" s="72"/>
      <c r="JJR19" s="74"/>
      <c r="JJS19" s="72"/>
      <c r="JJZ19" s="74"/>
      <c r="JKA19" s="72"/>
      <c r="JKH19" s="74"/>
      <c r="JKI19" s="72"/>
      <c r="JKP19" s="74"/>
      <c r="JKQ19" s="72"/>
      <c r="JKX19" s="74"/>
      <c r="JKY19" s="72"/>
      <c r="JLF19" s="74"/>
      <c r="JLG19" s="72"/>
      <c r="JLN19" s="74"/>
      <c r="JLO19" s="72"/>
      <c r="JLV19" s="74"/>
      <c r="JLW19" s="72"/>
      <c r="JMD19" s="74"/>
      <c r="JME19" s="72"/>
      <c r="JML19" s="74"/>
      <c r="JMM19" s="72"/>
      <c r="JMT19" s="74"/>
      <c r="JMU19" s="72"/>
      <c r="JNB19" s="74"/>
      <c r="JNC19" s="72"/>
      <c r="JNJ19" s="74"/>
      <c r="JNK19" s="72"/>
      <c r="JNR19" s="74"/>
      <c r="JNS19" s="72"/>
      <c r="JNZ19" s="74"/>
      <c r="JOA19" s="72"/>
      <c r="JOH19" s="74"/>
      <c r="JOI19" s="72"/>
      <c r="JOP19" s="74"/>
      <c r="JOQ19" s="72"/>
      <c r="JOX19" s="74"/>
      <c r="JOY19" s="72"/>
      <c r="JPF19" s="74"/>
      <c r="JPG19" s="72"/>
      <c r="JPN19" s="74"/>
      <c r="JPO19" s="72"/>
      <c r="JPV19" s="74"/>
      <c r="JPW19" s="72"/>
      <c r="JQD19" s="74"/>
      <c r="JQE19" s="72"/>
      <c r="JQL19" s="74"/>
      <c r="JQM19" s="72"/>
      <c r="JQT19" s="74"/>
      <c r="JQU19" s="72"/>
      <c r="JRB19" s="74"/>
      <c r="JRC19" s="72"/>
      <c r="JRJ19" s="74"/>
      <c r="JRK19" s="72"/>
      <c r="JRR19" s="74"/>
      <c r="JRS19" s="72"/>
      <c r="JRZ19" s="74"/>
      <c r="JSA19" s="72"/>
      <c r="JSH19" s="74"/>
      <c r="JSI19" s="72"/>
      <c r="JSP19" s="74"/>
      <c r="JSQ19" s="72"/>
      <c r="JSX19" s="74"/>
      <c r="JSY19" s="72"/>
      <c r="JTF19" s="74"/>
      <c r="JTG19" s="72"/>
      <c r="JTN19" s="74"/>
      <c r="JTO19" s="72"/>
      <c r="JTV19" s="74"/>
      <c r="JTW19" s="72"/>
      <c r="JUD19" s="74"/>
      <c r="JUE19" s="72"/>
      <c r="JUL19" s="74"/>
      <c r="JUM19" s="72"/>
      <c r="JUT19" s="74"/>
      <c r="JUU19" s="72"/>
      <c r="JVB19" s="74"/>
      <c r="JVC19" s="72"/>
      <c r="JVJ19" s="74"/>
      <c r="JVK19" s="72"/>
      <c r="JVR19" s="74"/>
      <c r="JVS19" s="72"/>
      <c r="JVZ19" s="74"/>
      <c r="JWA19" s="72"/>
      <c r="JWH19" s="74"/>
      <c r="JWI19" s="72"/>
      <c r="JWP19" s="74"/>
      <c r="JWQ19" s="72"/>
      <c r="JWX19" s="74"/>
      <c r="JWY19" s="72"/>
      <c r="JXF19" s="74"/>
      <c r="JXG19" s="72"/>
      <c r="JXN19" s="74"/>
      <c r="JXO19" s="72"/>
      <c r="JXV19" s="74"/>
      <c r="JXW19" s="72"/>
      <c r="JYD19" s="74"/>
      <c r="JYE19" s="72"/>
      <c r="JYL19" s="74"/>
      <c r="JYM19" s="72"/>
      <c r="JYT19" s="74"/>
      <c r="JYU19" s="72"/>
      <c r="JZB19" s="74"/>
      <c r="JZC19" s="72"/>
      <c r="JZJ19" s="74"/>
      <c r="JZK19" s="72"/>
      <c r="JZR19" s="74"/>
      <c r="JZS19" s="72"/>
      <c r="JZZ19" s="74"/>
      <c r="KAA19" s="72"/>
      <c r="KAH19" s="74"/>
      <c r="KAI19" s="72"/>
      <c r="KAP19" s="74"/>
      <c r="KAQ19" s="72"/>
      <c r="KAX19" s="74"/>
      <c r="KAY19" s="72"/>
      <c r="KBF19" s="74"/>
      <c r="KBG19" s="72"/>
      <c r="KBN19" s="74"/>
      <c r="KBO19" s="72"/>
      <c r="KBV19" s="74"/>
      <c r="KBW19" s="72"/>
      <c r="KCD19" s="74"/>
      <c r="KCE19" s="72"/>
      <c r="KCL19" s="74"/>
      <c r="KCM19" s="72"/>
      <c r="KCT19" s="74"/>
      <c r="KCU19" s="72"/>
      <c r="KDB19" s="74"/>
      <c r="KDC19" s="72"/>
      <c r="KDJ19" s="74"/>
      <c r="KDK19" s="72"/>
      <c r="KDR19" s="74"/>
      <c r="KDS19" s="72"/>
      <c r="KDZ19" s="74"/>
      <c r="KEA19" s="72"/>
      <c r="KEH19" s="74"/>
      <c r="KEI19" s="72"/>
      <c r="KEP19" s="74"/>
      <c r="KEQ19" s="72"/>
      <c r="KEX19" s="74"/>
      <c r="KEY19" s="72"/>
      <c r="KFF19" s="74"/>
      <c r="KFG19" s="72"/>
      <c r="KFN19" s="74"/>
      <c r="KFO19" s="72"/>
      <c r="KFV19" s="74"/>
      <c r="KFW19" s="72"/>
      <c r="KGD19" s="74"/>
      <c r="KGE19" s="72"/>
      <c r="KGL19" s="74"/>
      <c r="KGM19" s="72"/>
      <c r="KGT19" s="74"/>
      <c r="KGU19" s="72"/>
      <c r="KHB19" s="74"/>
      <c r="KHC19" s="72"/>
      <c r="KHJ19" s="74"/>
      <c r="KHK19" s="72"/>
      <c r="KHR19" s="74"/>
      <c r="KHS19" s="72"/>
      <c r="KHZ19" s="74"/>
      <c r="KIA19" s="72"/>
      <c r="KIH19" s="74"/>
      <c r="KII19" s="72"/>
      <c r="KIP19" s="74"/>
      <c r="KIQ19" s="72"/>
      <c r="KIX19" s="74"/>
      <c r="KIY19" s="72"/>
      <c r="KJF19" s="74"/>
      <c r="KJG19" s="72"/>
      <c r="KJN19" s="74"/>
      <c r="KJO19" s="72"/>
      <c r="KJV19" s="74"/>
      <c r="KJW19" s="72"/>
      <c r="KKD19" s="74"/>
      <c r="KKE19" s="72"/>
      <c r="KKL19" s="74"/>
      <c r="KKM19" s="72"/>
      <c r="KKT19" s="74"/>
      <c r="KKU19" s="72"/>
      <c r="KLB19" s="74"/>
      <c r="KLC19" s="72"/>
      <c r="KLJ19" s="74"/>
      <c r="KLK19" s="72"/>
      <c r="KLR19" s="74"/>
      <c r="KLS19" s="72"/>
      <c r="KLZ19" s="74"/>
      <c r="KMA19" s="72"/>
      <c r="KMH19" s="74"/>
      <c r="KMI19" s="72"/>
      <c r="KMP19" s="74"/>
      <c r="KMQ19" s="72"/>
      <c r="KMX19" s="74"/>
      <c r="KMY19" s="72"/>
      <c r="KNF19" s="74"/>
      <c r="KNG19" s="72"/>
      <c r="KNN19" s="74"/>
      <c r="KNO19" s="72"/>
      <c r="KNV19" s="74"/>
      <c r="KNW19" s="72"/>
      <c r="KOD19" s="74"/>
      <c r="KOE19" s="72"/>
      <c r="KOL19" s="74"/>
      <c r="KOM19" s="72"/>
      <c r="KOT19" s="74"/>
      <c r="KOU19" s="72"/>
      <c r="KPB19" s="74"/>
      <c r="KPC19" s="72"/>
      <c r="KPJ19" s="74"/>
      <c r="KPK19" s="72"/>
      <c r="KPR19" s="74"/>
      <c r="KPS19" s="72"/>
      <c r="KPZ19" s="74"/>
      <c r="KQA19" s="72"/>
      <c r="KQH19" s="74"/>
      <c r="KQI19" s="72"/>
      <c r="KQP19" s="74"/>
      <c r="KQQ19" s="72"/>
      <c r="KQX19" s="74"/>
      <c r="KQY19" s="72"/>
      <c r="KRF19" s="74"/>
      <c r="KRG19" s="72"/>
      <c r="KRN19" s="74"/>
      <c r="KRO19" s="72"/>
      <c r="KRV19" s="74"/>
      <c r="KRW19" s="72"/>
      <c r="KSD19" s="74"/>
      <c r="KSE19" s="72"/>
      <c r="KSL19" s="74"/>
      <c r="KSM19" s="72"/>
      <c r="KST19" s="74"/>
      <c r="KSU19" s="72"/>
      <c r="KTB19" s="74"/>
      <c r="KTC19" s="72"/>
      <c r="KTJ19" s="74"/>
      <c r="KTK19" s="72"/>
      <c r="KTR19" s="74"/>
      <c r="KTS19" s="72"/>
      <c r="KTZ19" s="74"/>
      <c r="KUA19" s="72"/>
      <c r="KUH19" s="74"/>
      <c r="KUI19" s="72"/>
      <c r="KUP19" s="74"/>
      <c r="KUQ19" s="72"/>
      <c r="KUX19" s="74"/>
      <c r="KUY19" s="72"/>
      <c r="KVF19" s="74"/>
      <c r="KVG19" s="72"/>
      <c r="KVN19" s="74"/>
      <c r="KVO19" s="72"/>
      <c r="KVV19" s="74"/>
      <c r="KVW19" s="72"/>
      <c r="KWD19" s="74"/>
      <c r="KWE19" s="72"/>
      <c r="KWL19" s="74"/>
      <c r="KWM19" s="72"/>
      <c r="KWT19" s="74"/>
      <c r="KWU19" s="72"/>
      <c r="KXB19" s="74"/>
      <c r="KXC19" s="72"/>
      <c r="KXJ19" s="74"/>
      <c r="KXK19" s="72"/>
      <c r="KXR19" s="74"/>
      <c r="KXS19" s="72"/>
      <c r="KXZ19" s="74"/>
      <c r="KYA19" s="72"/>
      <c r="KYH19" s="74"/>
      <c r="KYI19" s="72"/>
      <c r="KYP19" s="74"/>
      <c r="KYQ19" s="72"/>
      <c r="KYX19" s="74"/>
      <c r="KYY19" s="72"/>
      <c r="KZF19" s="74"/>
      <c r="KZG19" s="72"/>
      <c r="KZN19" s="74"/>
      <c r="KZO19" s="72"/>
      <c r="KZV19" s="74"/>
      <c r="KZW19" s="72"/>
      <c r="LAD19" s="74"/>
      <c r="LAE19" s="72"/>
      <c r="LAL19" s="74"/>
      <c r="LAM19" s="72"/>
      <c r="LAT19" s="74"/>
      <c r="LAU19" s="72"/>
      <c r="LBB19" s="74"/>
      <c r="LBC19" s="72"/>
      <c r="LBJ19" s="74"/>
      <c r="LBK19" s="72"/>
      <c r="LBR19" s="74"/>
      <c r="LBS19" s="72"/>
      <c r="LBZ19" s="74"/>
      <c r="LCA19" s="72"/>
      <c r="LCH19" s="74"/>
      <c r="LCI19" s="72"/>
      <c r="LCP19" s="74"/>
      <c r="LCQ19" s="72"/>
      <c r="LCX19" s="74"/>
      <c r="LCY19" s="72"/>
      <c r="LDF19" s="74"/>
      <c r="LDG19" s="72"/>
      <c r="LDN19" s="74"/>
      <c r="LDO19" s="72"/>
      <c r="LDV19" s="74"/>
      <c r="LDW19" s="72"/>
      <c r="LED19" s="74"/>
      <c r="LEE19" s="72"/>
      <c r="LEL19" s="74"/>
      <c r="LEM19" s="72"/>
      <c r="LET19" s="74"/>
      <c r="LEU19" s="72"/>
      <c r="LFB19" s="74"/>
      <c r="LFC19" s="72"/>
      <c r="LFJ19" s="74"/>
      <c r="LFK19" s="72"/>
      <c r="LFR19" s="74"/>
      <c r="LFS19" s="72"/>
      <c r="LFZ19" s="74"/>
      <c r="LGA19" s="72"/>
      <c r="LGH19" s="74"/>
      <c r="LGI19" s="72"/>
      <c r="LGP19" s="74"/>
      <c r="LGQ19" s="72"/>
      <c r="LGX19" s="74"/>
      <c r="LGY19" s="72"/>
      <c r="LHF19" s="74"/>
      <c r="LHG19" s="72"/>
      <c r="LHN19" s="74"/>
      <c r="LHO19" s="72"/>
      <c r="LHV19" s="74"/>
      <c r="LHW19" s="72"/>
      <c r="LID19" s="74"/>
      <c r="LIE19" s="72"/>
      <c r="LIL19" s="74"/>
      <c r="LIM19" s="72"/>
      <c r="LIT19" s="74"/>
      <c r="LIU19" s="72"/>
      <c r="LJB19" s="74"/>
      <c r="LJC19" s="72"/>
      <c r="LJJ19" s="74"/>
      <c r="LJK19" s="72"/>
      <c r="LJR19" s="74"/>
      <c r="LJS19" s="72"/>
      <c r="LJZ19" s="74"/>
      <c r="LKA19" s="72"/>
      <c r="LKH19" s="74"/>
      <c r="LKI19" s="72"/>
      <c r="LKP19" s="74"/>
      <c r="LKQ19" s="72"/>
      <c r="LKX19" s="74"/>
      <c r="LKY19" s="72"/>
      <c r="LLF19" s="74"/>
      <c r="LLG19" s="72"/>
      <c r="LLN19" s="74"/>
      <c r="LLO19" s="72"/>
      <c r="LLV19" s="74"/>
      <c r="LLW19" s="72"/>
      <c r="LMD19" s="74"/>
      <c r="LME19" s="72"/>
      <c r="LML19" s="74"/>
      <c r="LMM19" s="72"/>
      <c r="LMT19" s="74"/>
      <c r="LMU19" s="72"/>
      <c r="LNB19" s="74"/>
      <c r="LNC19" s="72"/>
      <c r="LNJ19" s="74"/>
      <c r="LNK19" s="72"/>
      <c r="LNR19" s="74"/>
      <c r="LNS19" s="72"/>
      <c r="LNZ19" s="74"/>
      <c r="LOA19" s="72"/>
      <c r="LOH19" s="74"/>
      <c r="LOI19" s="72"/>
      <c r="LOP19" s="74"/>
      <c r="LOQ19" s="72"/>
      <c r="LOX19" s="74"/>
      <c r="LOY19" s="72"/>
      <c r="LPF19" s="74"/>
      <c r="LPG19" s="72"/>
      <c r="LPN19" s="74"/>
      <c r="LPO19" s="72"/>
      <c r="LPV19" s="74"/>
      <c r="LPW19" s="72"/>
      <c r="LQD19" s="74"/>
      <c r="LQE19" s="72"/>
      <c r="LQL19" s="74"/>
      <c r="LQM19" s="72"/>
      <c r="LQT19" s="74"/>
      <c r="LQU19" s="72"/>
      <c r="LRB19" s="74"/>
      <c r="LRC19" s="72"/>
      <c r="LRJ19" s="74"/>
      <c r="LRK19" s="72"/>
      <c r="LRR19" s="74"/>
      <c r="LRS19" s="72"/>
      <c r="LRZ19" s="74"/>
      <c r="LSA19" s="72"/>
      <c r="LSH19" s="74"/>
      <c r="LSI19" s="72"/>
      <c r="LSP19" s="74"/>
      <c r="LSQ19" s="72"/>
      <c r="LSX19" s="74"/>
      <c r="LSY19" s="72"/>
      <c r="LTF19" s="74"/>
      <c r="LTG19" s="72"/>
      <c r="LTN19" s="74"/>
      <c r="LTO19" s="72"/>
      <c r="LTV19" s="74"/>
      <c r="LTW19" s="72"/>
      <c r="LUD19" s="74"/>
      <c r="LUE19" s="72"/>
      <c r="LUL19" s="74"/>
      <c r="LUM19" s="72"/>
      <c r="LUT19" s="74"/>
      <c r="LUU19" s="72"/>
      <c r="LVB19" s="74"/>
      <c r="LVC19" s="72"/>
      <c r="LVJ19" s="74"/>
      <c r="LVK19" s="72"/>
      <c r="LVR19" s="74"/>
      <c r="LVS19" s="72"/>
      <c r="LVZ19" s="74"/>
      <c r="LWA19" s="72"/>
      <c r="LWH19" s="74"/>
      <c r="LWI19" s="72"/>
      <c r="LWP19" s="74"/>
      <c r="LWQ19" s="72"/>
      <c r="LWX19" s="74"/>
      <c r="LWY19" s="72"/>
      <c r="LXF19" s="74"/>
      <c r="LXG19" s="72"/>
      <c r="LXN19" s="74"/>
      <c r="LXO19" s="72"/>
      <c r="LXV19" s="74"/>
      <c r="LXW19" s="72"/>
      <c r="LYD19" s="74"/>
      <c r="LYE19" s="72"/>
      <c r="LYL19" s="74"/>
      <c r="LYM19" s="72"/>
      <c r="LYT19" s="74"/>
      <c r="LYU19" s="72"/>
      <c r="LZB19" s="74"/>
      <c r="LZC19" s="72"/>
      <c r="LZJ19" s="74"/>
      <c r="LZK19" s="72"/>
      <c r="LZR19" s="74"/>
      <c r="LZS19" s="72"/>
      <c r="LZZ19" s="74"/>
      <c r="MAA19" s="72"/>
      <c r="MAH19" s="74"/>
      <c r="MAI19" s="72"/>
      <c r="MAP19" s="74"/>
      <c r="MAQ19" s="72"/>
      <c r="MAX19" s="74"/>
      <c r="MAY19" s="72"/>
      <c r="MBF19" s="74"/>
      <c r="MBG19" s="72"/>
      <c r="MBN19" s="74"/>
      <c r="MBO19" s="72"/>
      <c r="MBV19" s="74"/>
      <c r="MBW19" s="72"/>
      <c r="MCD19" s="74"/>
      <c r="MCE19" s="72"/>
      <c r="MCL19" s="74"/>
      <c r="MCM19" s="72"/>
      <c r="MCT19" s="74"/>
      <c r="MCU19" s="72"/>
      <c r="MDB19" s="74"/>
      <c r="MDC19" s="72"/>
      <c r="MDJ19" s="74"/>
      <c r="MDK19" s="72"/>
      <c r="MDR19" s="74"/>
      <c r="MDS19" s="72"/>
      <c r="MDZ19" s="74"/>
      <c r="MEA19" s="72"/>
      <c r="MEH19" s="74"/>
      <c r="MEI19" s="72"/>
      <c r="MEP19" s="74"/>
      <c r="MEQ19" s="72"/>
      <c r="MEX19" s="74"/>
      <c r="MEY19" s="72"/>
      <c r="MFF19" s="74"/>
      <c r="MFG19" s="72"/>
      <c r="MFN19" s="74"/>
      <c r="MFO19" s="72"/>
      <c r="MFV19" s="74"/>
      <c r="MFW19" s="72"/>
      <c r="MGD19" s="74"/>
      <c r="MGE19" s="72"/>
      <c r="MGL19" s="74"/>
      <c r="MGM19" s="72"/>
      <c r="MGT19" s="74"/>
      <c r="MGU19" s="72"/>
      <c r="MHB19" s="74"/>
      <c r="MHC19" s="72"/>
      <c r="MHJ19" s="74"/>
      <c r="MHK19" s="72"/>
      <c r="MHR19" s="74"/>
      <c r="MHS19" s="72"/>
      <c r="MHZ19" s="74"/>
      <c r="MIA19" s="72"/>
      <c r="MIH19" s="74"/>
      <c r="MII19" s="72"/>
      <c r="MIP19" s="74"/>
      <c r="MIQ19" s="72"/>
      <c r="MIX19" s="74"/>
      <c r="MIY19" s="72"/>
      <c r="MJF19" s="74"/>
      <c r="MJG19" s="72"/>
      <c r="MJN19" s="74"/>
      <c r="MJO19" s="72"/>
      <c r="MJV19" s="74"/>
      <c r="MJW19" s="72"/>
      <c r="MKD19" s="74"/>
      <c r="MKE19" s="72"/>
      <c r="MKL19" s="74"/>
      <c r="MKM19" s="72"/>
      <c r="MKT19" s="74"/>
      <c r="MKU19" s="72"/>
      <c r="MLB19" s="74"/>
      <c r="MLC19" s="72"/>
      <c r="MLJ19" s="74"/>
      <c r="MLK19" s="72"/>
      <c r="MLR19" s="74"/>
      <c r="MLS19" s="72"/>
      <c r="MLZ19" s="74"/>
      <c r="MMA19" s="72"/>
      <c r="MMH19" s="74"/>
      <c r="MMI19" s="72"/>
      <c r="MMP19" s="74"/>
      <c r="MMQ19" s="72"/>
      <c r="MMX19" s="74"/>
      <c r="MMY19" s="72"/>
      <c r="MNF19" s="74"/>
      <c r="MNG19" s="72"/>
      <c r="MNN19" s="74"/>
      <c r="MNO19" s="72"/>
      <c r="MNV19" s="74"/>
      <c r="MNW19" s="72"/>
      <c r="MOD19" s="74"/>
      <c r="MOE19" s="72"/>
      <c r="MOL19" s="74"/>
      <c r="MOM19" s="72"/>
      <c r="MOT19" s="74"/>
      <c r="MOU19" s="72"/>
      <c r="MPB19" s="74"/>
      <c r="MPC19" s="72"/>
      <c r="MPJ19" s="74"/>
      <c r="MPK19" s="72"/>
      <c r="MPR19" s="74"/>
      <c r="MPS19" s="72"/>
      <c r="MPZ19" s="74"/>
      <c r="MQA19" s="72"/>
      <c r="MQH19" s="74"/>
      <c r="MQI19" s="72"/>
      <c r="MQP19" s="74"/>
      <c r="MQQ19" s="72"/>
      <c r="MQX19" s="74"/>
      <c r="MQY19" s="72"/>
      <c r="MRF19" s="74"/>
      <c r="MRG19" s="72"/>
      <c r="MRN19" s="74"/>
      <c r="MRO19" s="72"/>
      <c r="MRV19" s="74"/>
      <c r="MRW19" s="72"/>
      <c r="MSD19" s="74"/>
      <c r="MSE19" s="72"/>
      <c r="MSL19" s="74"/>
      <c r="MSM19" s="72"/>
      <c r="MST19" s="74"/>
      <c r="MSU19" s="72"/>
      <c r="MTB19" s="74"/>
      <c r="MTC19" s="72"/>
      <c r="MTJ19" s="74"/>
      <c r="MTK19" s="72"/>
      <c r="MTR19" s="74"/>
      <c r="MTS19" s="72"/>
      <c r="MTZ19" s="74"/>
      <c r="MUA19" s="72"/>
      <c r="MUH19" s="74"/>
      <c r="MUI19" s="72"/>
      <c r="MUP19" s="74"/>
      <c r="MUQ19" s="72"/>
      <c r="MUX19" s="74"/>
      <c r="MUY19" s="72"/>
      <c r="MVF19" s="74"/>
      <c r="MVG19" s="72"/>
      <c r="MVN19" s="74"/>
      <c r="MVO19" s="72"/>
      <c r="MVV19" s="74"/>
      <c r="MVW19" s="72"/>
      <c r="MWD19" s="74"/>
      <c r="MWE19" s="72"/>
      <c r="MWL19" s="74"/>
      <c r="MWM19" s="72"/>
      <c r="MWT19" s="74"/>
      <c r="MWU19" s="72"/>
      <c r="MXB19" s="74"/>
      <c r="MXC19" s="72"/>
      <c r="MXJ19" s="74"/>
      <c r="MXK19" s="72"/>
      <c r="MXR19" s="74"/>
      <c r="MXS19" s="72"/>
      <c r="MXZ19" s="74"/>
      <c r="MYA19" s="72"/>
      <c r="MYH19" s="74"/>
      <c r="MYI19" s="72"/>
      <c r="MYP19" s="74"/>
      <c r="MYQ19" s="72"/>
      <c r="MYX19" s="74"/>
      <c r="MYY19" s="72"/>
      <c r="MZF19" s="74"/>
      <c r="MZG19" s="72"/>
      <c r="MZN19" s="74"/>
      <c r="MZO19" s="72"/>
      <c r="MZV19" s="74"/>
      <c r="MZW19" s="72"/>
      <c r="NAD19" s="74"/>
      <c r="NAE19" s="72"/>
      <c r="NAL19" s="74"/>
      <c r="NAM19" s="72"/>
      <c r="NAT19" s="74"/>
      <c r="NAU19" s="72"/>
      <c r="NBB19" s="74"/>
      <c r="NBC19" s="72"/>
      <c r="NBJ19" s="74"/>
      <c r="NBK19" s="72"/>
      <c r="NBR19" s="74"/>
      <c r="NBS19" s="72"/>
      <c r="NBZ19" s="74"/>
      <c r="NCA19" s="72"/>
      <c r="NCH19" s="74"/>
      <c r="NCI19" s="72"/>
      <c r="NCP19" s="74"/>
      <c r="NCQ19" s="72"/>
      <c r="NCX19" s="74"/>
      <c r="NCY19" s="72"/>
      <c r="NDF19" s="74"/>
      <c r="NDG19" s="72"/>
      <c r="NDN19" s="74"/>
      <c r="NDO19" s="72"/>
      <c r="NDV19" s="74"/>
      <c r="NDW19" s="72"/>
      <c r="NED19" s="74"/>
      <c r="NEE19" s="72"/>
      <c r="NEL19" s="74"/>
      <c r="NEM19" s="72"/>
      <c r="NET19" s="74"/>
      <c r="NEU19" s="72"/>
      <c r="NFB19" s="74"/>
      <c r="NFC19" s="72"/>
      <c r="NFJ19" s="74"/>
      <c r="NFK19" s="72"/>
      <c r="NFR19" s="74"/>
      <c r="NFS19" s="72"/>
      <c r="NFZ19" s="74"/>
      <c r="NGA19" s="72"/>
      <c r="NGH19" s="74"/>
      <c r="NGI19" s="72"/>
      <c r="NGP19" s="74"/>
      <c r="NGQ19" s="72"/>
      <c r="NGX19" s="74"/>
      <c r="NGY19" s="72"/>
      <c r="NHF19" s="74"/>
      <c r="NHG19" s="72"/>
      <c r="NHN19" s="74"/>
      <c r="NHO19" s="72"/>
      <c r="NHV19" s="74"/>
      <c r="NHW19" s="72"/>
      <c r="NID19" s="74"/>
      <c r="NIE19" s="72"/>
      <c r="NIL19" s="74"/>
      <c r="NIM19" s="72"/>
      <c r="NIT19" s="74"/>
      <c r="NIU19" s="72"/>
      <c r="NJB19" s="74"/>
      <c r="NJC19" s="72"/>
      <c r="NJJ19" s="74"/>
      <c r="NJK19" s="72"/>
      <c r="NJR19" s="74"/>
      <c r="NJS19" s="72"/>
      <c r="NJZ19" s="74"/>
      <c r="NKA19" s="72"/>
      <c r="NKH19" s="74"/>
      <c r="NKI19" s="72"/>
      <c r="NKP19" s="74"/>
      <c r="NKQ19" s="72"/>
      <c r="NKX19" s="74"/>
      <c r="NKY19" s="72"/>
      <c r="NLF19" s="74"/>
      <c r="NLG19" s="72"/>
      <c r="NLN19" s="74"/>
      <c r="NLO19" s="72"/>
      <c r="NLV19" s="74"/>
      <c r="NLW19" s="72"/>
      <c r="NMD19" s="74"/>
      <c r="NME19" s="72"/>
      <c r="NML19" s="74"/>
      <c r="NMM19" s="72"/>
      <c r="NMT19" s="74"/>
      <c r="NMU19" s="72"/>
      <c r="NNB19" s="74"/>
      <c r="NNC19" s="72"/>
      <c r="NNJ19" s="74"/>
      <c r="NNK19" s="72"/>
      <c r="NNR19" s="74"/>
      <c r="NNS19" s="72"/>
      <c r="NNZ19" s="74"/>
      <c r="NOA19" s="72"/>
      <c r="NOH19" s="74"/>
      <c r="NOI19" s="72"/>
      <c r="NOP19" s="74"/>
      <c r="NOQ19" s="72"/>
      <c r="NOX19" s="74"/>
      <c r="NOY19" s="72"/>
      <c r="NPF19" s="74"/>
      <c r="NPG19" s="72"/>
      <c r="NPN19" s="74"/>
      <c r="NPO19" s="72"/>
      <c r="NPV19" s="74"/>
      <c r="NPW19" s="72"/>
      <c r="NQD19" s="74"/>
      <c r="NQE19" s="72"/>
      <c r="NQL19" s="74"/>
      <c r="NQM19" s="72"/>
      <c r="NQT19" s="74"/>
      <c r="NQU19" s="72"/>
      <c r="NRB19" s="74"/>
      <c r="NRC19" s="72"/>
      <c r="NRJ19" s="74"/>
      <c r="NRK19" s="72"/>
      <c r="NRR19" s="74"/>
      <c r="NRS19" s="72"/>
      <c r="NRZ19" s="74"/>
      <c r="NSA19" s="72"/>
      <c r="NSH19" s="74"/>
      <c r="NSI19" s="72"/>
      <c r="NSP19" s="74"/>
      <c r="NSQ19" s="72"/>
      <c r="NSX19" s="74"/>
      <c r="NSY19" s="72"/>
      <c r="NTF19" s="74"/>
      <c r="NTG19" s="72"/>
      <c r="NTN19" s="74"/>
      <c r="NTO19" s="72"/>
      <c r="NTV19" s="74"/>
      <c r="NTW19" s="72"/>
      <c r="NUD19" s="74"/>
      <c r="NUE19" s="72"/>
      <c r="NUL19" s="74"/>
      <c r="NUM19" s="72"/>
      <c r="NUT19" s="74"/>
      <c r="NUU19" s="72"/>
      <c r="NVB19" s="74"/>
      <c r="NVC19" s="72"/>
      <c r="NVJ19" s="74"/>
      <c r="NVK19" s="72"/>
      <c r="NVR19" s="74"/>
      <c r="NVS19" s="72"/>
      <c r="NVZ19" s="74"/>
      <c r="NWA19" s="72"/>
      <c r="NWH19" s="74"/>
      <c r="NWI19" s="72"/>
      <c r="NWP19" s="74"/>
      <c r="NWQ19" s="72"/>
      <c r="NWX19" s="74"/>
      <c r="NWY19" s="72"/>
      <c r="NXF19" s="74"/>
      <c r="NXG19" s="72"/>
      <c r="NXN19" s="74"/>
      <c r="NXO19" s="72"/>
      <c r="NXV19" s="74"/>
      <c r="NXW19" s="72"/>
      <c r="NYD19" s="74"/>
      <c r="NYE19" s="72"/>
      <c r="NYL19" s="74"/>
      <c r="NYM19" s="72"/>
      <c r="NYT19" s="74"/>
      <c r="NYU19" s="72"/>
      <c r="NZB19" s="74"/>
      <c r="NZC19" s="72"/>
      <c r="NZJ19" s="74"/>
      <c r="NZK19" s="72"/>
      <c r="NZR19" s="74"/>
      <c r="NZS19" s="72"/>
      <c r="NZZ19" s="74"/>
      <c r="OAA19" s="72"/>
      <c r="OAH19" s="74"/>
      <c r="OAI19" s="72"/>
      <c r="OAP19" s="74"/>
      <c r="OAQ19" s="72"/>
      <c r="OAX19" s="74"/>
      <c r="OAY19" s="72"/>
      <c r="OBF19" s="74"/>
      <c r="OBG19" s="72"/>
      <c r="OBN19" s="74"/>
      <c r="OBO19" s="72"/>
      <c r="OBV19" s="74"/>
      <c r="OBW19" s="72"/>
      <c r="OCD19" s="74"/>
      <c r="OCE19" s="72"/>
      <c r="OCL19" s="74"/>
      <c r="OCM19" s="72"/>
      <c r="OCT19" s="74"/>
      <c r="OCU19" s="72"/>
      <c r="ODB19" s="74"/>
      <c r="ODC19" s="72"/>
      <c r="ODJ19" s="74"/>
      <c r="ODK19" s="72"/>
      <c r="ODR19" s="74"/>
      <c r="ODS19" s="72"/>
      <c r="ODZ19" s="74"/>
      <c r="OEA19" s="72"/>
      <c r="OEH19" s="74"/>
      <c r="OEI19" s="72"/>
      <c r="OEP19" s="74"/>
      <c r="OEQ19" s="72"/>
      <c r="OEX19" s="74"/>
      <c r="OEY19" s="72"/>
      <c r="OFF19" s="74"/>
      <c r="OFG19" s="72"/>
      <c r="OFN19" s="74"/>
      <c r="OFO19" s="72"/>
      <c r="OFV19" s="74"/>
      <c r="OFW19" s="72"/>
      <c r="OGD19" s="74"/>
      <c r="OGE19" s="72"/>
      <c r="OGL19" s="74"/>
      <c r="OGM19" s="72"/>
      <c r="OGT19" s="74"/>
      <c r="OGU19" s="72"/>
      <c r="OHB19" s="74"/>
      <c r="OHC19" s="72"/>
      <c r="OHJ19" s="74"/>
      <c r="OHK19" s="72"/>
      <c r="OHR19" s="74"/>
      <c r="OHS19" s="72"/>
      <c r="OHZ19" s="74"/>
      <c r="OIA19" s="72"/>
      <c r="OIH19" s="74"/>
      <c r="OII19" s="72"/>
      <c r="OIP19" s="74"/>
      <c r="OIQ19" s="72"/>
      <c r="OIX19" s="74"/>
      <c r="OIY19" s="72"/>
      <c r="OJF19" s="74"/>
      <c r="OJG19" s="72"/>
      <c r="OJN19" s="74"/>
      <c r="OJO19" s="72"/>
      <c r="OJV19" s="74"/>
      <c r="OJW19" s="72"/>
      <c r="OKD19" s="74"/>
      <c r="OKE19" s="72"/>
      <c r="OKL19" s="74"/>
      <c r="OKM19" s="72"/>
      <c r="OKT19" s="74"/>
      <c r="OKU19" s="72"/>
      <c r="OLB19" s="74"/>
      <c r="OLC19" s="72"/>
      <c r="OLJ19" s="74"/>
      <c r="OLK19" s="72"/>
      <c r="OLR19" s="74"/>
      <c r="OLS19" s="72"/>
      <c r="OLZ19" s="74"/>
      <c r="OMA19" s="72"/>
      <c r="OMH19" s="74"/>
      <c r="OMI19" s="72"/>
      <c r="OMP19" s="74"/>
      <c r="OMQ19" s="72"/>
      <c r="OMX19" s="74"/>
      <c r="OMY19" s="72"/>
      <c r="ONF19" s="74"/>
      <c r="ONG19" s="72"/>
      <c r="ONN19" s="74"/>
      <c r="ONO19" s="72"/>
      <c r="ONV19" s="74"/>
      <c r="ONW19" s="72"/>
      <c r="OOD19" s="74"/>
      <c r="OOE19" s="72"/>
      <c r="OOL19" s="74"/>
      <c r="OOM19" s="72"/>
      <c r="OOT19" s="74"/>
      <c r="OOU19" s="72"/>
      <c r="OPB19" s="74"/>
      <c r="OPC19" s="72"/>
      <c r="OPJ19" s="74"/>
      <c r="OPK19" s="72"/>
      <c r="OPR19" s="74"/>
      <c r="OPS19" s="72"/>
      <c r="OPZ19" s="74"/>
      <c r="OQA19" s="72"/>
      <c r="OQH19" s="74"/>
      <c r="OQI19" s="72"/>
      <c r="OQP19" s="74"/>
      <c r="OQQ19" s="72"/>
      <c r="OQX19" s="74"/>
      <c r="OQY19" s="72"/>
      <c r="ORF19" s="74"/>
      <c r="ORG19" s="72"/>
      <c r="ORN19" s="74"/>
      <c r="ORO19" s="72"/>
      <c r="ORV19" s="74"/>
      <c r="ORW19" s="72"/>
      <c r="OSD19" s="74"/>
      <c r="OSE19" s="72"/>
      <c r="OSL19" s="74"/>
      <c r="OSM19" s="72"/>
      <c r="OST19" s="74"/>
      <c r="OSU19" s="72"/>
      <c r="OTB19" s="74"/>
      <c r="OTC19" s="72"/>
      <c r="OTJ19" s="74"/>
      <c r="OTK19" s="72"/>
      <c r="OTR19" s="74"/>
      <c r="OTS19" s="72"/>
      <c r="OTZ19" s="74"/>
      <c r="OUA19" s="72"/>
      <c r="OUH19" s="74"/>
      <c r="OUI19" s="72"/>
      <c r="OUP19" s="74"/>
      <c r="OUQ19" s="72"/>
      <c r="OUX19" s="74"/>
      <c r="OUY19" s="72"/>
      <c r="OVF19" s="74"/>
      <c r="OVG19" s="72"/>
      <c r="OVN19" s="74"/>
      <c r="OVO19" s="72"/>
      <c r="OVV19" s="74"/>
      <c r="OVW19" s="72"/>
      <c r="OWD19" s="74"/>
      <c r="OWE19" s="72"/>
      <c r="OWL19" s="74"/>
      <c r="OWM19" s="72"/>
      <c r="OWT19" s="74"/>
      <c r="OWU19" s="72"/>
      <c r="OXB19" s="74"/>
      <c r="OXC19" s="72"/>
      <c r="OXJ19" s="74"/>
      <c r="OXK19" s="72"/>
      <c r="OXR19" s="74"/>
      <c r="OXS19" s="72"/>
      <c r="OXZ19" s="74"/>
      <c r="OYA19" s="72"/>
      <c r="OYH19" s="74"/>
      <c r="OYI19" s="72"/>
      <c r="OYP19" s="74"/>
      <c r="OYQ19" s="72"/>
      <c r="OYX19" s="74"/>
      <c r="OYY19" s="72"/>
      <c r="OZF19" s="74"/>
      <c r="OZG19" s="72"/>
      <c r="OZN19" s="74"/>
      <c r="OZO19" s="72"/>
      <c r="OZV19" s="74"/>
      <c r="OZW19" s="72"/>
      <c r="PAD19" s="74"/>
      <c r="PAE19" s="72"/>
      <c r="PAL19" s="74"/>
      <c r="PAM19" s="72"/>
      <c r="PAT19" s="74"/>
      <c r="PAU19" s="72"/>
      <c r="PBB19" s="74"/>
      <c r="PBC19" s="72"/>
      <c r="PBJ19" s="74"/>
      <c r="PBK19" s="72"/>
      <c r="PBR19" s="74"/>
      <c r="PBS19" s="72"/>
      <c r="PBZ19" s="74"/>
      <c r="PCA19" s="72"/>
      <c r="PCH19" s="74"/>
      <c r="PCI19" s="72"/>
      <c r="PCP19" s="74"/>
      <c r="PCQ19" s="72"/>
      <c r="PCX19" s="74"/>
      <c r="PCY19" s="72"/>
      <c r="PDF19" s="74"/>
      <c r="PDG19" s="72"/>
      <c r="PDN19" s="74"/>
      <c r="PDO19" s="72"/>
      <c r="PDV19" s="74"/>
      <c r="PDW19" s="72"/>
      <c r="PED19" s="74"/>
      <c r="PEE19" s="72"/>
      <c r="PEL19" s="74"/>
      <c r="PEM19" s="72"/>
      <c r="PET19" s="74"/>
      <c r="PEU19" s="72"/>
      <c r="PFB19" s="74"/>
      <c r="PFC19" s="72"/>
      <c r="PFJ19" s="74"/>
      <c r="PFK19" s="72"/>
      <c r="PFR19" s="74"/>
      <c r="PFS19" s="72"/>
      <c r="PFZ19" s="74"/>
      <c r="PGA19" s="72"/>
      <c r="PGH19" s="74"/>
      <c r="PGI19" s="72"/>
      <c r="PGP19" s="74"/>
      <c r="PGQ19" s="72"/>
      <c r="PGX19" s="74"/>
      <c r="PGY19" s="72"/>
      <c r="PHF19" s="74"/>
      <c r="PHG19" s="72"/>
      <c r="PHN19" s="74"/>
      <c r="PHO19" s="72"/>
      <c r="PHV19" s="74"/>
      <c r="PHW19" s="72"/>
      <c r="PID19" s="74"/>
      <c r="PIE19" s="72"/>
      <c r="PIL19" s="74"/>
      <c r="PIM19" s="72"/>
      <c r="PIT19" s="74"/>
      <c r="PIU19" s="72"/>
      <c r="PJB19" s="74"/>
      <c r="PJC19" s="72"/>
      <c r="PJJ19" s="74"/>
      <c r="PJK19" s="72"/>
      <c r="PJR19" s="74"/>
      <c r="PJS19" s="72"/>
      <c r="PJZ19" s="74"/>
      <c r="PKA19" s="72"/>
      <c r="PKH19" s="74"/>
      <c r="PKI19" s="72"/>
      <c r="PKP19" s="74"/>
      <c r="PKQ19" s="72"/>
      <c r="PKX19" s="74"/>
      <c r="PKY19" s="72"/>
      <c r="PLF19" s="74"/>
      <c r="PLG19" s="72"/>
      <c r="PLN19" s="74"/>
      <c r="PLO19" s="72"/>
      <c r="PLV19" s="74"/>
      <c r="PLW19" s="72"/>
      <c r="PMD19" s="74"/>
      <c r="PME19" s="72"/>
      <c r="PML19" s="74"/>
      <c r="PMM19" s="72"/>
      <c r="PMT19" s="74"/>
      <c r="PMU19" s="72"/>
      <c r="PNB19" s="74"/>
      <c r="PNC19" s="72"/>
      <c r="PNJ19" s="74"/>
      <c r="PNK19" s="72"/>
      <c r="PNR19" s="74"/>
      <c r="PNS19" s="72"/>
      <c r="PNZ19" s="74"/>
      <c r="POA19" s="72"/>
      <c r="POH19" s="74"/>
      <c r="POI19" s="72"/>
      <c r="POP19" s="74"/>
      <c r="POQ19" s="72"/>
      <c r="POX19" s="74"/>
      <c r="POY19" s="72"/>
      <c r="PPF19" s="74"/>
      <c r="PPG19" s="72"/>
      <c r="PPN19" s="74"/>
      <c r="PPO19" s="72"/>
      <c r="PPV19" s="74"/>
      <c r="PPW19" s="72"/>
      <c r="PQD19" s="74"/>
      <c r="PQE19" s="72"/>
      <c r="PQL19" s="74"/>
      <c r="PQM19" s="72"/>
      <c r="PQT19" s="74"/>
      <c r="PQU19" s="72"/>
      <c r="PRB19" s="74"/>
      <c r="PRC19" s="72"/>
      <c r="PRJ19" s="74"/>
      <c r="PRK19" s="72"/>
      <c r="PRR19" s="74"/>
      <c r="PRS19" s="72"/>
      <c r="PRZ19" s="74"/>
      <c r="PSA19" s="72"/>
      <c r="PSH19" s="74"/>
      <c r="PSI19" s="72"/>
      <c r="PSP19" s="74"/>
      <c r="PSQ19" s="72"/>
      <c r="PSX19" s="74"/>
      <c r="PSY19" s="72"/>
      <c r="PTF19" s="74"/>
      <c r="PTG19" s="72"/>
      <c r="PTN19" s="74"/>
      <c r="PTO19" s="72"/>
      <c r="PTV19" s="74"/>
      <c r="PTW19" s="72"/>
      <c r="PUD19" s="74"/>
      <c r="PUE19" s="72"/>
      <c r="PUL19" s="74"/>
      <c r="PUM19" s="72"/>
      <c r="PUT19" s="74"/>
      <c r="PUU19" s="72"/>
      <c r="PVB19" s="74"/>
      <c r="PVC19" s="72"/>
      <c r="PVJ19" s="74"/>
      <c r="PVK19" s="72"/>
      <c r="PVR19" s="74"/>
      <c r="PVS19" s="72"/>
      <c r="PVZ19" s="74"/>
      <c r="PWA19" s="72"/>
      <c r="PWH19" s="74"/>
      <c r="PWI19" s="72"/>
      <c r="PWP19" s="74"/>
      <c r="PWQ19" s="72"/>
      <c r="PWX19" s="74"/>
      <c r="PWY19" s="72"/>
      <c r="PXF19" s="74"/>
      <c r="PXG19" s="72"/>
      <c r="PXN19" s="74"/>
      <c r="PXO19" s="72"/>
      <c r="PXV19" s="74"/>
      <c r="PXW19" s="72"/>
      <c r="PYD19" s="74"/>
      <c r="PYE19" s="72"/>
      <c r="PYL19" s="74"/>
      <c r="PYM19" s="72"/>
      <c r="PYT19" s="74"/>
      <c r="PYU19" s="72"/>
      <c r="PZB19" s="74"/>
      <c r="PZC19" s="72"/>
      <c r="PZJ19" s="74"/>
      <c r="PZK19" s="72"/>
      <c r="PZR19" s="74"/>
      <c r="PZS19" s="72"/>
      <c r="PZZ19" s="74"/>
      <c r="QAA19" s="72"/>
      <c r="QAH19" s="74"/>
      <c r="QAI19" s="72"/>
      <c r="QAP19" s="74"/>
      <c r="QAQ19" s="72"/>
      <c r="QAX19" s="74"/>
      <c r="QAY19" s="72"/>
      <c r="QBF19" s="74"/>
      <c r="QBG19" s="72"/>
      <c r="QBN19" s="74"/>
      <c r="QBO19" s="72"/>
      <c r="QBV19" s="74"/>
      <c r="QBW19" s="72"/>
      <c r="QCD19" s="74"/>
      <c r="QCE19" s="72"/>
      <c r="QCL19" s="74"/>
      <c r="QCM19" s="72"/>
      <c r="QCT19" s="74"/>
      <c r="QCU19" s="72"/>
      <c r="QDB19" s="74"/>
      <c r="QDC19" s="72"/>
      <c r="QDJ19" s="74"/>
      <c r="QDK19" s="72"/>
      <c r="QDR19" s="74"/>
      <c r="QDS19" s="72"/>
      <c r="QDZ19" s="74"/>
      <c r="QEA19" s="72"/>
      <c r="QEH19" s="74"/>
      <c r="QEI19" s="72"/>
      <c r="QEP19" s="74"/>
      <c r="QEQ19" s="72"/>
      <c r="QEX19" s="74"/>
      <c r="QEY19" s="72"/>
      <c r="QFF19" s="74"/>
      <c r="QFG19" s="72"/>
      <c r="QFN19" s="74"/>
      <c r="QFO19" s="72"/>
      <c r="QFV19" s="74"/>
      <c r="QFW19" s="72"/>
      <c r="QGD19" s="74"/>
      <c r="QGE19" s="72"/>
      <c r="QGL19" s="74"/>
      <c r="QGM19" s="72"/>
      <c r="QGT19" s="74"/>
      <c r="QGU19" s="72"/>
      <c r="QHB19" s="74"/>
      <c r="QHC19" s="72"/>
      <c r="QHJ19" s="74"/>
      <c r="QHK19" s="72"/>
      <c r="QHR19" s="74"/>
      <c r="QHS19" s="72"/>
      <c r="QHZ19" s="74"/>
      <c r="QIA19" s="72"/>
      <c r="QIH19" s="74"/>
      <c r="QII19" s="72"/>
      <c r="QIP19" s="74"/>
      <c r="QIQ19" s="72"/>
      <c r="QIX19" s="74"/>
      <c r="QIY19" s="72"/>
      <c r="QJF19" s="74"/>
      <c r="QJG19" s="72"/>
      <c r="QJN19" s="74"/>
      <c r="QJO19" s="72"/>
      <c r="QJV19" s="74"/>
      <c r="QJW19" s="72"/>
      <c r="QKD19" s="74"/>
      <c r="QKE19" s="72"/>
      <c r="QKL19" s="74"/>
      <c r="QKM19" s="72"/>
      <c r="QKT19" s="74"/>
      <c r="QKU19" s="72"/>
      <c r="QLB19" s="74"/>
      <c r="QLC19" s="72"/>
      <c r="QLJ19" s="74"/>
      <c r="QLK19" s="72"/>
      <c r="QLR19" s="74"/>
      <c r="QLS19" s="72"/>
      <c r="QLZ19" s="74"/>
      <c r="QMA19" s="72"/>
      <c r="QMH19" s="74"/>
      <c r="QMI19" s="72"/>
      <c r="QMP19" s="74"/>
      <c r="QMQ19" s="72"/>
      <c r="QMX19" s="74"/>
      <c r="QMY19" s="72"/>
      <c r="QNF19" s="74"/>
      <c r="QNG19" s="72"/>
      <c r="QNN19" s="74"/>
      <c r="QNO19" s="72"/>
      <c r="QNV19" s="74"/>
      <c r="QNW19" s="72"/>
      <c r="QOD19" s="74"/>
      <c r="QOE19" s="72"/>
      <c r="QOL19" s="74"/>
      <c r="QOM19" s="72"/>
      <c r="QOT19" s="74"/>
      <c r="QOU19" s="72"/>
      <c r="QPB19" s="74"/>
      <c r="QPC19" s="72"/>
      <c r="QPJ19" s="74"/>
      <c r="QPK19" s="72"/>
      <c r="QPR19" s="74"/>
      <c r="QPS19" s="72"/>
      <c r="QPZ19" s="74"/>
      <c r="QQA19" s="72"/>
      <c r="QQH19" s="74"/>
      <c r="QQI19" s="72"/>
      <c r="QQP19" s="74"/>
      <c r="QQQ19" s="72"/>
      <c r="QQX19" s="74"/>
      <c r="QQY19" s="72"/>
      <c r="QRF19" s="74"/>
      <c r="QRG19" s="72"/>
      <c r="QRN19" s="74"/>
      <c r="QRO19" s="72"/>
      <c r="QRV19" s="74"/>
      <c r="QRW19" s="72"/>
      <c r="QSD19" s="74"/>
      <c r="QSE19" s="72"/>
      <c r="QSL19" s="74"/>
      <c r="QSM19" s="72"/>
      <c r="QST19" s="74"/>
      <c r="QSU19" s="72"/>
      <c r="QTB19" s="74"/>
      <c r="QTC19" s="72"/>
      <c r="QTJ19" s="74"/>
      <c r="QTK19" s="72"/>
      <c r="QTR19" s="74"/>
      <c r="QTS19" s="72"/>
      <c r="QTZ19" s="74"/>
      <c r="QUA19" s="72"/>
      <c r="QUH19" s="74"/>
      <c r="QUI19" s="72"/>
      <c r="QUP19" s="74"/>
      <c r="QUQ19" s="72"/>
      <c r="QUX19" s="74"/>
      <c r="QUY19" s="72"/>
      <c r="QVF19" s="74"/>
      <c r="QVG19" s="72"/>
      <c r="QVN19" s="74"/>
      <c r="QVO19" s="72"/>
      <c r="QVV19" s="74"/>
      <c r="QVW19" s="72"/>
      <c r="QWD19" s="74"/>
      <c r="QWE19" s="72"/>
      <c r="QWL19" s="74"/>
      <c r="QWM19" s="72"/>
      <c r="QWT19" s="74"/>
      <c r="QWU19" s="72"/>
      <c r="QXB19" s="74"/>
      <c r="QXC19" s="72"/>
      <c r="QXJ19" s="74"/>
      <c r="QXK19" s="72"/>
      <c r="QXR19" s="74"/>
      <c r="QXS19" s="72"/>
      <c r="QXZ19" s="74"/>
      <c r="QYA19" s="72"/>
      <c r="QYH19" s="74"/>
      <c r="QYI19" s="72"/>
      <c r="QYP19" s="74"/>
      <c r="QYQ19" s="72"/>
      <c r="QYX19" s="74"/>
      <c r="QYY19" s="72"/>
      <c r="QZF19" s="74"/>
      <c r="QZG19" s="72"/>
      <c r="QZN19" s="74"/>
      <c r="QZO19" s="72"/>
      <c r="QZV19" s="74"/>
      <c r="QZW19" s="72"/>
      <c r="RAD19" s="74"/>
      <c r="RAE19" s="72"/>
      <c r="RAL19" s="74"/>
      <c r="RAM19" s="72"/>
      <c r="RAT19" s="74"/>
      <c r="RAU19" s="72"/>
      <c r="RBB19" s="74"/>
      <c r="RBC19" s="72"/>
      <c r="RBJ19" s="74"/>
      <c r="RBK19" s="72"/>
      <c r="RBR19" s="74"/>
      <c r="RBS19" s="72"/>
      <c r="RBZ19" s="74"/>
      <c r="RCA19" s="72"/>
      <c r="RCH19" s="74"/>
      <c r="RCI19" s="72"/>
      <c r="RCP19" s="74"/>
      <c r="RCQ19" s="72"/>
      <c r="RCX19" s="74"/>
      <c r="RCY19" s="72"/>
      <c r="RDF19" s="74"/>
      <c r="RDG19" s="72"/>
      <c r="RDN19" s="74"/>
      <c r="RDO19" s="72"/>
      <c r="RDV19" s="74"/>
      <c r="RDW19" s="72"/>
      <c r="RED19" s="74"/>
      <c r="REE19" s="72"/>
      <c r="REL19" s="74"/>
      <c r="REM19" s="72"/>
      <c r="RET19" s="74"/>
      <c r="REU19" s="72"/>
      <c r="RFB19" s="74"/>
      <c r="RFC19" s="72"/>
      <c r="RFJ19" s="74"/>
      <c r="RFK19" s="72"/>
      <c r="RFR19" s="74"/>
      <c r="RFS19" s="72"/>
      <c r="RFZ19" s="74"/>
      <c r="RGA19" s="72"/>
      <c r="RGH19" s="74"/>
      <c r="RGI19" s="72"/>
      <c r="RGP19" s="74"/>
      <c r="RGQ19" s="72"/>
      <c r="RGX19" s="74"/>
      <c r="RGY19" s="72"/>
      <c r="RHF19" s="74"/>
      <c r="RHG19" s="72"/>
      <c r="RHN19" s="74"/>
      <c r="RHO19" s="72"/>
      <c r="RHV19" s="74"/>
      <c r="RHW19" s="72"/>
      <c r="RID19" s="74"/>
      <c r="RIE19" s="72"/>
      <c r="RIL19" s="74"/>
      <c r="RIM19" s="72"/>
      <c r="RIT19" s="74"/>
      <c r="RIU19" s="72"/>
      <c r="RJB19" s="74"/>
      <c r="RJC19" s="72"/>
      <c r="RJJ19" s="74"/>
      <c r="RJK19" s="72"/>
      <c r="RJR19" s="74"/>
      <c r="RJS19" s="72"/>
      <c r="RJZ19" s="74"/>
      <c r="RKA19" s="72"/>
      <c r="RKH19" s="74"/>
      <c r="RKI19" s="72"/>
      <c r="RKP19" s="74"/>
      <c r="RKQ19" s="72"/>
      <c r="RKX19" s="74"/>
      <c r="RKY19" s="72"/>
      <c r="RLF19" s="74"/>
      <c r="RLG19" s="72"/>
      <c r="RLN19" s="74"/>
      <c r="RLO19" s="72"/>
      <c r="RLV19" s="74"/>
      <c r="RLW19" s="72"/>
      <c r="RMD19" s="74"/>
      <c r="RME19" s="72"/>
      <c r="RML19" s="74"/>
      <c r="RMM19" s="72"/>
      <c r="RMT19" s="74"/>
      <c r="RMU19" s="72"/>
      <c r="RNB19" s="74"/>
      <c r="RNC19" s="72"/>
      <c r="RNJ19" s="74"/>
      <c r="RNK19" s="72"/>
      <c r="RNR19" s="74"/>
      <c r="RNS19" s="72"/>
      <c r="RNZ19" s="74"/>
      <c r="ROA19" s="72"/>
      <c r="ROH19" s="74"/>
      <c r="ROI19" s="72"/>
      <c r="ROP19" s="74"/>
      <c r="ROQ19" s="72"/>
      <c r="ROX19" s="74"/>
      <c r="ROY19" s="72"/>
      <c r="RPF19" s="74"/>
      <c r="RPG19" s="72"/>
      <c r="RPN19" s="74"/>
      <c r="RPO19" s="72"/>
      <c r="RPV19" s="74"/>
      <c r="RPW19" s="72"/>
      <c r="RQD19" s="74"/>
      <c r="RQE19" s="72"/>
      <c r="RQL19" s="74"/>
      <c r="RQM19" s="72"/>
      <c r="RQT19" s="74"/>
      <c r="RQU19" s="72"/>
      <c r="RRB19" s="74"/>
      <c r="RRC19" s="72"/>
      <c r="RRJ19" s="74"/>
      <c r="RRK19" s="72"/>
      <c r="RRR19" s="74"/>
      <c r="RRS19" s="72"/>
      <c r="RRZ19" s="74"/>
      <c r="RSA19" s="72"/>
      <c r="RSH19" s="74"/>
      <c r="RSI19" s="72"/>
      <c r="RSP19" s="74"/>
      <c r="RSQ19" s="72"/>
      <c r="RSX19" s="74"/>
      <c r="RSY19" s="72"/>
      <c r="RTF19" s="74"/>
      <c r="RTG19" s="72"/>
      <c r="RTN19" s="74"/>
      <c r="RTO19" s="72"/>
      <c r="RTV19" s="74"/>
      <c r="RTW19" s="72"/>
      <c r="RUD19" s="74"/>
      <c r="RUE19" s="72"/>
      <c r="RUL19" s="74"/>
      <c r="RUM19" s="72"/>
      <c r="RUT19" s="74"/>
      <c r="RUU19" s="72"/>
      <c r="RVB19" s="74"/>
      <c r="RVC19" s="72"/>
      <c r="RVJ19" s="74"/>
      <c r="RVK19" s="72"/>
      <c r="RVR19" s="74"/>
      <c r="RVS19" s="72"/>
      <c r="RVZ19" s="74"/>
      <c r="RWA19" s="72"/>
      <c r="RWH19" s="74"/>
      <c r="RWI19" s="72"/>
      <c r="RWP19" s="74"/>
      <c r="RWQ19" s="72"/>
      <c r="RWX19" s="74"/>
      <c r="RWY19" s="72"/>
      <c r="RXF19" s="74"/>
      <c r="RXG19" s="72"/>
      <c r="RXN19" s="74"/>
      <c r="RXO19" s="72"/>
      <c r="RXV19" s="74"/>
      <c r="RXW19" s="72"/>
      <c r="RYD19" s="74"/>
      <c r="RYE19" s="72"/>
      <c r="RYL19" s="74"/>
      <c r="RYM19" s="72"/>
      <c r="RYT19" s="74"/>
      <c r="RYU19" s="72"/>
      <c r="RZB19" s="74"/>
      <c r="RZC19" s="72"/>
      <c r="RZJ19" s="74"/>
      <c r="RZK19" s="72"/>
      <c r="RZR19" s="74"/>
      <c r="RZS19" s="72"/>
      <c r="RZZ19" s="74"/>
      <c r="SAA19" s="72"/>
      <c r="SAH19" s="74"/>
      <c r="SAI19" s="72"/>
      <c r="SAP19" s="74"/>
      <c r="SAQ19" s="72"/>
      <c r="SAX19" s="74"/>
      <c r="SAY19" s="72"/>
      <c r="SBF19" s="74"/>
      <c r="SBG19" s="72"/>
      <c r="SBN19" s="74"/>
      <c r="SBO19" s="72"/>
      <c r="SBV19" s="74"/>
      <c r="SBW19" s="72"/>
      <c r="SCD19" s="74"/>
      <c r="SCE19" s="72"/>
      <c r="SCL19" s="74"/>
      <c r="SCM19" s="72"/>
      <c r="SCT19" s="74"/>
      <c r="SCU19" s="72"/>
      <c r="SDB19" s="74"/>
      <c r="SDC19" s="72"/>
      <c r="SDJ19" s="74"/>
      <c r="SDK19" s="72"/>
      <c r="SDR19" s="74"/>
      <c r="SDS19" s="72"/>
      <c r="SDZ19" s="74"/>
      <c r="SEA19" s="72"/>
      <c r="SEH19" s="74"/>
      <c r="SEI19" s="72"/>
      <c r="SEP19" s="74"/>
      <c r="SEQ19" s="72"/>
      <c r="SEX19" s="74"/>
      <c r="SEY19" s="72"/>
      <c r="SFF19" s="74"/>
      <c r="SFG19" s="72"/>
      <c r="SFN19" s="74"/>
      <c r="SFO19" s="72"/>
      <c r="SFV19" s="74"/>
      <c r="SFW19" s="72"/>
      <c r="SGD19" s="74"/>
      <c r="SGE19" s="72"/>
      <c r="SGL19" s="74"/>
      <c r="SGM19" s="72"/>
      <c r="SGT19" s="74"/>
      <c r="SGU19" s="72"/>
      <c r="SHB19" s="74"/>
      <c r="SHC19" s="72"/>
      <c r="SHJ19" s="74"/>
      <c r="SHK19" s="72"/>
      <c r="SHR19" s="74"/>
      <c r="SHS19" s="72"/>
      <c r="SHZ19" s="74"/>
      <c r="SIA19" s="72"/>
      <c r="SIH19" s="74"/>
      <c r="SII19" s="72"/>
      <c r="SIP19" s="74"/>
      <c r="SIQ19" s="72"/>
      <c r="SIX19" s="74"/>
      <c r="SIY19" s="72"/>
      <c r="SJF19" s="74"/>
      <c r="SJG19" s="72"/>
      <c r="SJN19" s="74"/>
      <c r="SJO19" s="72"/>
      <c r="SJV19" s="74"/>
      <c r="SJW19" s="72"/>
      <c r="SKD19" s="74"/>
      <c r="SKE19" s="72"/>
      <c r="SKL19" s="74"/>
      <c r="SKM19" s="72"/>
      <c r="SKT19" s="74"/>
      <c r="SKU19" s="72"/>
      <c r="SLB19" s="74"/>
      <c r="SLC19" s="72"/>
      <c r="SLJ19" s="74"/>
      <c r="SLK19" s="72"/>
      <c r="SLR19" s="74"/>
      <c r="SLS19" s="72"/>
      <c r="SLZ19" s="74"/>
      <c r="SMA19" s="72"/>
      <c r="SMH19" s="74"/>
      <c r="SMI19" s="72"/>
      <c r="SMP19" s="74"/>
      <c r="SMQ19" s="72"/>
      <c r="SMX19" s="74"/>
      <c r="SMY19" s="72"/>
      <c r="SNF19" s="74"/>
      <c r="SNG19" s="72"/>
      <c r="SNN19" s="74"/>
      <c r="SNO19" s="72"/>
      <c r="SNV19" s="74"/>
      <c r="SNW19" s="72"/>
      <c r="SOD19" s="74"/>
      <c r="SOE19" s="72"/>
      <c r="SOL19" s="74"/>
      <c r="SOM19" s="72"/>
      <c r="SOT19" s="74"/>
      <c r="SOU19" s="72"/>
      <c r="SPB19" s="74"/>
      <c r="SPC19" s="72"/>
      <c r="SPJ19" s="74"/>
      <c r="SPK19" s="72"/>
      <c r="SPR19" s="74"/>
      <c r="SPS19" s="72"/>
      <c r="SPZ19" s="74"/>
      <c r="SQA19" s="72"/>
      <c r="SQH19" s="74"/>
      <c r="SQI19" s="72"/>
      <c r="SQP19" s="74"/>
      <c r="SQQ19" s="72"/>
      <c r="SQX19" s="74"/>
      <c r="SQY19" s="72"/>
      <c r="SRF19" s="74"/>
      <c r="SRG19" s="72"/>
      <c r="SRN19" s="74"/>
      <c r="SRO19" s="72"/>
      <c r="SRV19" s="74"/>
      <c r="SRW19" s="72"/>
      <c r="SSD19" s="74"/>
      <c r="SSE19" s="72"/>
      <c r="SSL19" s="74"/>
      <c r="SSM19" s="72"/>
      <c r="SST19" s="74"/>
      <c r="SSU19" s="72"/>
      <c r="STB19" s="74"/>
      <c r="STC19" s="72"/>
      <c r="STJ19" s="74"/>
      <c r="STK19" s="72"/>
      <c r="STR19" s="74"/>
      <c r="STS19" s="72"/>
      <c r="STZ19" s="74"/>
      <c r="SUA19" s="72"/>
      <c r="SUH19" s="74"/>
      <c r="SUI19" s="72"/>
      <c r="SUP19" s="74"/>
      <c r="SUQ19" s="72"/>
      <c r="SUX19" s="74"/>
      <c r="SUY19" s="72"/>
      <c r="SVF19" s="74"/>
      <c r="SVG19" s="72"/>
      <c r="SVN19" s="74"/>
      <c r="SVO19" s="72"/>
      <c r="SVV19" s="74"/>
      <c r="SVW19" s="72"/>
      <c r="SWD19" s="74"/>
      <c r="SWE19" s="72"/>
      <c r="SWL19" s="74"/>
      <c r="SWM19" s="72"/>
      <c r="SWT19" s="74"/>
      <c r="SWU19" s="72"/>
      <c r="SXB19" s="74"/>
      <c r="SXC19" s="72"/>
      <c r="SXJ19" s="74"/>
      <c r="SXK19" s="72"/>
      <c r="SXR19" s="74"/>
      <c r="SXS19" s="72"/>
      <c r="SXZ19" s="74"/>
      <c r="SYA19" s="72"/>
      <c r="SYH19" s="74"/>
      <c r="SYI19" s="72"/>
      <c r="SYP19" s="74"/>
      <c r="SYQ19" s="72"/>
      <c r="SYX19" s="74"/>
      <c r="SYY19" s="72"/>
      <c r="SZF19" s="74"/>
      <c r="SZG19" s="72"/>
      <c r="SZN19" s="74"/>
      <c r="SZO19" s="72"/>
      <c r="SZV19" s="74"/>
      <c r="SZW19" s="72"/>
      <c r="TAD19" s="74"/>
      <c r="TAE19" s="72"/>
      <c r="TAL19" s="74"/>
      <c r="TAM19" s="72"/>
      <c r="TAT19" s="74"/>
      <c r="TAU19" s="72"/>
      <c r="TBB19" s="74"/>
      <c r="TBC19" s="72"/>
      <c r="TBJ19" s="74"/>
      <c r="TBK19" s="72"/>
      <c r="TBR19" s="74"/>
      <c r="TBS19" s="72"/>
      <c r="TBZ19" s="74"/>
      <c r="TCA19" s="72"/>
      <c r="TCH19" s="74"/>
      <c r="TCI19" s="72"/>
      <c r="TCP19" s="74"/>
      <c r="TCQ19" s="72"/>
      <c r="TCX19" s="74"/>
      <c r="TCY19" s="72"/>
      <c r="TDF19" s="74"/>
      <c r="TDG19" s="72"/>
      <c r="TDN19" s="74"/>
      <c r="TDO19" s="72"/>
      <c r="TDV19" s="74"/>
      <c r="TDW19" s="72"/>
      <c r="TED19" s="74"/>
      <c r="TEE19" s="72"/>
      <c r="TEL19" s="74"/>
      <c r="TEM19" s="72"/>
      <c r="TET19" s="74"/>
      <c r="TEU19" s="72"/>
      <c r="TFB19" s="74"/>
      <c r="TFC19" s="72"/>
      <c r="TFJ19" s="74"/>
      <c r="TFK19" s="72"/>
      <c r="TFR19" s="74"/>
      <c r="TFS19" s="72"/>
      <c r="TFZ19" s="74"/>
      <c r="TGA19" s="72"/>
      <c r="TGH19" s="74"/>
      <c r="TGI19" s="72"/>
      <c r="TGP19" s="74"/>
      <c r="TGQ19" s="72"/>
      <c r="TGX19" s="74"/>
      <c r="TGY19" s="72"/>
      <c r="THF19" s="74"/>
      <c r="THG19" s="72"/>
      <c r="THN19" s="74"/>
      <c r="THO19" s="72"/>
      <c r="THV19" s="74"/>
      <c r="THW19" s="72"/>
      <c r="TID19" s="74"/>
      <c r="TIE19" s="72"/>
      <c r="TIL19" s="74"/>
      <c r="TIM19" s="72"/>
      <c r="TIT19" s="74"/>
      <c r="TIU19" s="72"/>
      <c r="TJB19" s="74"/>
      <c r="TJC19" s="72"/>
      <c r="TJJ19" s="74"/>
      <c r="TJK19" s="72"/>
      <c r="TJR19" s="74"/>
      <c r="TJS19" s="72"/>
      <c r="TJZ19" s="74"/>
      <c r="TKA19" s="72"/>
      <c r="TKH19" s="74"/>
      <c r="TKI19" s="72"/>
      <c r="TKP19" s="74"/>
      <c r="TKQ19" s="72"/>
      <c r="TKX19" s="74"/>
      <c r="TKY19" s="72"/>
      <c r="TLF19" s="74"/>
      <c r="TLG19" s="72"/>
      <c r="TLN19" s="74"/>
      <c r="TLO19" s="72"/>
      <c r="TLV19" s="74"/>
      <c r="TLW19" s="72"/>
      <c r="TMD19" s="74"/>
      <c r="TME19" s="72"/>
      <c r="TML19" s="74"/>
      <c r="TMM19" s="72"/>
      <c r="TMT19" s="74"/>
      <c r="TMU19" s="72"/>
      <c r="TNB19" s="74"/>
      <c r="TNC19" s="72"/>
      <c r="TNJ19" s="74"/>
      <c r="TNK19" s="72"/>
      <c r="TNR19" s="74"/>
      <c r="TNS19" s="72"/>
      <c r="TNZ19" s="74"/>
      <c r="TOA19" s="72"/>
      <c r="TOH19" s="74"/>
      <c r="TOI19" s="72"/>
      <c r="TOP19" s="74"/>
      <c r="TOQ19" s="72"/>
      <c r="TOX19" s="74"/>
      <c r="TOY19" s="72"/>
      <c r="TPF19" s="74"/>
      <c r="TPG19" s="72"/>
      <c r="TPN19" s="74"/>
      <c r="TPO19" s="72"/>
      <c r="TPV19" s="74"/>
      <c r="TPW19" s="72"/>
      <c r="TQD19" s="74"/>
      <c r="TQE19" s="72"/>
      <c r="TQL19" s="74"/>
      <c r="TQM19" s="72"/>
      <c r="TQT19" s="74"/>
      <c r="TQU19" s="72"/>
      <c r="TRB19" s="74"/>
      <c r="TRC19" s="72"/>
      <c r="TRJ19" s="74"/>
      <c r="TRK19" s="72"/>
      <c r="TRR19" s="74"/>
      <c r="TRS19" s="72"/>
      <c r="TRZ19" s="74"/>
      <c r="TSA19" s="72"/>
      <c r="TSH19" s="74"/>
      <c r="TSI19" s="72"/>
      <c r="TSP19" s="74"/>
      <c r="TSQ19" s="72"/>
      <c r="TSX19" s="74"/>
      <c r="TSY19" s="72"/>
      <c r="TTF19" s="74"/>
      <c r="TTG19" s="72"/>
      <c r="TTN19" s="74"/>
      <c r="TTO19" s="72"/>
      <c r="TTV19" s="74"/>
      <c r="TTW19" s="72"/>
      <c r="TUD19" s="74"/>
      <c r="TUE19" s="72"/>
      <c r="TUL19" s="74"/>
      <c r="TUM19" s="72"/>
      <c r="TUT19" s="74"/>
      <c r="TUU19" s="72"/>
      <c r="TVB19" s="74"/>
      <c r="TVC19" s="72"/>
      <c r="TVJ19" s="74"/>
      <c r="TVK19" s="72"/>
      <c r="TVR19" s="74"/>
      <c r="TVS19" s="72"/>
      <c r="TVZ19" s="74"/>
      <c r="TWA19" s="72"/>
      <c r="TWH19" s="74"/>
      <c r="TWI19" s="72"/>
      <c r="TWP19" s="74"/>
      <c r="TWQ19" s="72"/>
      <c r="TWX19" s="74"/>
      <c r="TWY19" s="72"/>
      <c r="TXF19" s="74"/>
      <c r="TXG19" s="72"/>
      <c r="TXN19" s="74"/>
      <c r="TXO19" s="72"/>
      <c r="TXV19" s="74"/>
      <c r="TXW19" s="72"/>
      <c r="TYD19" s="74"/>
      <c r="TYE19" s="72"/>
      <c r="TYL19" s="74"/>
      <c r="TYM19" s="72"/>
      <c r="TYT19" s="74"/>
      <c r="TYU19" s="72"/>
      <c r="TZB19" s="74"/>
      <c r="TZC19" s="72"/>
      <c r="TZJ19" s="74"/>
      <c r="TZK19" s="72"/>
      <c r="TZR19" s="74"/>
      <c r="TZS19" s="72"/>
      <c r="TZZ19" s="74"/>
      <c r="UAA19" s="72"/>
      <c r="UAH19" s="74"/>
      <c r="UAI19" s="72"/>
      <c r="UAP19" s="74"/>
      <c r="UAQ19" s="72"/>
      <c r="UAX19" s="74"/>
      <c r="UAY19" s="72"/>
      <c r="UBF19" s="74"/>
      <c r="UBG19" s="72"/>
      <c r="UBN19" s="74"/>
      <c r="UBO19" s="72"/>
      <c r="UBV19" s="74"/>
      <c r="UBW19" s="72"/>
      <c r="UCD19" s="74"/>
      <c r="UCE19" s="72"/>
      <c r="UCL19" s="74"/>
      <c r="UCM19" s="72"/>
      <c r="UCT19" s="74"/>
      <c r="UCU19" s="72"/>
      <c r="UDB19" s="74"/>
      <c r="UDC19" s="72"/>
      <c r="UDJ19" s="74"/>
      <c r="UDK19" s="72"/>
      <c r="UDR19" s="74"/>
      <c r="UDS19" s="72"/>
      <c r="UDZ19" s="74"/>
      <c r="UEA19" s="72"/>
      <c r="UEH19" s="74"/>
      <c r="UEI19" s="72"/>
      <c r="UEP19" s="74"/>
      <c r="UEQ19" s="72"/>
      <c r="UEX19" s="74"/>
      <c r="UEY19" s="72"/>
      <c r="UFF19" s="74"/>
      <c r="UFG19" s="72"/>
      <c r="UFN19" s="74"/>
      <c r="UFO19" s="72"/>
      <c r="UFV19" s="74"/>
      <c r="UFW19" s="72"/>
      <c r="UGD19" s="74"/>
      <c r="UGE19" s="72"/>
      <c r="UGL19" s="74"/>
      <c r="UGM19" s="72"/>
      <c r="UGT19" s="74"/>
      <c r="UGU19" s="72"/>
      <c r="UHB19" s="74"/>
      <c r="UHC19" s="72"/>
      <c r="UHJ19" s="74"/>
      <c r="UHK19" s="72"/>
      <c r="UHR19" s="74"/>
      <c r="UHS19" s="72"/>
      <c r="UHZ19" s="74"/>
      <c r="UIA19" s="72"/>
      <c r="UIH19" s="74"/>
      <c r="UII19" s="72"/>
      <c r="UIP19" s="74"/>
      <c r="UIQ19" s="72"/>
      <c r="UIX19" s="74"/>
      <c r="UIY19" s="72"/>
      <c r="UJF19" s="74"/>
      <c r="UJG19" s="72"/>
      <c r="UJN19" s="74"/>
      <c r="UJO19" s="72"/>
      <c r="UJV19" s="74"/>
      <c r="UJW19" s="72"/>
      <c r="UKD19" s="74"/>
      <c r="UKE19" s="72"/>
      <c r="UKL19" s="74"/>
      <c r="UKM19" s="72"/>
      <c r="UKT19" s="74"/>
      <c r="UKU19" s="72"/>
      <c r="ULB19" s="74"/>
      <c r="ULC19" s="72"/>
      <c r="ULJ19" s="74"/>
      <c r="ULK19" s="72"/>
      <c r="ULR19" s="74"/>
      <c r="ULS19" s="72"/>
      <c r="ULZ19" s="74"/>
      <c r="UMA19" s="72"/>
      <c r="UMH19" s="74"/>
      <c r="UMI19" s="72"/>
      <c r="UMP19" s="74"/>
      <c r="UMQ19" s="72"/>
      <c r="UMX19" s="74"/>
      <c r="UMY19" s="72"/>
      <c r="UNF19" s="74"/>
      <c r="UNG19" s="72"/>
      <c r="UNN19" s="74"/>
      <c r="UNO19" s="72"/>
      <c r="UNV19" s="74"/>
      <c r="UNW19" s="72"/>
      <c r="UOD19" s="74"/>
      <c r="UOE19" s="72"/>
      <c r="UOL19" s="74"/>
      <c r="UOM19" s="72"/>
      <c r="UOT19" s="74"/>
      <c r="UOU19" s="72"/>
      <c r="UPB19" s="74"/>
      <c r="UPC19" s="72"/>
      <c r="UPJ19" s="74"/>
      <c r="UPK19" s="72"/>
      <c r="UPR19" s="74"/>
      <c r="UPS19" s="72"/>
      <c r="UPZ19" s="74"/>
      <c r="UQA19" s="72"/>
      <c r="UQH19" s="74"/>
      <c r="UQI19" s="72"/>
      <c r="UQP19" s="74"/>
      <c r="UQQ19" s="72"/>
      <c r="UQX19" s="74"/>
      <c r="UQY19" s="72"/>
      <c r="URF19" s="74"/>
      <c r="URG19" s="72"/>
      <c r="URN19" s="74"/>
      <c r="URO19" s="72"/>
      <c r="URV19" s="74"/>
      <c r="URW19" s="72"/>
      <c r="USD19" s="74"/>
      <c r="USE19" s="72"/>
      <c r="USL19" s="74"/>
      <c r="USM19" s="72"/>
      <c r="UST19" s="74"/>
      <c r="USU19" s="72"/>
      <c r="UTB19" s="74"/>
      <c r="UTC19" s="72"/>
      <c r="UTJ19" s="74"/>
      <c r="UTK19" s="72"/>
      <c r="UTR19" s="74"/>
      <c r="UTS19" s="72"/>
      <c r="UTZ19" s="74"/>
      <c r="UUA19" s="72"/>
      <c r="UUH19" s="74"/>
      <c r="UUI19" s="72"/>
      <c r="UUP19" s="74"/>
      <c r="UUQ19" s="72"/>
      <c r="UUX19" s="74"/>
      <c r="UUY19" s="72"/>
      <c r="UVF19" s="74"/>
      <c r="UVG19" s="72"/>
      <c r="UVN19" s="74"/>
      <c r="UVO19" s="72"/>
      <c r="UVV19" s="74"/>
      <c r="UVW19" s="72"/>
      <c r="UWD19" s="74"/>
      <c r="UWE19" s="72"/>
      <c r="UWL19" s="74"/>
      <c r="UWM19" s="72"/>
      <c r="UWT19" s="74"/>
      <c r="UWU19" s="72"/>
      <c r="UXB19" s="74"/>
      <c r="UXC19" s="72"/>
      <c r="UXJ19" s="74"/>
      <c r="UXK19" s="72"/>
      <c r="UXR19" s="74"/>
      <c r="UXS19" s="72"/>
      <c r="UXZ19" s="74"/>
      <c r="UYA19" s="72"/>
      <c r="UYH19" s="74"/>
      <c r="UYI19" s="72"/>
      <c r="UYP19" s="74"/>
      <c r="UYQ19" s="72"/>
      <c r="UYX19" s="74"/>
      <c r="UYY19" s="72"/>
      <c r="UZF19" s="74"/>
      <c r="UZG19" s="72"/>
      <c r="UZN19" s="74"/>
      <c r="UZO19" s="72"/>
      <c r="UZV19" s="74"/>
      <c r="UZW19" s="72"/>
      <c r="VAD19" s="74"/>
      <c r="VAE19" s="72"/>
      <c r="VAL19" s="74"/>
      <c r="VAM19" s="72"/>
      <c r="VAT19" s="74"/>
      <c r="VAU19" s="72"/>
      <c r="VBB19" s="74"/>
      <c r="VBC19" s="72"/>
      <c r="VBJ19" s="74"/>
      <c r="VBK19" s="72"/>
      <c r="VBR19" s="74"/>
      <c r="VBS19" s="72"/>
      <c r="VBZ19" s="74"/>
      <c r="VCA19" s="72"/>
      <c r="VCH19" s="74"/>
      <c r="VCI19" s="72"/>
      <c r="VCP19" s="74"/>
      <c r="VCQ19" s="72"/>
      <c r="VCX19" s="74"/>
      <c r="VCY19" s="72"/>
      <c r="VDF19" s="74"/>
      <c r="VDG19" s="72"/>
      <c r="VDN19" s="74"/>
      <c r="VDO19" s="72"/>
      <c r="VDV19" s="74"/>
      <c r="VDW19" s="72"/>
      <c r="VED19" s="74"/>
      <c r="VEE19" s="72"/>
      <c r="VEL19" s="74"/>
      <c r="VEM19" s="72"/>
      <c r="VET19" s="74"/>
      <c r="VEU19" s="72"/>
      <c r="VFB19" s="74"/>
      <c r="VFC19" s="72"/>
      <c r="VFJ19" s="74"/>
      <c r="VFK19" s="72"/>
      <c r="VFR19" s="74"/>
      <c r="VFS19" s="72"/>
      <c r="VFZ19" s="74"/>
      <c r="VGA19" s="72"/>
      <c r="VGH19" s="74"/>
      <c r="VGI19" s="72"/>
      <c r="VGP19" s="74"/>
      <c r="VGQ19" s="72"/>
      <c r="VGX19" s="74"/>
      <c r="VGY19" s="72"/>
      <c r="VHF19" s="74"/>
      <c r="VHG19" s="72"/>
      <c r="VHN19" s="74"/>
      <c r="VHO19" s="72"/>
      <c r="VHV19" s="74"/>
      <c r="VHW19" s="72"/>
      <c r="VID19" s="74"/>
      <c r="VIE19" s="72"/>
      <c r="VIL19" s="74"/>
      <c r="VIM19" s="72"/>
      <c r="VIT19" s="74"/>
      <c r="VIU19" s="72"/>
      <c r="VJB19" s="74"/>
      <c r="VJC19" s="72"/>
      <c r="VJJ19" s="74"/>
      <c r="VJK19" s="72"/>
      <c r="VJR19" s="74"/>
      <c r="VJS19" s="72"/>
      <c r="VJZ19" s="74"/>
      <c r="VKA19" s="72"/>
      <c r="VKH19" s="74"/>
      <c r="VKI19" s="72"/>
      <c r="VKP19" s="74"/>
      <c r="VKQ19" s="72"/>
      <c r="VKX19" s="74"/>
      <c r="VKY19" s="72"/>
      <c r="VLF19" s="74"/>
      <c r="VLG19" s="72"/>
      <c r="VLN19" s="74"/>
      <c r="VLO19" s="72"/>
      <c r="VLV19" s="74"/>
      <c r="VLW19" s="72"/>
      <c r="VMD19" s="74"/>
      <c r="VME19" s="72"/>
      <c r="VML19" s="74"/>
      <c r="VMM19" s="72"/>
      <c r="VMT19" s="74"/>
      <c r="VMU19" s="72"/>
      <c r="VNB19" s="74"/>
      <c r="VNC19" s="72"/>
      <c r="VNJ19" s="74"/>
      <c r="VNK19" s="72"/>
      <c r="VNR19" s="74"/>
      <c r="VNS19" s="72"/>
      <c r="VNZ19" s="74"/>
      <c r="VOA19" s="72"/>
      <c r="VOH19" s="74"/>
      <c r="VOI19" s="72"/>
      <c r="VOP19" s="74"/>
      <c r="VOQ19" s="72"/>
      <c r="VOX19" s="74"/>
      <c r="VOY19" s="72"/>
      <c r="VPF19" s="74"/>
      <c r="VPG19" s="72"/>
      <c r="VPN19" s="74"/>
      <c r="VPO19" s="72"/>
      <c r="VPV19" s="74"/>
      <c r="VPW19" s="72"/>
      <c r="VQD19" s="74"/>
      <c r="VQE19" s="72"/>
      <c r="VQL19" s="74"/>
      <c r="VQM19" s="72"/>
      <c r="VQT19" s="74"/>
      <c r="VQU19" s="72"/>
      <c r="VRB19" s="74"/>
      <c r="VRC19" s="72"/>
      <c r="VRJ19" s="74"/>
      <c r="VRK19" s="72"/>
      <c r="VRR19" s="74"/>
      <c r="VRS19" s="72"/>
      <c r="VRZ19" s="74"/>
      <c r="VSA19" s="72"/>
      <c r="VSH19" s="74"/>
      <c r="VSI19" s="72"/>
      <c r="VSP19" s="74"/>
      <c r="VSQ19" s="72"/>
      <c r="VSX19" s="74"/>
      <c r="VSY19" s="72"/>
      <c r="VTF19" s="74"/>
      <c r="VTG19" s="72"/>
      <c r="VTN19" s="74"/>
      <c r="VTO19" s="72"/>
      <c r="VTV19" s="74"/>
      <c r="VTW19" s="72"/>
      <c r="VUD19" s="74"/>
      <c r="VUE19" s="72"/>
      <c r="VUL19" s="74"/>
      <c r="VUM19" s="72"/>
      <c r="VUT19" s="74"/>
      <c r="VUU19" s="72"/>
      <c r="VVB19" s="74"/>
      <c r="VVC19" s="72"/>
      <c r="VVJ19" s="74"/>
      <c r="VVK19" s="72"/>
      <c r="VVR19" s="74"/>
      <c r="VVS19" s="72"/>
      <c r="VVZ19" s="74"/>
      <c r="VWA19" s="72"/>
      <c r="VWH19" s="74"/>
      <c r="VWI19" s="72"/>
      <c r="VWP19" s="74"/>
      <c r="VWQ19" s="72"/>
      <c r="VWX19" s="74"/>
      <c r="VWY19" s="72"/>
      <c r="VXF19" s="74"/>
      <c r="VXG19" s="72"/>
      <c r="VXN19" s="74"/>
      <c r="VXO19" s="72"/>
      <c r="VXV19" s="74"/>
      <c r="VXW19" s="72"/>
      <c r="VYD19" s="74"/>
      <c r="VYE19" s="72"/>
      <c r="VYL19" s="74"/>
      <c r="VYM19" s="72"/>
      <c r="VYT19" s="74"/>
      <c r="VYU19" s="72"/>
      <c r="VZB19" s="74"/>
      <c r="VZC19" s="72"/>
      <c r="VZJ19" s="74"/>
      <c r="VZK19" s="72"/>
      <c r="VZR19" s="74"/>
      <c r="VZS19" s="72"/>
      <c r="VZZ19" s="74"/>
      <c r="WAA19" s="72"/>
      <c r="WAH19" s="74"/>
      <c r="WAI19" s="72"/>
      <c r="WAP19" s="74"/>
      <c r="WAQ19" s="72"/>
      <c r="WAX19" s="74"/>
      <c r="WAY19" s="72"/>
      <c r="WBF19" s="74"/>
      <c r="WBG19" s="72"/>
      <c r="WBN19" s="74"/>
      <c r="WBO19" s="72"/>
      <c r="WBV19" s="74"/>
      <c r="WBW19" s="72"/>
      <c r="WCD19" s="74"/>
      <c r="WCE19" s="72"/>
      <c r="WCL19" s="74"/>
      <c r="WCM19" s="72"/>
      <c r="WCT19" s="74"/>
      <c r="WCU19" s="72"/>
      <c r="WDB19" s="74"/>
      <c r="WDC19" s="72"/>
      <c r="WDJ19" s="74"/>
      <c r="WDK19" s="72"/>
      <c r="WDR19" s="74"/>
      <c r="WDS19" s="72"/>
      <c r="WDZ19" s="74"/>
      <c r="WEA19" s="72"/>
      <c r="WEH19" s="74"/>
      <c r="WEI19" s="72"/>
      <c r="WEP19" s="74"/>
      <c r="WEQ19" s="72"/>
      <c r="WEX19" s="74"/>
      <c r="WEY19" s="72"/>
      <c r="WFF19" s="74"/>
      <c r="WFG19" s="72"/>
      <c r="WFN19" s="74"/>
      <c r="WFO19" s="72"/>
      <c r="WFV19" s="74"/>
      <c r="WFW19" s="72"/>
      <c r="WGD19" s="74"/>
      <c r="WGE19" s="72"/>
      <c r="WGL19" s="74"/>
      <c r="WGM19" s="72"/>
      <c r="WGT19" s="74"/>
      <c r="WGU19" s="72"/>
      <c r="WHB19" s="74"/>
      <c r="WHC19" s="72"/>
      <c r="WHJ19" s="74"/>
      <c r="WHK19" s="72"/>
      <c r="WHR19" s="74"/>
      <c r="WHS19" s="72"/>
      <c r="WHZ19" s="74"/>
      <c r="WIA19" s="72"/>
      <c r="WIH19" s="74"/>
      <c r="WII19" s="72"/>
      <c r="WIP19" s="74"/>
      <c r="WIQ19" s="72"/>
      <c r="WIX19" s="74"/>
      <c r="WIY19" s="72"/>
      <c r="WJF19" s="74"/>
      <c r="WJG19" s="72"/>
      <c r="WJN19" s="74"/>
      <c r="WJO19" s="72"/>
      <c r="WJV19" s="74"/>
      <c r="WJW19" s="72"/>
      <c r="WKD19" s="74"/>
      <c r="WKE19" s="72"/>
      <c r="WKL19" s="74"/>
      <c r="WKM19" s="72"/>
      <c r="WKT19" s="74"/>
      <c r="WKU19" s="72"/>
      <c r="WLB19" s="74"/>
      <c r="WLC19" s="72"/>
      <c r="WLJ19" s="74"/>
      <c r="WLK19" s="72"/>
      <c r="WLR19" s="74"/>
      <c r="WLS19" s="72"/>
      <c r="WLZ19" s="74"/>
      <c r="WMA19" s="72"/>
      <c r="WMH19" s="74"/>
      <c r="WMI19" s="72"/>
      <c r="WMP19" s="74"/>
      <c r="WMQ19" s="72"/>
      <c r="WMX19" s="74"/>
      <c r="WMY19" s="72"/>
      <c r="WNF19" s="74"/>
      <c r="WNG19" s="72"/>
      <c r="WNN19" s="74"/>
      <c r="WNO19" s="72"/>
      <c r="WNV19" s="74"/>
      <c r="WNW19" s="72"/>
      <c r="WOD19" s="74"/>
      <c r="WOE19" s="72"/>
      <c r="WOL19" s="74"/>
      <c r="WOM19" s="72"/>
      <c r="WOT19" s="74"/>
      <c r="WOU19" s="72"/>
      <c r="WPB19" s="74"/>
      <c r="WPC19" s="72"/>
      <c r="WPJ19" s="74"/>
      <c r="WPK19" s="72"/>
      <c r="WPR19" s="74"/>
      <c r="WPS19" s="72"/>
      <c r="WPZ19" s="74"/>
      <c r="WQA19" s="72"/>
      <c r="WQH19" s="74"/>
      <c r="WQI19" s="72"/>
      <c r="WQP19" s="74"/>
      <c r="WQQ19" s="72"/>
      <c r="WQX19" s="74"/>
      <c r="WQY19" s="72"/>
      <c r="WRF19" s="74"/>
      <c r="WRG19" s="72"/>
      <c r="WRN19" s="74"/>
      <c r="WRO19" s="72"/>
      <c r="WRV19" s="74"/>
      <c r="WRW19" s="72"/>
      <c r="WSD19" s="74"/>
      <c r="WSE19" s="72"/>
      <c r="WSL19" s="74"/>
      <c r="WSM19" s="72"/>
      <c r="WST19" s="74"/>
      <c r="WSU19" s="72"/>
      <c r="WTB19" s="74"/>
      <c r="WTC19" s="72"/>
      <c r="WTJ19" s="74"/>
      <c r="WTK19" s="72"/>
      <c r="WTR19" s="74"/>
      <c r="WTS19" s="72"/>
      <c r="WTZ19" s="74"/>
      <c r="WUA19" s="72"/>
      <c r="WUH19" s="74"/>
      <c r="WUI19" s="72"/>
      <c r="WUP19" s="74"/>
      <c r="WUQ19" s="72"/>
      <c r="WUX19" s="74"/>
      <c r="WUY19" s="72"/>
      <c r="WVF19" s="74"/>
      <c r="WVG19" s="72"/>
      <c r="WVN19" s="74"/>
      <c r="WVO19" s="72"/>
      <c r="WVV19" s="74"/>
      <c r="WVW19" s="72"/>
      <c r="WWD19" s="74"/>
      <c r="WWE19" s="72"/>
      <c r="WWL19" s="74"/>
      <c r="WWM19" s="72"/>
      <c r="WWT19" s="74"/>
      <c r="WWU19" s="72"/>
      <c r="WXB19" s="74"/>
      <c r="WXC19" s="72"/>
      <c r="WXJ19" s="74"/>
      <c r="WXK19" s="72"/>
      <c r="WXR19" s="74"/>
      <c r="WXS19" s="72"/>
      <c r="WXZ19" s="74"/>
      <c r="WYA19" s="72"/>
      <c r="WYH19" s="74"/>
      <c r="WYI19" s="72"/>
      <c r="WYP19" s="74"/>
      <c r="WYQ19" s="72"/>
      <c r="WYX19" s="74"/>
      <c r="WYY19" s="72"/>
      <c r="WZF19" s="74"/>
      <c r="WZG19" s="72"/>
      <c r="WZN19" s="74"/>
      <c r="WZO19" s="72"/>
      <c r="WZV19" s="74"/>
      <c r="WZW19" s="72"/>
      <c r="XAD19" s="74"/>
      <c r="XAE19" s="72"/>
      <c r="XAL19" s="74"/>
      <c r="XAM19" s="72"/>
      <c r="XAT19" s="74"/>
      <c r="XAU19" s="72"/>
      <c r="XBB19" s="74"/>
      <c r="XBC19" s="72"/>
      <c r="XBJ19" s="74"/>
      <c r="XBK19" s="72"/>
      <c r="XBR19" s="74"/>
      <c r="XBS19" s="72"/>
      <c r="XBZ19" s="74"/>
      <c r="XCA19" s="72"/>
      <c r="XCH19" s="74"/>
      <c r="XCI19" s="72"/>
      <c r="XCP19" s="74"/>
      <c r="XCQ19" s="72"/>
      <c r="XCX19" s="74"/>
      <c r="XCY19" s="72"/>
      <c r="XDF19" s="74"/>
      <c r="XDG19" s="72"/>
      <c r="XDN19" s="74"/>
      <c r="XDO19" s="72"/>
      <c r="XDV19" s="74"/>
      <c r="XDW19" s="72"/>
      <c r="XED19" s="74"/>
      <c r="XEE19" s="72"/>
      <c r="XEL19" s="74"/>
      <c r="XEM19" s="72"/>
      <c r="XET19" s="74"/>
      <c r="XEU19" s="72"/>
      <c r="XFB19" s="74"/>
      <c r="XFC19" s="72"/>
    </row>
    <row r="20" spans="1:1023 1030:2047 2054:3071 3078:4095 4102:5119 5126:6143 6150:7167 7174:8191 8198:9215 9222:10239 10246:11263 11270:12287 12294:13311 13318:14335 14342:15359 15366:16383" s="164" customFormat="1" ht="15" customHeight="1" thickBot="1">
      <c r="B20" s="165" t="s">
        <v>240</v>
      </c>
      <c r="C20" s="166">
        <v>1704.9596000000001</v>
      </c>
      <c r="D20" s="166">
        <f>E20</f>
        <v>6411.5569999999998</v>
      </c>
      <c r="E20" s="166">
        <v>6411.5569999999998</v>
      </c>
      <c r="F20" s="166">
        <v>5021.9830000000002</v>
      </c>
      <c r="G20" s="166">
        <v>1876</v>
      </c>
      <c r="H20" s="166">
        <f t="shared" ref="H20:H28" si="3">I20</f>
        <v>5666</v>
      </c>
      <c r="I20" s="166">
        <f>5666</f>
        <v>5666</v>
      </c>
      <c r="J20" s="166">
        <v>3938</v>
      </c>
      <c r="K20" s="166">
        <v>878</v>
      </c>
      <c r="L20" s="166">
        <f>M20</f>
        <v>4687</v>
      </c>
      <c r="M20" s="166">
        <v>4687</v>
      </c>
      <c r="N20" s="166">
        <v>3593</v>
      </c>
      <c r="O20" s="166">
        <v>1282</v>
      </c>
      <c r="P20" s="166">
        <f>Q20</f>
        <v>4958</v>
      </c>
      <c r="Q20" s="166">
        <v>4958</v>
      </c>
      <c r="R20" s="166">
        <v>4159</v>
      </c>
      <c r="S20" s="166">
        <v>1718</v>
      </c>
      <c r="T20" s="166">
        <v>3631</v>
      </c>
      <c r="U20" s="166">
        <v>3631</v>
      </c>
      <c r="V20" s="166">
        <v>3097</v>
      </c>
      <c r="W20" s="80"/>
      <c r="X20" s="80"/>
      <c r="Y20" s="80"/>
      <c r="Z20" s="80"/>
    </row>
    <row r="21" spans="1:1023 1030:2047 2054:3071 3078:4095 4102:5119 5126:6143 6150:7167 7174:8191 8198:9215 9222:10239 10246:11263 11270:12287 12294:13311 13318:14335 14342:15359 15366:16383" s="164" customFormat="1" ht="15" customHeight="1" thickBot="1">
      <c r="B21" s="165" t="s">
        <v>132</v>
      </c>
      <c r="C21" s="166">
        <f>SUM(C22:C23)</f>
        <v>76.252848</v>
      </c>
      <c r="D21" s="166">
        <f>E21</f>
        <v>272.33422400000001</v>
      </c>
      <c r="E21" s="166">
        <v>272.33422400000001</v>
      </c>
      <c r="F21" s="166">
        <f>SUM(F22:F23)</f>
        <v>213.024102</v>
      </c>
      <c r="G21" s="166">
        <f>SUM(G22:G23)</f>
        <v>95</v>
      </c>
      <c r="H21" s="166">
        <f t="shared" si="3"/>
        <v>233</v>
      </c>
      <c r="I21" s="166">
        <f>SUM(I22:I23)</f>
        <v>233</v>
      </c>
      <c r="J21" s="166">
        <f>SUM(J22:J23)</f>
        <v>150</v>
      </c>
      <c r="K21" s="166">
        <f>SUM(K22:K23)</f>
        <v>42</v>
      </c>
      <c r="L21" s="166">
        <f t="shared" ref="L21:V21" si="4">SUM(L22:L23)</f>
        <v>257.89999999999998</v>
      </c>
      <c r="M21" s="166">
        <f t="shared" si="4"/>
        <v>257.89999999999998</v>
      </c>
      <c r="N21" s="166">
        <f t="shared" si="4"/>
        <v>197.5</v>
      </c>
      <c r="O21" s="166">
        <f t="shared" si="4"/>
        <v>83</v>
      </c>
      <c r="P21" s="166">
        <f t="shared" si="4"/>
        <v>244.8</v>
      </c>
      <c r="Q21" s="166">
        <f t="shared" si="4"/>
        <v>244.8</v>
      </c>
      <c r="R21" s="166">
        <f t="shared" si="4"/>
        <v>164</v>
      </c>
      <c r="S21" s="166">
        <f t="shared" si="4"/>
        <v>60.4</v>
      </c>
      <c r="T21" s="166">
        <f t="shared" si="4"/>
        <v>286</v>
      </c>
      <c r="U21" s="166">
        <f t="shared" si="4"/>
        <v>286</v>
      </c>
      <c r="V21" s="166">
        <f t="shared" si="4"/>
        <v>284</v>
      </c>
    </row>
    <row r="22" spans="1:1023 1030:2047 2054:3071 3078:4095 4102:5119 5126:6143 6150:7167 7174:8191 8198:9215 9222:10239 10246:11263 11270:12287 12294:13311 13318:14335 14342:15359 15366:16383" s="80" customFormat="1" ht="15" customHeight="1" thickBot="1">
      <c r="B22" s="159" t="s">
        <v>242</v>
      </c>
      <c r="C22" s="141">
        <v>27.470400000000001</v>
      </c>
      <c r="D22" s="141">
        <f t="shared" ref="D22:D29" si="5">E22</f>
        <v>100.039467</v>
      </c>
      <c r="E22" s="141">
        <v>100.039467</v>
      </c>
      <c r="F22" s="141">
        <v>85.479472999999999</v>
      </c>
      <c r="G22" s="141">
        <v>36</v>
      </c>
      <c r="H22" s="141">
        <f t="shared" si="3"/>
        <v>90</v>
      </c>
      <c r="I22" s="141">
        <f>90</f>
        <v>90</v>
      </c>
      <c r="J22" s="141">
        <v>51</v>
      </c>
      <c r="K22" s="141">
        <v>16</v>
      </c>
      <c r="L22" s="141">
        <f t="shared" ref="L22:L28" si="6">M22</f>
        <v>101.3</v>
      </c>
      <c r="M22" s="141">
        <v>101.3</v>
      </c>
      <c r="N22" s="141">
        <v>74.400000000000006</v>
      </c>
      <c r="O22" s="141">
        <v>26</v>
      </c>
      <c r="P22" s="141">
        <f t="shared" ref="P22:P28" si="7">Q22</f>
        <v>101</v>
      </c>
      <c r="Q22" s="141">
        <v>101</v>
      </c>
      <c r="R22" s="141">
        <v>60</v>
      </c>
      <c r="S22" s="141">
        <v>23.4</v>
      </c>
      <c r="T22" s="141">
        <v>109</v>
      </c>
      <c r="U22" s="141">
        <v>109</v>
      </c>
      <c r="V22" s="141">
        <v>123</v>
      </c>
    </row>
    <row r="23" spans="1:1023 1030:2047 2054:3071 3078:4095 4102:5119 5126:6143 6150:7167 7174:8191 8198:9215 9222:10239 10246:11263 11270:12287 12294:13311 13318:14335 14342:15359 15366:16383" s="80" customFormat="1" ht="15" customHeight="1" thickBot="1">
      <c r="B23" s="159" t="s">
        <v>243</v>
      </c>
      <c r="C23" s="141">
        <v>48.782447999999995</v>
      </c>
      <c r="D23" s="141">
        <f t="shared" si="5"/>
        <v>172.294757</v>
      </c>
      <c r="E23" s="141">
        <v>172.294757</v>
      </c>
      <c r="F23" s="141">
        <v>127.544629</v>
      </c>
      <c r="G23" s="141">
        <v>59</v>
      </c>
      <c r="H23" s="141">
        <f t="shared" si="3"/>
        <v>143</v>
      </c>
      <c r="I23" s="141">
        <f>143</f>
        <v>143</v>
      </c>
      <c r="J23" s="141">
        <v>99</v>
      </c>
      <c r="K23" s="141">
        <v>26</v>
      </c>
      <c r="L23" s="141">
        <f t="shared" si="6"/>
        <v>156.6</v>
      </c>
      <c r="M23" s="141">
        <v>156.6</v>
      </c>
      <c r="N23" s="141">
        <v>123.1</v>
      </c>
      <c r="O23" s="141">
        <v>57</v>
      </c>
      <c r="P23" s="141">
        <f t="shared" si="7"/>
        <v>143.80000000000001</v>
      </c>
      <c r="Q23" s="141">
        <v>143.80000000000001</v>
      </c>
      <c r="R23" s="141">
        <v>104</v>
      </c>
      <c r="S23" s="141">
        <v>37</v>
      </c>
      <c r="T23" s="141">
        <v>177</v>
      </c>
      <c r="U23" s="141">
        <v>177</v>
      </c>
      <c r="V23" s="141">
        <v>161</v>
      </c>
    </row>
    <row r="24" spans="1:1023 1030:2047 2054:3071 3078:4095 4102:5119 5126:6143 6150:7167 7174:8191 8198:9215 9222:10239 10246:11263 11270:12287 12294:13311 13318:14335 14342:15359 15366:16383" s="80" customFormat="1" ht="15" customHeight="1" thickBot="1">
      <c r="B24" s="159" t="s">
        <v>355</v>
      </c>
      <c r="C24" s="141">
        <v>18</v>
      </c>
      <c r="D24" s="141">
        <f t="shared" si="5"/>
        <v>68.620220000000003</v>
      </c>
      <c r="E24" s="141">
        <v>68.620220000000003</v>
      </c>
      <c r="F24" s="141">
        <v>52.833730000000003</v>
      </c>
      <c r="G24" s="141">
        <v>24</v>
      </c>
      <c r="H24" s="141">
        <f t="shared" si="3"/>
        <v>29</v>
      </c>
      <c r="I24" s="141">
        <f>29</f>
        <v>29</v>
      </c>
      <c r="J24" s="141">
        <f>I24-K24</f>
        <v>22</v>
      </c>
      <c r="K24" s="141">
        <v>7</v>
      </c>
      <c r="L24" s="141">
        <f t="shared" si="6"/>
        <v>52.3</v>
      </c>
      <c r="M24" s="141">
        <v>52.3</v>
      </c>
      <c r="N24" s="141">
        <v>37</v>
      </c>
      <c r="O24" s="141">
        <v>13</v>
      </c>
      <c r="P24" s="141">
        <f t="shared" si="7"/>
        <v>27.4</v>
      </c>
      <c r="Q24" s="141">
        <v>27.4</v>
      </c>
      <c r="R24" s="141">
        <v>26</v>
      </c>
      <c r="S24" s="141">
        <v>7.2</v>
      </c>
      <c r="T24" s="141">
        <v>61</v>
      </c>
      <c r="U24" s="141">
        <v>61</v>
      </c>
      <c r="V24" s="141">
        <v>50</v>
      </c>
    </row>
    <row r="25" spans="1:1023 1030:2047 2054:3071 3078:4095 4102:5119 5126:6143 6150:7167 7174:8191 8198:9215 9222:10239 10246:11263 11270:12287 12294:13311 13318:14335 14342:15359 15366:16383" s="80" customFormat="1" ht="15" customHeight="1" thickBot="1">
      <c r="B25" s="159" t="s">
        <v>246</v>
      </c>
      <c r="C25" s="141">
        <v>46</v>
      </c>
      <c r="D25" s="141">
        <f t="shared" si="5"/>
        <v>83.307120279999765</v>
      </c>
      <c r="E25" s="141">
        <v>83.307120279999765</v>
      </c>
      <c r="F25" s="141">
        <v>88.210595863999856</v>
      </c>
      <c r="G25" s="141">
        <v>529</v>
      </c>
      <c r="H25" s="141">
        <f t="shared" si="3"/>
        <v>363</v>
      </c>
      <c r="I25" s="141">
        <f>363</f>
        <v>363</v>
      </c>
      <c r="J25" s="141">
        <f>I25-K25</f>
        <v>129</v>
      </c>
      <c r="K25" s="141">
        <v>234</v>
      </c>
      <c r="L25" s="141">
        <f t="shared" si="6"/>
        <v>180</v>
      </c>
      <c r="M25" s="141">
        <v>180</v>
      </c>
      <c r="N25" s="141">
        <v>138</v>
      </c>
      <c r="O25" s="141">
        <v>412</v>
      </c>
      <c r="P25" s="141">
        <f t="shared" si="7"/>
        <v>129.19999999999999</v>
      </c>
      <c r="Q25" s="141">
        <v>129.19999999999999</v>
      </c>
      <c r="R25" s="141">
        <v>108</v>
      </c>
      <c r="S25" s="141">
        <v>0</v>
      </c>
      <c r="T25" s="141">
        <v>0</v>
      </c>
      <c r="U25" s="141">
        <v>0</v>
      </c>
      <c r="V25" s="141">
        <v>0</v>
      </c>
    </row>
    <row r="26" spans="1:1023 1030:2047 2054:3071 3078:4095 4102:5119 5126:6143 6150:7167 7174:8191 8198:9215 9222:10239 10246:11263 11270:12287 12294:13311 13318:14335 14342:15359 15366:16383" s="80" customFormat="1" ht="15" customHeight="1" thickBot="1">
      <c r="B26" s="159" t="s">
        <v>349</v>
      </c>
      <c r="C26" s="141">
        <v>0</v>
      </c>
      <c r="D26" s="141">
        <f t="shared" si="5"/>
        <v>24.370999999999999</v>
      </c>
      <c r="E26" s="141">
        <v>24.370999999999999</v>
      </c>
      <c r="F26" s="141">
        <v>17.074999999999999</v>
      </c>
      <c r="G26" s="141">
        <v>7</v>
      </c>
      <c r="H26" s="141">
        <f t="shared" si="3"/>
        <v>43</v>
      </c>
      <c r="I26" s="141">
        <f>43</f>
        <v>43</v>
      </c>
      <c r="J26" s="141">
        <f>I26-K26</f>
        <v>21</v>
      </c>
      <c r="K26" s="141">
        <v>22</v>
      </c>
      <c r="L26" s="141">
        <f t="shared" si="6"/>
        <v>100</v>
      </c>
      <c r="M26" s="141">
        <v>100</v>
      </c>
      <c r="N26" s="141">
        <v>79</v>
      </c>
      <c r="O26" s="141">
        <v>12</v>
      </c>
      <c r="P26" s="141">
        <f t="shared" si="7"/>
        <v>0</v>
      </c>
      <c r="Q26" s="141">
        <v>0</v>
      </c>
      <c r="R26" s="141">
        <v>0</v>
      </c>
      <c r="S26" s="141">
        <v>0</v>
      </c>
      <c r="T26" s="141">
        <v>0</v>
      </c>
      <c r="U26" s="141">
        <v>0</v>
      </c>
      <c r="V26" s="141">
        <v>0</v>
      </c>
    </row>
    <row r="27" spans="1:1023 1030:2047 2054:3071 3078:4095 4102:5119 5126:6143 6150:7167 7174:8191 8198:9215 9222:10239 10246:11263 11270:12287 12294:13311 13318:14335 14342:15359 15366:16383" s="80" customFormat="1" ht="15" customHeight="1" thickBot="1">
      <c r="B27" s="159" t="s">
        <v>319</v>
      </c>
      <c r="C27" s="141">
        <v>87</v>
      </c>
      <c r="D27" s="141">
        <f t="shared" si="5"/>
        <v>0</v>
      </c>
      <c r="E27" s="141">
        <v>0</v>
      </c>
      <c r="F27" s="141">
        <v>0</v>
      </c>
      <c r="G27" s="141">
        <v>0</v>
      </c>
      <c r="H27" s="141">
        <f t="shared" si="3"/>
        <v>3051</v>
      </c>
      <c r="I27" s="141">
        <f>I12</f>
        <v>3051</v>
      </c>
      <c r="J27" s="141">
        <f>I27-K27</f>
        <v>3051</v>
      </c>
      <c r="K27" s="141">
        <v>0</v>
      </c>
      <c r="L27" s="141">
        <f t="shared" si="6"/>
        <v>208</v>
      </c>
      <c r="M27" s="141">
        <v>208</v>
      </c>
      <c r="N27" s="141"/>
      <c r="O27" s="141">
        <v>0</v>
      </c>
      <c r="P27" s="141">
        <v>0</v>
      </c>
      <c r="Q27" s="141">
        <v>0</v>
      </c>
      <c r="R27" s="141">
        <v>0</v>
      </c>
      <c r="S27" s="141">
        <v>0</v>
      </c>
      <c r="T27" s="141">
        <v>0</v>
      </c>
      <c r="U27" s="141">
        <v>0</v>
      </c>
      <c r="V27" s="141">
        <v>0</v>
      </c>
    </row>
    <row r="28" spans="1:1023 1030:2047 2054:3071 3078:4095 4102:5119 5126:6143 6150:7167 7174:8191 8198:9215 9222:10239 10246:11263 11270:12287 12294:13311 13318:14335 14342:15359 15366:16383" s="80" customFormat="1" ht="15" customHeight="1" thickBot="1">
      <c r="B28" s="159" t="s">
        <v>256</v>
      </c>
      <c r="C28" s="141">
        <v>218</v>
      </c>
      <c r="D28" s="141">
        <f t="shared" si="5"/>
        <v>788.63584300819991</v>
      </c>
      <c r="E28" s="141">
        <v>788.63584300819991</v>
      </c>
      <c r="F28" s="141">
        <v>622.73397094780012</v>
      </c>
      <c r="G28" s="141">
        <v>120</v>
      </c>
      <c r="H28" s="141">
        <f t="shared" si="3"/>
        <v>695</v>
      </c>
      <c r="I28" s="141">
        <v>695</v>
      </c>
      <c r="J28" s="141">
        <v>462</v>
      </c>
      <c r="K28" s="141">
        <v>126</v>
      </c>
      <c r="L28" s="141">
        <f t="shared" si="6"/>
        <v>685.62154499999997</v>
      </c>
      <c r="M28" s="141">
        <v>685.62154499999997</v>
      </c>
      <c r="N28" s="141">
        <v>525.01106499999992</v>
      </c>
      <c r="O28" s="141">
        <f>208289.85/1000</f>
        <v>208.28985</v>
      </c>
      <c r="P28" s="141">
        <f t="shared" si="7"/>
        <v>677.86343000000011</v>
      </c>
      <c r="Q28" s="141">
        <v>677.86343000000011</v>
      </c>
      <c r="R28" s="141">
        <v>497.50992499999995</v>
      </c>
      <c r="S28" s="141">
        <v>193.1</v>
      </c>
      <c r="T28" s="141">
        <v>677.9</v>
      </c>
      <c r="U28" s="141">
        <v>677.9</v>
      </c>
      <c r="V28" s="141">
        <v>647.5</v>
      </c>
    </row>
    <row r="29" spans="1:1023 1030:2047 2054:3071 3078:4095 4102:5119 5126:6143 6150:7167 7174:8191 8198:9215 9222:10239 10246:11263 11270:12287 12294:13311 13318:14335 14342:15359 15366:16383" s="160" customFormat="1" ht="15" customHeight="1" thickBot="1">
      <c r="B29" s="161" t="s">
        <v>257</v>
      </c>
      <c r="C29" s="162" t="s">
        <v>378</v>
      </c>
      <c r="D29" s="162" t="str">
        <f t="shared" si="5"/>
        <v>47% - 53%</v>
      </c>
      <c r="E29" s="162" t="s">
        <v>329</v>
      </c>
      <c r="F29" s="162" t="s">
        <v>329</v>
      </c>
      <c r="G29" s="162" t="s">
        <v>350</v>
      </c>
      <c r="H29" s="162" t="s">
        <v>358</v>
      </c>
      <c r="I29" s="162" t="s">
        <v>329</v>
      </c>
      <c r="J29" s="162" t="s">
        <v>326</v>
      </c>
      <c r="K29" s="162" t="s">
        <v>320</v>
      </c>
      <c r="L29" s="162" t="s">
        <v>282</v>
      </c>
      <c r="M29" s="162" t="s">
        <v>301</v>
      </c>
      <c r="N29" s="162" t="s">
        <v>298</v>
      </c>
      <c r="O29" s="162" t="s">
        <v>296</v>
      </c>
      <c r="P29" s="162" t="s">
        <v>282</v>
      </c>
      <c r="Q29" s="162" t="s">
        <v>282</v>
      </c>
      <c r="R29" s="162" t="s">
        <v>282</v>
      </c>
      <c r="S29" s="162" t="s">
        <v>282</v>
      </c>
      <c r="T29" s="162" t="s">
        <v>279</v>
      </c>
      <c r="U29" s="162" t="s">
        <v>279</v>
      </c>
      <c r="V29" s="162" t="s">
        <v>280</v>
      </c>
    </row>
    <row r="30" spans="1:1023 1030:2047 2054:3071 3078:4095 4102:5119 5126:6143 6150:7167 7174:8191 8198:9215 9222:10239 10246:11263 11270:12287 12294:13311 13318:14335 14342:15359 15366:16383" ht="15" customHeight="1">
      <c r="B30" s="103"/>
    </row>
    <row r="31" spans="1:1023 1030:2047 2054:3071 3078:4095 4102:5119 5126:6143 6150:7167 7174:8191 8198:9215 9222:10239 10246:11263 11270:12287 12294:13311 13318:14335 14342:15359 15366:16383">
      <c r="B31" s="115"/>
      <c r="C31" s="86"/>
      <c r="D31" s="86"/>
      <c r="E31" s="86"/>
      <c r="F31" s="86"/>
      <c r="G31" s="86"/>
      <c r="H31" s="86"/>
      <c r="I31" s="144"/>
      <c r="J31" s="86"/>
      <c r="K31" s="86"/>
      <c r="L31" s="86"/>
      <c r="M31" s="86"/>
      <c r="N31" s="86"/>
      <c r="O31" s="86"/>
      <c r="P31" s="86"/>
      <c r="Q31" s="86"/>
      <c r="R31" s="86"/>
      <c r="S31" s="86"/>
      <c r="T31" s="86"/>
      <c r="U31" s="86"/>
      <c r="V31" s="86"/>
    </row>
    <row r="32" spans="1:1023 1030:2047 2054:3071 3078:4095 4102:5119 5126:6143 6150:7167 7174:8191 8198:9215 9222:10239 10246:11263 11270:12287 12294:13311 13318:14335 14342:15359 15366:16383">
      <c r="B32" s="115"/>
      <c r="C32" s="86"/>
      <c r="D32" s="86"/>
      <c r="E32" s="86"/>
      <c r="F32" s="86"/>
      <c r="G32" s="86"/>
      <c r="H32" s="86"/>
      <c r="I32" s="86"/>
      <c r="J32" s="86"/>
      <c r="K32" s="86"/>
      <c r="L32" s="86"/>
      <c r="M32" s="86"/>
      <c r="N32" s="86"/>
      <c r="O32" s="86"/>
      <c r="P32" s="86"/>
      <c r="Q32" s="86"/>
      <c r="R32" s="86"/>
      <c r="S32" s="86"/>
      <c r="T32" s="86"/>
      <c r="U32" s="86"/>
      <c r="V32" s="86"/>
    </row>
    <row r="33" spans="2:22">
      <c r="B33" s="115"/>
      <c r="C33" s="86"/>
      <c r="D33" s="86"/>
      <c r="E33" s="86"/>
      <c r="F33" s="86"/>
      <c r="G33" s="86"/>
      <c r="H33" s="86"/>
      <c r="I33" s="86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  <c r="U33" s="86"/>
      <c r="V33" s="86"/>
    </row>
    <row r="34" spans="2:22">
      <c r="B34" s="115"/>
      <c r="C34" s="86"/>
      <c r="D34" s="86"/>
      <c r="E34" s="86"/>
      <c r="F34" s="86"/>
      <c r="G34" s="86"/>
      <c r="H34" s="86"/>
      <c r="I34" s="86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86"/>
    </row>
    <row r="35" spans="2:22">
      <c r="B35" s="115"/>
      <c r="C35" s="86"/>
      <c r="D35" s="86"/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  <c r="V35" s="86"/>
    </row>
    <row r="36" spans="2:22">
      <c r="B36" s="115"/>
      <c r="C36" s="86"/>
      <c r="D36" s="86"/>
      <c r="E36" s="86"/>
      <c r="F36" s="86"/>
      <c r="G36" s="86"/>
      <c r="H36" s="86"/>
      <c r="I36" s="86"/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  <c r="V36" s="86"/>
    </row>
    <row r="37" spans="2:22">
      <c r="B37" s="115"/>
      <c r="C37" s="86"/>
      <c r="D37" s="86"/>
      <c r="E37" s="86"/>
      <c r="F37" s="86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</row>
    <row r="38" spans="2:22">
      <c r="B38" s="115"/>
      <c r="C38" s="86"/>
      <c r="D38" s="86"/>
      <c r="E38" s="86"/>
      <c r="F38" s="86"/>
      <c r="G38" s="86"/>
      <c r="H38" s="86"/>
      <c r="I38" s="86"/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  <c r="V38" s="86"/>
    </row>
  </sheetData>
  <sheetProtection algorithmName="SHA-512" hashValue="roumLYk5g+f+GSpq3eumD2rfdHYX2EualcN/02jJR1au1JmA+TSe5ElaZQhwxv7ecs2MgFO1L/VAHaZOPTEK5w==" saltValue="bKw1NKJ8Pi/aoipHH2JbhQ==" spinCount="100000" sheet="1" selectLockedCells="1" selectUnlockedCells="1"/>
  <pageMargins left="0.511811024" right="0.511811024" top="0.78740157499999996" bottom="0.78740157499999996" header="0.31496062000000002" footer="0.31496062000000002"/>
  <pageSetup paperSize="9" orientation="portrait" r:id="rId1"/>
  <ignoredErrors>
    <ignoredError sqref="I11:I16 I20:V20 I22:V26 J27:V27 I28:V28 H20 H22:H28 M29:V29 E12:F13 D11:D29" unlockedFormula="1"/>
    <ignoredError sqref="J11:V16 H11:H16 F21:G21 G11 E11:F11 G12:G13" formulaRange="1" unlockedFormula="1"/>
    <ignoredError sqref="H21:J21" formula="1" unlockedFormula="1"/>
    <ignoredError sqref="K21:V21" formula="1" formulaRange="1" unlockedFormula="1"/>
    <ignoredError sqref="G14:G16" formulaRange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B1F30-10CB-4016-A22D-E010FA4343A4}">
  <sheetPr codeName="Planilha3"/>
  <dimension ref="B11:CQ46"/>
  <sheetViews>
    <sheetView showGridLines="0" topLeftCell="A13" zoomScale="90" zoomScaleNormal="90" workbookViewId="0">
      <selection activeCell="DN19" sqref="DN19"/>
    </sheetView>
  </sheetViews>
  <sheetFormatPr defaultColWidth="1.54296875" defaultRowHeight="10.4" customHeight="1"/>
  <cols>
    <col min="12" max="12" width="1.54296875" customWidth="1"/>
  </cols>
  <sheetData>
    <row r="11" spans="14:95" ht="10.4" customHeight="1"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</row>
    <row r="12" spans="14:95" ht="10.4" customHeight="1"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</row>
    <row r="13" spans="14:95" ht="10.4" customHeight="1"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</row>
    <row r="14" spans="14:95" ht="10.4" customHeight="1"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</row>
    <row r="15" spans="14:95" ht="10.4" customHeight="1"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</row>
    <row r="16" spans="14:95" ht="10.4" customHeight="1"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</row>
    <row r="17" spans="14:95" ht="10.4" customHeight="1"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</row>
    <row r="18" spans="14:95" ht="10.4" customHeight="1"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</row>
    <row r="19" spans="14:95" ht="10.4" customHeight="1"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</row>
    <row r="20" spans="14:95" ht="10.4" customHeight="1"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</row>
    <row r="21" spans="14:95" ht="10.4" customHeight="1"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</row>
    <row r="22" spans="14:95" ht="10.4" customHeight="1"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</row>
    <row r="23" spans="14:95" ht="10.4" customHeight="1"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</row>
    <row r="24" spans="14:95" ht="10.4" customHeight="1"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</row>
    <row r="25" spans="14:95" ht="10.4" customHeight="1"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</row>
    <row r="26" spans="14:95" ht="10.4" customHeight="1"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</row>
    <row r="27" spans="14:95" ht="10.4" customHeight="1"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</row>
    <row r="28" spans="14:95" ht="10.4" customHeight="1"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</row>
    <row r="29" spans="14:95" ht="10.4" customHeight="1"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</row>
    <row r="30" spans="14:95" ht="10.4" customHeight="1"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</row>
    <row r="31" spans="14:95" ht="10.4" customHeight="1"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</row>
    <row r="32" spans="14:95" ht="10.4" customHeight="1"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</row>
    <row r="33" spans="2:95" ht="10.4" customHeight="1"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</row>
    <row r="35" spans="2:95" ht="10.4" customHeight="1"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</row>
    <row r="36" spans="2:95" ht="10.4" customHeight="1"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</row>
    <row r="37" spans="2:95" ht="10.4" customHeight="1"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</row>
    <row r="38" spans="2:95" ht="10.4" customHeight="1"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</row>
    <row r="39" spans="2:95" ht="10.4" customHeight="1"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</row>
    <row r="40" spans="2:95" ht="10.4" customHeight="1"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</row>
    <row r="41" spans="2:95" ht="10.4" customHeight="1"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</row>
    <row r="42" spans="2:95" ht="10.4" customHeight="1"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</row>
    <row r="43" spans="2:95" ht="10.4" customHeight="1"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</row>
    <row r="44" spans="2:95" ht="10.4" customHeight="1"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</row>
    <row r="45" spans="2:95" ht="10.4" customHeight="1"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</row>
    <row r="46" spans="2:95" ht="10.4" customHeight="1"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</row>
  </sheetData>
  <sheetProtection selectLockedCells="1"/>
  <pageMargins left="0.511811024" right="0.511811024" top="0.78740157499999996" bottom="0.78740157499999996" header="0.31496062000000002" footer="0.31496062000000002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4b1acfa-8a0e-47a7-8cf4-ba7cebc98211" xsi:nil="true"/>
    <lcf76f155ced4ddcb4097134ff3c332f xmlns="1966da11-2d90-41aa-a3fe-f56d626a550a">
      <Terms xmlns="http://schemas.microsoft.com/office/infopath/2007/PartnerControls"/>
    </lcf76f155ced4ddcb4097134ff3c332f>
  </documentManagement>
</p:properties>
</file>

<file path=customXml/item2.xml>��< ? x m l   v e r s i o n = " 1 . 0 "   e n c o d i n g = " u t f - 1 6 " ? > < D a t a M a s h u p   x m l n s = " h t t p : / / s c h e m a s . m i c r o s o f t . c o m / D a t a M a s h u p " > A A A A A B I D A A B Q S w M E F A A C A A g A E 4 1 j U m X b 9 g u i A A A A 9 Q A A A B I A H A B D b 2 5 m a W c v U G F j a 2 F n Z S 5 4 b W w g o h g A K K A U A A A A A A A A A A A A A A A A A A A A A A A A A A A A h Y 8 x D o I w G I W v Q r r T l r o Q 8 l M S X S U x m h j X p l R o g E J o s d z N w S N 5 B T G K u j m + 9 3 3 D e / f r D b K p b Y K L G q z u T I o i T F G g j O w K b c o U j e 4 c x i j j s B O y F q U K Z t n Y Z L J F i i r n + o Q Q 7 z 3 2 K 9 w N J W G U R u S U b w + y U q 1 A H 1 n / l 0 N t r B N G K s T h + B r D G Y 5 j z O g 8 C c j S Q a 7 N l 7 O Z P e l P C Z u x c e O g e O / C 9 R 7 I E o G 8 L / A H U E s D B B Q A A g A I A B O N Y 1 I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T j W N S K I p H u A 4 A A A A R A A A A E w A c A E Z v c m 1 1 b G F z L 1 N l Y 3 R p b 2 4 x L m 0 g o h g A K K A U A A A A A A A A A A A A A A A A A A A A A A A A A A A A K 0 5 N L s n M z 1 M I h t C G 1 g B Q S w E C L Q A U A A I A C A A T j W N S Z d v 2 C 6 I A A A D 1 A A A A E g A A A A A A A A A A A A A A A A A A A A A A Q 2 9 u Z m l n L 1 B h Y 2 t h Z 2 U u e G 1 s U E s B A i 0 A F A A C A A g A E 4 1 j U g / K 6 a u k A A A A 6 Q A A A B M A A A A A A A A A A A A A A A A A 7 g A A A F t D b 2 5 0 Z W 5 0 X 1 R 5 c G V z X S 5 4 b W x Q S w E C L Q A U A A I A C A A T j W N S K I p H u A 4 A A A A R A A A A E w A A A A A A A A A A A A A A A A D f A Q A A R m 9 y b X V s Y X M v U 2 V j d G l v b j E u b V B L B Q Y A A A A A A w A D A M I A A A A 6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j C N P x x R 4 5 E q T D n 4 6 t I X 9 R Q A A A A A C A A A A A A A D Z g A A w A A A A B A A A A B z r 8 / u d q F y w p F 0 x t g g d O X P A A A A A A S A A A C g A A A A E A A A A A d s c L s T h + x 4 X Y / P o a / Q m S x Q A A A A m o u T e K J i 3 T e y D F W Q e u m 0 Z j f 6 V A y Y + 3 Q o 7 l 8 8 i L j h / j F 0 p w p T y h O N 1 D f U p l q 1 e G l K m W s 0 g + i S 6 S k 5 Y 5 t O 5 N P b c D e L Y 3 B 5 8 1 0 9 0 k 2 s w 3 Z U U B U U A A A A O E T o d 2 6 v N 8 J j B 6 v 5 g G p 6 0 G M 2 H / g = < / D a t a M a s h u p > 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B8D45B3556DA54891AE6865FC494764" ma:contentTypeVersion="21" ma:contentTypeDescription="Crie um novo documento." ma:contentTypeScope="" ma:versionID="05ad9584b30743b472ebd7c324a9428e">
  <xsd:schema xmlns:xsd="http://www.w3.org/2001/XMLSchema" xmlns:xs="http://www.w3.org/2001/XMLSchema" xmlns:p="http://schemas.microsoft.com/office/2006/metadata/properties" xmlns:ns1="http://schemas.microsoft.com/sharepoint/v3" xmlns:ns2="b4b1acfa-8a0e-47a7-8cf4-ba7cebc98211" xmlns:ns3="1966da11-2d90-41aa-a3fe-f56d626a550a" targetNamespace="http://schemas.microsoft.com/office/2006/metadata/properties" ma:root="true" ma:fieldsID="cd22ddb387dd2c62d354f54f8451c44a" ns1:_="" ns2:_="" ns3:_="">
    <xsd:import namespace="http://schemas.microsoft.com/sharepoint/v3"/>
    <xsd:import namespace="b4b1acfa-8a0e-47a7-8cf4-ba7cebc98211"/>
    <xsd:import namespace="1966da11-2d90-41aa-a3fe-f56d626a550a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1:_dlc_ExpireDateSaved" minOccurs="0"/>
                <xsd:element ref="ns1:_dlc_ExpireDate" minOccurs="0"/>
                <xsd:element ref="ns1:_dlc_Exempt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dlc_ExpireDateSaved" ma:index="21" nillable="true" ma:displayName="Data de Validade Original" ma:hidden="true" ma:internalName="_dlc_ExpireDateSaved" ma:readOnly="true">
      <xsd:simpleType>
        <xsd:restriction base="dms:DateTime"/>
      </xsd:simpleType>
    </xsd:element>
    <xsd:element name="_dlc_ExpireDate" ma:index="22" nillable="true" ma:displayName="Data de Validade" ma:hidden="true" ma:internalName="_dlc_ExpireDate" ma:readOnly="true">
      <xsd:simpleType>
        <xsd:restriction base="dms:DateTime"/>
      </xsd:simpleType>
    </xsd:element>
    <xsd:element name="_dlc_Exempt" ma:index="23" nillable="true" ma:displayName="Isentar de Política" ma:hidden="true" ma:internalName="_dlc_Exempt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b1acfa-8a0e-47a7-8cf4-ba7cebc9821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6" nillable="true" ma:displayName="Taxonomy Catch All Column" ma:hidden="true" ma:list="{656e8723-a254-4778-becb-216713f93a5f}" ma:internalName="TaxCatchAll" ma:showField="CatchAllData" ma:web="b4b1acfa-8a0e-47a7-8cf4-ba7cebc9821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66da11-2d90-41aa-a3fe-f56d626a550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5" nillable="true" ma:taxonomy="true" ma:internalName="lcf76f155ced4ddcb4097134ff3c332f" ma:taxonomyFieldName="MediaServiceImageTags" ma:displayName="Marcações de imagem" ma:readOnly="false" ma:fieldId="{5cf76f15-5ced-4ddc-b409-7134ff3c332f}" ma:taxonomyMulti="true" ma:sspId="7320aad6-a459-4204-a125-f79cae34a26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7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8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3E36157-9568-4522-9633-620992A1BDAB}">
  <ds:schemaRefs>
    <ds:schemaRef ds:uri="http://schemas.microsoft.com/sharepoint/v3"/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purl.org/dc/terms/"/>
    <ds:schemaRef ds:uri="http://schemas.openxmlformats.org/package/2006/metadata/core-properties"/>
    <ds:schemaRef ds:uri="http://www.w3.org/XML/1998/namespace"/>
    <ds:schemaRef ds:uri="http://schemas.microsoft.com/office/infopath/2007/PartnerControls"/>
    <ds:schemaRef ds:uri="1966da11-2d90-41aa-a3fe-f56d626a550a"/>
    <ds:schemaRef ds:uri="b4b1acfa-8a0e-47a7-8cf4-ba7cebc98211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7E2CD5E5-A578-46CC-9076-4F158ECF40CB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AFE4C131-1C67-4E69-A7D6-983899F4BEAC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CB01FA50-9CA0-4C3F-A47B-3182BBF7783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b4b1acfa-8a0e-47a7-8cf4-ba7cebc98211"/>
    <ds:schemaRef ds:uri="1966da11-2d90-41aa-a3fe-f56d626a550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12</vt:i4>
      </vt:variant>
    </vt:vector>
  </HeadingPairs>
  <TitlesOfParts>
    <vt:vector size="12" baseType="lpstr">
      <vt:lpstr>Menu</vt:lpstr>
      <vt:lpstr>1. DRE</vt:lpstr>
      <vt:lpstr>2. BP</vt:lpstr>
      <vt:lpstr>3. Fluxo de Caixa</vt:lpstr>
      <vt:lpstr>4. Endividamento</vt:lpstr>
      <vt:lpstr>5. Capex</vt:lpstr>
      <vt:lpstr>6. Performance</vt:lpstr>
      <vt:lpstr>7. Dados Operacionais</vt:lpstr>
      <vt:lpstr>8. Dashboard</vt:lpstr>
      <vt:lpstr>Planilha1</vt:lpstr>
      <vt:lpstr>Pivots</vt:lpstr>
      <vt:lpstr>Consolidado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Laura Bahia</dc:creator>
  <cp:lastModifiedBy>Thiago da Silveira Leal</cp:lastModifiedBy>
  <cp:lastPrinted>2021-03-03T17:59:27Z</cp:lastPrinted>
  <dcterms:created xsi:type="dcterms:W3CDTF">2020-05-29T14:45:10Z</dcterms:created>
  <dcterms:modified xsi:type="dcterms:W3CDTF">2024-08-14T20:43:47Z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0x010100EB8D45B3556DA54891AE6865FC494764</vt:lpwstr>
  </property>
  <property fmtid="{D5CDD505-2E9C-101B-9397-08002B2CF9AE}" pid="3" name="_dlc_policyId">
    <vt:lpwstr/>
  </property>
  <property fmtid="{D5CDD505-2E9C-101B-9397-08002B2CF9AE}" pid="4" name="ItemRetentionFormula">
    <vt:lpwstr/>
  </property>
  <property fmtid="{D5CDD505-2E9C-101B-9397-08002B2CF9AE}" pid="5" name="MediaServiceImageTags">
    <vt:lpwstr/>
  </property>
</Properties>
</file>