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Divulgação\2022\2T22\Planilha de fundamentos\"/>
    </mc:Choice>
  </mc:AlternateContent>
  <xr:revisionPtr revIDLastSave="0" documentId="13_ncr:1_{B9592C5F-0C49-42EB-AB48-7C1BAD6BC8F7}" xr6:coauthVersionLast="47" xr6:coauthVersionMax="47" xr10:uidLastSave="{00000000-0000-0000-0000-000000000000}"/>
  <bookViews>
    <workbookView xWindow="-110" yWindow="-110" windowWidth="19420" windowHeight="10420" tabRatio="903" activeTab="4" xr2:uid="{00000000-000D-0000-FFFF-FFFF00000000}"/>
  </bookViews>
  <sheets>
    <sheet name="Destaques" sheetId="4" r:id="rId1"/>
    <sheet name="Operacional" sheetId="5" r:id="rId2"/>
    <sheet name="CAPEX" sheetId="9" r:id="rId3"/>
    <sheet name="Endividamento" sheetId="7" r:id="rId4"/>
    <sheet name="DRE Conciliada" sheetId="12" r:id="rId5"/>
    <sheet name="DRE" sheetId="2" r:id="rId6"/>
    <sheet name="Balanço" sheetId="1" r:id="rId7"/>
    <sheet name="Fluxo de Caix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6" i="1" l="1"/>
  <c r="AB55" i="1"/>
  <c r="AB54" i="1"/>
  <c r="AB53" i="1"/>
  <c r="AB52" i="1"/>
  <c r="AB49" i="1"/>
  <c r="AB51" i="1"/>
  <c r="AB47" i="1"/>
  <c r="AB46" i="1"/>
  <c r="AB45" i="1"/>
  <c r="AB44" i="1"/>
  <c r="AB43" i="1"/>
  <c r="AB42" i="1"/>
  <c r="AB41" i="1"/>
  <c r="AB39" i="1"/>
  <c r="AB38" i="1"/>
  <c r="AB37" i="1"/>
  <c r="AB36" i="1"/>
  <c r="AB35" i="1"/>
  <c r="AB34" i="1"/>
  <c r="AB33" i="1"/>
  <c r="AB32" i="1"/>
  <c r="AB30" i="1"/>
  <c r="AB27" i="1"/>
  <c r="AB26" i="1"/>
  <c r="AB25" i="1"/>
  <c r="AB24" i="1"/>
  <c r="AB23" i="1"/>
  <c r="AB21" i="1"/>
  <c r="AB20" i="1"/>
  <c r="AB19" i="1"/>
  <c r="AB17" i="1"/>
  <c r="AB16" i="1"/>
  <c r="AB14" i="1"/>
  <c r="AB13" i="1"/>
  <c r="AB12" i="1"/>
  <c r="AB11" i="1"/>
  <c r="AB9" i="1"/>
  <c r="AB8" i="1"/>
  <c r="AB7" i="1"/>
  <c r="AB5" i="1"/>
  <c r="C50" i="12"/>
  <c r="D50" i="12"/>
  <c r="E50" i="12"/>
  <c r="J50" i="12"/>
  <c r="K50" i="12"/>
  <c r="L50" i="12"/>
  <c r="M50" i="12"/>
  <c r="N50" i="12"/>
  <c r="O50" i="12"/>
  <c r="P50" i="12"/>
  <c r="Q50" i="12"/>
  <c r="R50" i="12"/>
  <c r="S50" i="12"/>
  <c r="AA55" i="2"/>
  <c r="AA54" i="2"/>
  <c r="AA53" i="2"/>
  <c r="AA48" i="2"/>
  <c r="AA46" i="2"/>
  <c r="AA45" i="2"/>
  <c r="AA44" i="2"/>
  <c r="AA41" i="2"/>
  <c r="AA40" i="2"/>
  <c r="AA37" i="2"/>
  <c r="AA35" i="2"/>
  <c r="AA34" i="2"/>
  <c r="AA33" i="2"/>
  <c r="AA32" i="2"/>
  <c r="AA31" i="2"/>
  <c r="AA29" i="2"/>
  <c r="AA26" i="2"/>
  <c r="AA24" i="2"/>
  <c r="AA23" i="2"/>
  <c r="AA21" i="2"/>
  <c r="AA19" i="2"/>
  <c r="AA18" i="2"/>
  <c r="AA17" i="2"/>
  <c r="AA15" i="2"/>
  <c r="AA11" i="2"/>
  <c r="AA10" i="2"/>
  <c r="AA8" i="2"/>
  <c r="AA6" i="2"/>
  <c r="AA5" i="2"/>
  <c r="Y50" i="12" l="1"/>
  <c r="H50" i="12"/>
  <c r="Z50" i="12"/>
  <c r="G50" i="12"/>
  <c r="C12" i="4"/>
  <c r="C13" i="4" s="1"/>
  <c r="B12" i="4"/>
  <c r="B13" i="4" s="1"/>
  <c r="S46" i="12"/>
  <c r="R46" i="12"/>
  <c r="R47" i="12"/>
  <c r="T58" i="3"/>
  <c r="U58" i="3"/>
  <c r="U36" i="3"/>
  <c r="U60" i="3" s="1"/>
  <c r="P36" i="3"/>
  <c r="Q36" i="3"/>
  <c r="U46" i="3"/>
  <c r="S32" i="2" l="1"/>
  <c r="T32" i="2"/>
  <c r="AB60" i="3" l="1"/>
  <c r="AB58" i="3"/>
  <c r="AB53" i="3"/>
  <c r="AB52" i="3"/>
  <c r="AB51" i="3"/>
  <c r="AB50" i="3"/>
  <c r="AB49" i="3"/>
  <c r="AB46" i="3"/>
  <c r="AB41" i="3"/>
  <c r="AB39" i="3"/>
  <c r="AB32" i="3"/>
  <c r="AB27" i="3"/>
  <c r="AB26" i="3"/>
  <c r="AB23" i="3"/>
  <c r="AB17" i="3"/>
  <c r="AB16" i="3"/>
  <c r="AB15" i="3"/>
  <c r="AB13" i="3"/>
  <c r="AB11" i="3"/>
  <c r="AB9" i="3"/>
  <c r="AB6" i="3"/>
  <c r="AA15" i="7"/>
  <c r="AA14" i="7"/>
  <c r="AA13" i="7"/>
  <c r="AA12" i="7"/>
  <c r="AA10" i="7"/>
  <c r="AA9" i="7"/>
  <c r="AA8" i="7"/>
  <c r="S8" i="7"/>
  <c r="T8" i="7"/>
  <c r="Z10" i="9"/>
  <c r="Z9" i="9"/>
  <c r="Z8" i="9"/>
  <c r="Z7" i="9"/>
  <c r="Z4" i="9"/>
  <c r="Q5" i="9"/>
  <c r="P5" i="9"/>
  <c r="O5" i="9"/>
  <c r="N5" i="9"/>
  <c r="U5" i="9" s="1"/>
  <c r="M5" i="9"/>
  <c r="L5" i="9"/>
  <c r="K5" i="9"/>
  <c r="J5" i="9"/>
  <c r="E5" i="9"/>
  <c r="D5" i="9"/>
  <c r="C5" i="9"/>
  <c r="Y11" i="5"/>
  <c r="Y10" i="5"/>
  <c r="Y9" i="5"/>
  <c r="Y7" i="5"/>
  <c r="Y6" i="5"/>
  <c r="Y5" i="5"/>
  <c r="Y4" i="5"/>
  <c r="X9" i="5"/>
  <c r="X4" i="5"/>
  <c r="Y15" i="5"/>
  <c r="Y14" i="5"/>
  <c r="S47" i="12" l="1"/>
  <c r="R9" i="5" l="1"/>
  <c r="R4" i="5"/>
  <c r="T62" i="3"/>
  <c r="T46" i="3"/>
  <c r="T36" i="3"/>
  <c r="T51" i="1"/>
  <c r="T41" i="1"/>
  <c r="T32" i="1"/>
  <c r="T30" i="1"/>
  <c r="T16" i="1"/>
  <c r="T7" i="1"/>
  <c r="T5" i="1"/>
  <c r="S8" i="2"/>
  <c r="S15" i="2" s="1"/>
  <c r="S21" i="2" s="1"/>
  <c r="S10" i="2"/>
  <c r="S17" i="2"/>
  <c r="S31" i="2"/>
  <c r="R45" i="12"/>
  <c r="Y45" i="12" s="1"/>
  <c r="R44" i="12"/>
  <c r="R41" i="12"/>
  <c r="R37" i="12"/>
  <c r="R32" i="12"/>
  <c r="R29" i="12"/>
  <c r="R28" i="12"/>
  <c r="Y28" i="12" s="1"/>
  <c r="R20" i="12"/>
  <c r="R14" i="12"/>
  <c r="R36" i="12" s="1"/>
  <c r="R8" i="12"/>
  <c r="R31" i="12" s="1"/>
  <c r="Q19" i="4"/>
  <c r="Q17" i="4"/>
  <c r="Q15" i="4"/>
  <c r="Q13" i="4"/>
  <c r="Q10" i="4"/>
  <c r="R5" i="9" s="1"/>
  <c r="Q6" i="4"/>
  <c r="T8" i="2"/>
  <c r="T31" i="2"/>
  <c r="T17" i="2"/>
  <c r="T10" i="2"/>
  <c r="Z19" i="12"/>
  <c r="Z47" i="12"/>
  <c r="Z16" i="12"/>
  <c r="Z15" i="12"/>
  <c r="Z9" i="12"/>
  <c r="S29" i="12"/>
  <c r="Z29" i="12" s="1"/>
  <c r="Z41" i="12"/>
  <c r="Z38" i="12"/>
  <c r="Z33" i="12"/>
  <c r="Z22" i="12"/>
  <c r="Z17" i="12"/>
  <c r="Z12" i="12"/>
  <c r="Z11" i="12"/>
  <c r="Z10" i="12"/>
  <c r="S28" i="12"/>
  <c r="Z28" i="12" s="1"/>
  <c r="Z46" i="12"/>
  <c r="S44" i="12"/>
  <c r="S32" i="12"/>
  <c r="T13" i="7"/>
  <c r="T15" i="7" s="1"/>
  <c r="Y5" i="4"/>
  <c r="Y20" i="4"/>
  <c r="Y10" i="12"/>
  <c r="Y9" i="12"/>
  <c r="Y18" i="4"/>
  <c r="Y16" i="4"/>
  <c r="R15" i="4"/>
  <c r="R13" i="4"/>
  <c r="Y11" i="4"/>
  <c r="Y9" i="4"/>
  <c r="Y8" i="4"/>
  <c r="Y7" i="4"/>
  <c r="R6" i="4"/>
  <c r="Y6" i="4" s="1"/>
  <c r="R19" i="4"/>
  <c r="Y19" i="4" s="1"/>
  <c r="X47" i="12"/>
  <c r="W47" i="12"/>
  <c r="V47" i="12"/>
  <c r="U47" i="12"/>
  <c r="H47" i="12"/>
  <c r="G47" i="12"/>
  <c r="X46" i="12"/>
  <c r="W46" i="12"/>
  <c r="U46" i="12"/>
  <c r="Y46" i="12"/>
  <c r="H46" i="12"/>
  <c r="G46" i="12"/>
  <c r="X45" i="12"/>
  <c r="W45" i="12"/>
  <c r="V45" i="12"/>
  <c r="U45" i="12"/>
  <c r="H45" i="12"/>
  <c r="G45" i="12"/>
  <c r="E42" i="12"/>
  <c r="D42" i="12"/>
  <c r="C42" i="12"/>
  <c r="X41" i="12"/>
  <c r="W41" i="12"/>
  <c r="V41" i="12"/>
  <c r="U41" i="12"/>
  <c r="H41" i="12"/>
  <c r="G41" i="12"/>
  <c r="Y38" i="12"/>
  <c r="X38" i="12"/>
  <c r="W38" i="12"/>
  <c r="U38" i="12"/>
  <c r="H38" i="12"/>
  <c r="G38" i="12"/>
  <c r="O37" i="12"/>
  <c r="N37" i="12"/>
  <c r="M37" i="12"/>
  <c r="X37" i="12" s="1"/>
  <c r="L37" i="12"/>
  <c r="W37" i="12" s="1"/>
  <c r="K37" i="12"/>
  <c r="J37" i="12"/>
  <c r="E37" i="12"/>
  <c r="D37" i="12"/>
  <c r="C37" i="12"/>
  <c r="P36" i="12"/>
  <c r="O36" i="12"/>
  <c r="N36" i="12"/>
  <c r="M36" i="12"/>
  <c r="L36" i="12"/>
  <c r="K36" i="12"/>
  <c r="J36" i="12"/>
  <c r="E36" i="12"/>
  <c r="D36" i="12"/>
  <c r="C36" i="12"/>
  <c r="W35" i="12"/>
  <c r="V35" i="12"/>
  <c r="U35" i="12"/>
  <c r="Q35" i="12"/>
  <c r="X35" i="12" s="1"/>
  <c r="H35" i="12"/>
  <c r="G35" i="12"/>
  <c r="E34" i="12"/>
  <c r="D34" i="12"/>
  <c r="C34" i="12"/>
  <c r="Y33" i="12"/>
  <c r="X33" i="12"/>
  <c r="W33" i="12"/>
  <c r="V33" i="12"/>
  <c r="U33" i="12"/>
  <c r="H33" i="12"/>
  <c r="G33" i="12"/>
  <c r="Q32" i="12"/>
  <c r="Q43" i="12" s="1"/>
  <c r="P32" i="12"/>
  <c r="P43" i="12" s="1"/>
  <c r="O32" i="12"/>
  <c r="N32" i="12"/>
  <c r="M32" i="12"/>
  <c r="L32" i="12"/>
  <c r="K32" i="12"/>
  <c r="J32" i="12"/>
  <c r="E32" i="12"/>
  <c r="D32" i="12"/>
  <c r="C32" i="12"/>
  <c r="N31" i="12"/>
  <c r="M31" i="12"/>
  <c r="L31" i="12"/>
  <c r="K31" i="12"/>
  <c r="K30" i="12" s="1"/>
  <c r="K34" i="12" s="1"/>
  <c r="K40" i="12" s="1"/>
  <c r="K42" i="12" s="1"/>
  <c r="J31" i="12"/>
  <c r="J30" i="12" s="1"/>
  <c r="J34" i="12" s="1"/>
  <c r="J40" i="12" s="1"/>
  <c r="J42" i="12" s="1"/>
  <c r="E31" i="12"/>
  <c r="D31" i="12"/>
  <c r="C31" i="12"/>
  <c r="H30" i="12"/>
  <c r="G30" i="12"/>
  <c r="X29" i="12"/>
  <c r="W29" i="12"/>
  <c r="V29" i="12"/>
  <c r="U29" i="12"/>
  <c r="H29" i="12"/>
  <c r="G29" i="12"/>
  <c r="X28" i="12"/>
  <c r="W28" i="12"/>
  <c r="V28" i="12"/>
  <c r="U28" i="12"/>
  <c r="H28" i="12"/>
  <c r="G28" i="12"/>
  <c r="Y22" i="12"/>
  <c r="H22" i="12"/>
  <c r="G22" i="12"/>
  <c r="H21" i="12"/>
  <c r="G21" i="12"/>
  <c r="X20" i="12"/>
  <c r="W20" i="12"/>
  <c r="V20" i="12"/>
  <c r="U20" i="12"/>
  <c r="H20" i="12"/>
  <c r="G20" i="12"/>
  <c r="X19" i="12"/>
  <c r="W19" i="12"/>
  <c r="V19" i="12"/>
  <c r="U19" i="12"/>
  <c r="H19" i="12"/>
  <c r="G19" i="12"/>
  <c r="X17" i="12"/>
  <c r="W17" i="12"/>
  <c r="V17" i="12"/>
  <c r="U17" i="12"/>
  <c r="Y47" i="12"/>
  <c r="H17" i="12"/>
  <c r="G17" i="12"/>
  <c r="X16" i="12"/>
  <c r="W16" i="12"/>
  <c r="V16" i="12"/>
  <c r="U16" i="12"/>
  <c r="H16" i="12"/>
  <c r="G16" i="12"/>
  <c r="X15" i="12"/>
  <c r="W15" i="12"/>
  <c r="V15" i="12"/>
  <c r="U15" i="12"/>
  <c r="H15" i="12"/>
  <c r="W14" i="12"/>
  <c r="V14" i="12"/>
  <c r="U14" i="12"/>
  <c r="Q14" i="12"/>
  <c r="Q36" i="12" s="1"/>
  <c r="H14" i="12"/>
  <c r="G14" i="12"/>
  <c r="N13" i="12"/>
  <c r="M13" i="12"/>
  <c r="L13" i="12"/>
  <c r="K13" i="12"/>
  <c r="J13" i="12"/>
  <c r="E13" i="12"/>
  <c r="D13" i="12"/>
  <c r="C13" i="12"/>
  <c r="X12" i="12"/>
  <c r="W12" i="12"/>
  <c r="V12" i="12"/>
  <c r="U12" i="12"/>
  <c r="Y12" i="12"/>
  <c r="H12" i="12"/>
  <c r="Y11" i="12"/>
  <c r="X11" i="12"/>
  <c r="H11" i="12"/>
  <c r="X10" i="12"/>
  <c r="W10" i="12"/>
  <c r="V10" i="12"/>
  <c r="U10" i="12"/>
  <c r="H10" i="12"/>
  <c r="G10" i="12"/>
  <c r="X9" i="12"/>
  <c r="W9" i="12"/>
  <c r="V9" i="12"/>
  <c r="U9" i="12"/>
  <c r="H9" i="12"/>
  <c r="G9" i="12"/>
  <c r="U8" i="12"/>
  <c r="Q8" i="12"/>
  <c r="Q31" i="12" s="1"/>
  <c r="P8" i="12"/>
  <c r="P31" i="12" s="1"/>
  <c r="O8" i="12"/>
  <c r="O31" i="12" s="1"/>
  <c r="H8" i="12"/>
  <c r="G8" i="12"/>
  <c r="X7" i="12"/>
  <c r="W7" i="12"/>
  <c r="V7" i="12"/>
  <c r="U7" i="12"/>
  <c r="H7" i="12"/>
  <c r="G7" i="12"/>
  <c r="X6" i="12"/>
  <c r="W6" i="12"/>
  <c r="V6" i="12"/>
  <c r="U6" i="12"/>
  <c r="H6" i="12"/>
  <c r="G6" i="12"/>
  <c r="W36" i="12" l="1"/>
  <c r="Y41" i="12"/>
  <c r="X36" i="12"/>
  <c r="Y37" i="12"/>
  <c r="E43" i="12"/>
  <c r="E51" i="12" s="1"/>
  <c r="R43" i="12"/>
  <c r="R35" i="12"/>
  <c r="H34" i="12"/>
  <c r="M43" i="12"/>
  <c r="X43" i="12" s="1"/>
  <c r="U31" i="12"/>
  <c r="G37" i="12"/>
  <c r="R30" i="12"/>
  <c r="R34" i="12" s="1"/>
  <c r="C43" i="12"/>
  <c r="C51" i="12" s="1"/>
  <c r="R13" i="12"/>
  <c r="R21" i="12" s="1"/>
  <c r="R23" i="12" s="1"/>
  <c r="N43" i="12"/>
  <c r="V37" i="12"/>
  <c r="G13" i="12"/>
  <c r="Z32" i="12"/>
  <c r="H13" i="12"/>
  <c r="H32" i="12"/>
  <c r="U37" i="12"/>
  <c r="G34" i="12"/>
  <c r="T15" i="2"/>
  <c r="T21" i="2" s="1"/>
  <c r="T59" i="1"/>
  <c r="T60" i="3"/>
  <c r="T63" i="3" s="1"/>
  <c r="S26" i="2"/>
  <c r="Y4" i="4"/>
  <c r="U7" i="1"/>
  <c r="U16" i="1"/>
  <c r="U51" i="1"/>
  <c r="U32" i="1"/>
  <c r="R17" i="4"/>
  <c r="Y17" i="4" s="1"/>
  <c r="Y12" i="4"/>
  <c r="Z6" i="12"/>
  <c r="U41" i="1"/>
  <c r="S14" i="12"/>
  <c r="S37" i="12"/>
  <c r="Z37" i="12" s="1"/>
  <c r="Z7" i="12"/>
  <c r="S8" i="12"/>
  <c r="S13" i="12" s="1"/>
  <c r="S45" i="12"/>
  <c r="Z45" i="12" s="1"/>
  <c r="L30" i="12"/>
  <c r="L34" i="12" s="1"/>
  <c r="L40" i="12" s="1"/>
  <c r="L42" i="12" s="1"/>
  <c r="U32" i="12"/>
  <c r="H37" i="12"/>
  <c r="K43" i="12"/>
  <c r="K51" i="12" s="1"/>
  <c r="V36" i="12"/>
  <c r="M30" i="12"/>
  <c r="M34" i="12" s="1"/>
  <c r="M40" i="12" s="1"/>
  <c r="M42" i="12" s="1"/>
  <c r="S20" i="12"/>
  <c r="Z20" i="12" s="1"/>
  <c r="D43" i="12"/>
  <c r="G31" i="12"/>
  <c r="G36" i="12"/>
  <c r="U13" i="12"/>
  <c r="H31" i="12"/>
  <c r="O43" i="12"/>
  <c r="H36" i="12"/>
  <c r="G32" i="12"/>
  <c r="U36" i="12"/>
  <c r="Y14" i="4"/>
  <c r="R10" i="4"/>
  <c r="Y8" i="12"/>
  <c r="Y32" i="12"/>
  <c r="X31" i="12"/>
  <c r="Q30" i="12"/>
  <c r="V31" i="12"/>
  <c r="O30" i="12"/>
  <c r="W31" i="12"/>
  <c r="P30" i="12"/>
  <c r="Y6" i="12"/>
  <c r="O13" i="12"/>
  <c r="V13" i="12" s="1"/>
  <c r="X14" i="12"/>
  <c r="Y15" i="12"/>
  <c r="Y16" i="12"/>
  <c r="Y17" i="12"/>
  <c r="N30" i="12"/>
  <c r="J43" i="12"/>
  <c r="W8" i="12"/>
  <c r="P13" i="12"/>
  <c r="W13" i="12" s="1"/>
  <c r="Y19" i="12"/>
  <c r="Y7" i="12"/>
  <c r="V8" i="12"/>
  <c r="X8" i="12"/>
  <c r="Q13" i="12"/>
  <c r="X13" i="12" s="1"/>
  <c r="L43" i="12"/>
  <c r="Y20" i="12"/>
  <c r="V32" i="12"/>
  <c r="W32" i="12"/>
  <c r="X32" i="12"/>
  <c r="L51" i="12" l="1"/>
  <c r="Y43" i="12"/>
  <c r="R40" i="12"/>
  <c r="R42" i="12" s="1"/>
  <c r="R51" i="12" s="1"/>
  <c r="U43" i="12"/>
  <c r="M51" i="12"/>
  <c r="G43" i="12"/>
  <c r="V43" i="12"/>
  <c r="J51" i="12"/>
  <c r="T66" i="3"/>
  <c r="U62" i="3"/>
  <c r="T26" i="2"/>
  <c r="T44" i="2" s="1"/>
  <c r="T46" i="2" s="1"/>
  <c r="T54" i="2" s="1"/>
  <c r="T55" i="2" s="1"/>
  <c r="U59" i="1"/>
  <c r="U30" i="1"/>
  <c r="U5" i="1"/>
  <c r="Y10" i="4"/>
  <c r="S5" i="9"/>
  <c r="Z5" i="9" s="1"/>
  <c r="T64" i="3"/>
  <c r="S44" i="2"/>
  <c r="S46" i="2" s="1"/>
  <c r="S54" i="2" s="1"/>
  <c r="S55" i="2" s="1"/>
  <c r="S29" i="2"/>
  <c r="S34" i="2" s="1"/>
  <c r="Y14" i="12"/>
  <c r="S36" i="12"/>
  <c r="Z14" i="12"/>
  <c r="S43" i="12"/>
  <c r="Z43" i="12" s="1"/>
  <c r="S21" i="12"/>
  <c r="Z13" i="12"/>
  <c r="S31" i="12"/>
  <c r="Z8" i="12"/>
  <c r="D51" i="12"/>
  <c r="G51" i="12" s="1"/>
  <c r="H43" i="12"/>
  <c r="Y31" i="12"/>
  <c r="Y30" i="12"/>
  <c r="V30" i="12"/>
  <c r="O34" i="12"/>
  <c r="Y29" i="12"/>
  <c r="Q34" i="12"/>
  <c r="X30" i="12"/>
  <c r="W43" i="12"/>
  <c r="W30" i="12"/>
  <c r="P34" i="12"/>
  <c r="Y36" i="12"/>
  <c r="Y35" i="12"/>
  <c r="U30" i="12"/>
  <c r="N34" i="12"/>
  <c r="Y13" i="12"/>
  <c r="H51" i="12" l="1"/>
  <c r="U63" i="3"/>
  <c r="AB62" i="3"/>
  <c r="T29" i="2"/>
  <c r="T34" i="2" s="1"/>
  <c r="T40" i="2" s="1"/>
  <c r="T41" i="2" s="1"/>
  <c r="S35" i="2"/>
  <c r="S40" i="2"/>
  <c r="S41" i="2" s="1"/>
  <c r="S23" i="12"/>
  <c r="Z23" i="12" s="1"/>
  <c r="Y21" i="12"/>
  <c r="Y23" i="12"/>
  <c r="S35" i="12"/>
  <c r="Z35" i="12" s="1"/>
  <c r="Z36" i="12"/>
  <c r="Z31" i="12"/>
  <c r="S30" i="12"/>
  <c r="Q40" i="12"/>
  <c r="Q42" i="12" s="1"/>
  <c r="Q51" i="12" s="1"/>
  <c r="X51" i="12" s="1"/>
  <c r="X34" i="12"/>
  <c r="U34" i="12"/>
  <c r="N40" i="12"/>
  <c r="N42" i="12" s="1"/>
  <c r="N51" i="12" s="1"/>
  <c r="U51" i="12" s="1"/>
  <c r="Y34" i="12"/>
  <c r="V34" i="12"/>
  <c r="O40" i="12"/>
  <c r="O42" i="12" s="1"/>
  <c r="O51" i="12" s="1"/>
  <c r="V51" i="12" s="1"/>
  <c r="W34" i="12"/>
  <c r="P40" i="12"/>
  <c r="P42" i="12" s="1"/>
  <c r="P51" i="12" s="1"/>
  <c r="W51" i="12" s="1"/>
  <c r="P17" i="2"/>
  <c r="P21" i="2" s="1"/>
  <c r="P26" i="2" s="1"/>
  <c r="P29" i="2" s="1"/>
  <c r="Q17" i="2"/>
  <c r="Q21" i="2" s="1"/>
  <c r="Q26" i="2" s="1"/>
  <c r="Q44" i="2" s="1"/>
  <c r="Q46" i="2" s="1"/>
  <c r="Q54" i="2" s="1"/>
  <c r="Q55" i="2" s="1"/>
  <c r="R17" i="2"/>
  <c r="B21" i="2"/>
  <c r="B26" i="2" s="1"/>
  <c r="C21" i="2"/>
  <c r="C26" i="2" s="1"/>
  <c r="C29" i="2" s="1"/>
  <c r="D21" i="2"/>
  <c r="D26" i="2" s="1"/>
  <c r="D44" i="2" s="1"/>
  <c r="D46" i="2" s="1"/>
  <c r="D54" i="2" s="1"/>
  <c r="D55" i="2" s="1"/>
  <c r="E21" i="2"/>
  <c r="E26" i="2" s="1"/>
  <c r="E29" i="2" s="1"/>
  <c r="K21" i="2"/>
  <c r="K26" i="2" s="1"/>
  <c r="K44" i="2" s="1"/>
  <c r="K46" i="2" s="1"/>
  <c r="K54" i="2" s="1"/>
  <c r="K55" i="2" s="1"/>
  <c r="L21" i="2"/>
  <c r="L26" i="2" s="1"/>
  <c r="L29" i="2" s="1"/>
  <c r="M21" i="2"/>
  <c r="M26" i="2" s="1"/>
  <c r="M29" i="2" s="1"/>
  <c r="N21" i="2"/>
  <c r="N26" i="2" s="1"/>
  <c r="N44" i="2" s="1"/>
  <c r="N46" i="2" s="1"/>
  <c r="N54" i="2" s="1"/>
  <c r="N55" i="2" s="1"/>
  <c r="O21" i="2"/>
  <c r="O26" i="2" s="1"/>
  <c r="O29" i="2" s="1"/>
  <c r="R21" i="2"/>
  <c r="R26" i="2" s="1"/>
  <c r="C66" i="3"/>
  <c r="D66" i="3"/>
  <c r="E66" i="3"/>
  <c r="F66" i="3"/>
  <c r="L66" i="3"/>
  <c r="M66" i="3"/>
  <c r="N66" i="3"/>
  <c r="O66" i="3"/>
  <c r="P66" i="3"/>
  <c r="Q66" i="3"/>
  <c r="R66" i="3"/>
  <c r="S66" i="3"/>
  <c r="U64" i="3" l="1"/>
  <c r="AB64" i="3" s="1"/>
  <c r="AB63" i="3"/>
  <c r="T35" i="2"/>
  <c r="S34" i="12"/>
  <c r="Z30" i="12"/>
  <c r="Y40" i="12"/>
  <c r="B44" i="2"/>
  <c r="B46" i="2" s="1"/>
  <c r="B54" i="2" s="1"/>
  <c r="B55" i="2" s="1"/>
  <c r="B29" i="2"/>
  <c r="D29" i="2"/>
  <c r="O44" i="2"/>
  <c r="O46" i="2" s="1"/>
  <c r="O54" i="2" s="1"/>
  <c r="O55" i="2" s="1"/>
  <c r="M44" i="2"/>
  <c r="M46" i="2" s="1"/>
  <c r="M54" i="2" s="1"/>
  <c r="M55" i="2" s="1"/>
  <c r="P44" i="2"/>
  <c r="P46" i="2" s="1"/>
  <c r="P54" i="2" s="1"/>
  <c r="P55" i="2" s="1"/>
  <c r="R44" i="2"/>
  <c r="R46" i="2" s="1"/>
  <c r="R54" i="2" s="1"/>
  <c r="R55" i="2" s="1"/>
  <c r="R29" i="2"/>
  <c r="C44" i="2"/>
  <c r="C46" i="2" s="1"/>
  <c r="C54" i="2" s="1"/>
  <c r="C55" i="2" s="1"/>
  <c r="E44" i="2"/>
  <c r="E46" i="2" s="1"/>
  <c r="E54" i="2" s="1"/>
  <c r="E55" i="2" s="1"/>
  <c r="K29" i="2"/>
  <c r="L44" i="2"/>
  <c r="L46" i="2" s="1"/>
  <c r="L54" i="2" s="1"/>
  <c r="L55" i="2" s="1"/>
  <c r="N29" i="2"/>
  <c r="Q29" i="2"/>
  <c r="S40" i="12" l="1"/>
  <c r="Z34" i="12"/>
  <c r="Y51" i="12"/>
  <c r="Y42" i="12"/>
  <c r="S42" i="12" l="1"/>
  <c r="Z40" i="12"/>
  <c r="G20" i="4"/>
  <c r="T20" i="4"/>
  <c r="U20" i="4"/>
  <c r="V20" i="4"/>
  <c r="W20" i="4"/>
  <c r="S51" i="12" l="1"/>
  <c r="Z51" i="12" s="1"/>
  <c r="Z42" i="12"/>
  <c r="D8" i="7"/>
  <c r="D13" i="7" s="1"/>
  <c r="E8" i="7"/>
  <c r="F8" i="7"/>
  <c r="F13" i="7" s="1"/>
  <c r="K8" i="7"/>
  <c r="K13" i="7" s="1"/>
  <c r="L8" i="7"/>
  <c r="L13" i="7" s="1"/>
  <c r="M8" i="7"/>
  <c r="M13" i="7" s="1"/>
  <c r="N8" i="7"/>
  <c r="N13" i="7" s="1"/>
  <c r="O8" i="7"/>
  <c r="O13" i="7" s="1"/>
  <c r="P8" i="7"/>
  <c r="P13" i="7" s="1"/>
  <c r="Q8" i="7"/>
  <c r="Q13" i="7" s="1"/>
  <c r="R8" i="7"/>
  <c r="E13" i="7"/>
  <c r="R13" i="7"/>
  <c r="S13" i="7" l="1"/>
  <c r="Y10" i="7"/>
  <c r="X10" i="7"/>
  <c r="W10" i="7"/>
  <c r="V10" i="7"/>
  <c r="Y9" i="7"/>
  <c r="X9" i="7"/>
  <c r="W9" i="7"/>
  <c r="V9" i="7"/>
  <c r="Y8" i="7"/>
  <c r="X8" i="7"/>
  <c r="W8" i="7"/>
  <c r="V8" i="7"/>
  <c r="Y12" i="7"/>
  <c r="X12" i="7"/>
  <c r="W12" i="7"/>
  <c r="V12" i="7"/>
  <c r="Y13" i="7"/>
  <c r="X13" i="7"/>
  <c r="W13" i="7"/>
  <c r="V13" i="7"/>
  <c r="Y14" i="7"/>
  <c r="X14" i="7"/>
  <c r="W14" i="7"/>
  <c r="V14" i="7"/>
  <c r="F15" i="7"/>
  <c r="E15" i="7"/>
  <c r="D15" i="7"/>
  <c r="R15" i="7"/>
  <c r="Q15" i="7"/>
  <c r="P15" i="7"/>
  <c r="O15" i="7"/>
  <c r="N15" i="7"/>
  <c r="M15" i="7"/>
  <c r="L15" i="7"/>
  <c r="K15" i="7"/>
  <c r="X15" i="7" l="1"/>
  <c r="H15" i="7"/>
  <c r="I15" i="7"/>
  <c r="V15" i="7"/>
  <c r="W15" i="7"/>
  <c r="Y15" i="7"/>
  <c r="Q9" i="5" l="1"/>
  <c r="Q4" i="5"/>
  <c r="X5" i="5"/>
  <c r="X6" i="5"/>
  <c r="X7" i="5"/>
  <c r="X11" i="5"/>
  <c r="X10" i="5"/>
  <c r="X4" i="4" l="1"/>
  <c r="X5" i="4"/>
  <c r="V4" i="9" l="1"/>
  <c r="W4" i="9"/>
  <c r="U4" i="9"/>
  <c r="E30" i="2"/>
  <c r="E34" i="2" s="1"/>
  <c r="R34" i="2"/>
  <c r="Q34" i="2"/>
  <c r="Q40" i="2" s="1"/>
  <c r="P34" i="2"/>
  <c r="O34" i="2"/>
  <c r="N34" i="2"/>
  <c r="M34" i="2"/>
  <c r="M40" i="2" s="1"/>
  <c r="L34" i="2"/>
  <c r="K34" i="2"/>
  <c r="K40" i="2" s="1"/>
  <c r="D34" i="2"/>
  <c r="C34" i="2"/>
  <c r="B34" i="2"/>
  <c r="B40" i="2" s="1"/>
  <c r="D12" i="4"/>
  <c r="W17" i="4"/>
  <c r="V17" i="4"/>
  <c r="U17" i="4"/>
  <c r="T17" i="4"/>
  <c r="X16" i="4"/>
  <c r="W16" i="4"/>
  <c r="V16" i="4"/>
  <c r="U16" i="4"/>
  <c r="T16" i="4"/>
  <c r="X14" i="4"/>
  <c r="W14" i="4"/>
  <c r="V14" i="4"/>
  <c r="U14" i="4"/>
  <c r="T14" i="4"/>
  <c r="X15" i="4"/>
  <c r="P15" i="4"/>
  <c r="O15" i="4"/>
  <c r="N15" i="4"/>
  <c r="Y15" i="4" s="1"/>
  <c r="L15" i="4"/>
  <c r="K15" i="4"/>
  <c r="J15" i="4"/>
  <c r="I15" i="4"/>
  <c r="T15" i="4" s="1"/>
  <c r="B15" i="4"/>
  <c r="D14" i="4"/>
  <c r="D15" i="4" s="1"/>
  <c r="C14" i="4"/>
  <c r="F14" i="4" s="1"/>
  <c r="B35" i="2" l="1"/>
  <c r="C35" i="2"/>
  <c r="C40" i="2"/>
  <c r="D35" i="2"/>
  <c r="D40" i="2"/>
  <c r="E35" i="2"/>
  <c r="E40" i="2"/>
  <c r="R35" i="2"/>
  <c r="R40" i="2"/>
  <c r="P35" i="2"/>
  <c r="P40" i="2"/>
  <c r="L35" i="2"/>
  <c r="L40" i="2"/>
  <c r="K35" i="2"/>
  <c r="M35" i="2"/>
  <c r="N35" i="2"/>
  <c r="N40" i="2"/>
  <c r="Q35" i="2"/>
  <c r="O35" i="2"/>
  <c r="O40" i="2"/>
  <c r="X5" i="9"/>
  <c r="U15" i="4"/>
  <c r="V15" i="4"/>
  <c r="V5" i="9"/>
  <c r="W5" i="9"/>
  <c r="X4" i="9"/>
  <c r="W15" i="4"/>
  <c r="C15" i="4"/>
  <c r="F15" i="4" s="1"/>
  <c r="G14" i="4"/>
  <c r="X17" i="4"/>
  <c r="G15" i="4" l="1"/>
  <c r="AA51" i="3"/>
  <c r="AA50" i="3"/>
  <c r="AA41" i="3"/>
  <c r="AA32" i="3"/>
  <c r="AA27" i="3"/>
  <c r="AA26" i="3"/>
  <c r="AA11" i="3"/>
  <c r="AA17" i="3"/>
  <c r="AA16" i="3"/>
  <c r="AA6" i="3"/>
  <c r="AA46" i="3"/>
  <c r="AA52" i="3"/>
  <c r="AA49" i="3"/>
  <c r="AA23" i="3"/>
  <c r="AA19" i="3"/>
  <c r="AA15" i="3"/>
  <c r="AA13" i="3"/>
  <c r="AA9" i="3"/>
  <c r="AA49" i="1"/>
  <c r="AA47" i="1"/>
  <c r="AA46" i="1"/>
  <c r="AA45" i="1"/>
  <c r="AA44" i="1"/>
  <c r="AA43" i="1"/>
  <c r="AA42" i="1"/>
  <c r="AA39" i="1"/>
  <c r="AA38" i="1"/>
  <c r="AA37" i="1"/>
  <c r="AA36" i="1"/>
  <c r="AA35" i="1"/>
  <c r="AA34" i="1"/>
  <c r="AA33" i="1"/>
  <c r="AA27" i="1"/>
  <c r="AA26" i="1"/>
  <c r="AA25" i="1"/>
  <c r="AA24" i="1"/>
  <c r="AA21" i="1"/>
  <c r="AA20" i="1"/>
  <c r="AA19" i="1"/>
  <c r="AA17" i="1"/>
  <c r="AA14" i="1"/>
  <c r="AA13" i="1"/>
  <c r="AA12" i="1"/>
  <c r="AA11" i="1"/>
  <c r="AA9" i="1"/>
  <c r="AA8" i="1"/>
  <c r="AA56" i="1"/>
  <c r="AA55" i="1"/>
  <c r="AA54" i="1"/>
  <c r="AA53" i="1"/>
  <c r="AA52" i="1"/>
  <c r="AA51" i="1"/>
  <c r="AA41" i="1"/>
  <c r="AA32" i="1"/>
  <c r="AA16" i="1"/>
  <c r="AA7" i="1"/>
  <c r="Z31" i="2"/>
  <c r="Z17" i="2"/>
  <c r="Z10" i="2"/>
  <c r="Z8" i="2"/>
  <c r="Z53" i="2"/>
  <c r="Z48" i="2"/>
  <c r="Z45" i="2"/>
  <c r="Z37" i="2"/>
  <c r="Z33" i="2"/>
  <c r="Z24" i="2"/>
  <c r="Z23" i="2"/>
  <c r="Z19" i="2"/>
  <c r="Z18" i="2"/>
  <c r="Z11" i="2"/>
  <c r="Z6" i="2"/>
  <c r="Z5" i="2"/>
  <c r="Z13" i="7"/>
  <c r="Z12" i="7"/>
  <c r="Z10" i="7"/>
  <c r="Z9" i="7"/>
  <c r="Z8" i="7"/>
  <c r="Y4" i="9"/>
  <c r="Y8" i="9"/>
  <c r="Y7" i="9"/>
  <c r="Y5" i="9"/>
  <c r="Y10" i="9"/>
  <c r="Y9" i="9"/>
  <c r="X15" i="5"/>
  <c r="X14" i="5"/>
  <c r="X19" i="4"/>
  <c r="X18" i="4"/>
  <c r="X12" i="4"/>
  <c r="P13" i="4"/>
  <c r="O13" i="4"/>
  <c r="N13" i="4"/>
  <c r="Y13" i="4" s="1"/>
  <c r="M13" i="4"/>
  <c r="X13" i="4" s="1"/>
  <c r="D13" i="4"/>
  <c r="X11" i="4"/>
  <c r="X10" i="4"/>
  <c r="X9" i="4"/>
  <c r="X8" i="4"/>
  <c r="X7" i="4"/>
  <c r="X6" i="4"/>
  <c r="AA39" i="3" l="1"/>
  <c r="AA62" i="3"/>
  <c r="AA30" i="1"/>
  <c r="AA5" i="1"/>
  <c r="Z15" i="2" l="1"/>
  <c r="Z21" i="2" l="1"/>
  <c r="Z26" i="2" l="1"/>
  <c r="Z32" i="2"/>
  <c r="Z35" i="2" l="1"/>
  <c r="Z29" i="2"/>
  <c r="Z44" i="2"/>
  <c r="Z40" i="2" l="1"/>
  <c r="Z34" i="2"/>
  <c r="Z46" i="2"/>
  <c r="Z41" i="2" l="1"/>
  <c r="Z54" i="2"/>
  <c r="Z55" i="2"/>
  <c r="AA53" i="3" l="1"/>
  <c r="AA58" i="3" l="1"/>
  <c r="AA60" i="3" l="1"/>
  <c r="AA63" i="3" l="1"/>
  <c r="AA64" i="3"/>
  <c r="Z14" i="7" l="1"/>
  <c r="S15" i="7"/>
  <c r="Z15" i="7" s="1"/>
  <c r="X20" i="4" l="1"/>
</calcChain>
</file>

<file path=xl/sharedStrings.xml><?xml version="1.0" encoding="utf-8"?>
<sst xmlns="http://schemas.openxmlformats.org/spreadsheetml/2006/main" count="787" uniqueCount="276">
  <si>
    <t>AH</t>
  </si>
  <si>
    <t>1T20</t>
  </si>
  <si>
    <t>2T20</t>
  </si>
  <si>
    <t>3T20</t>
  </si>
  <si>
    <t>4T20</t>
  </si>
  <si>
    <t>1T21</t>
  </si>
  <si>
    <t>Caixa e equivalentes de caixa</t>
  </si>
  <si>
    <t>Despesas antecipadas</t>
  </si>
  <si>
    <t>Imposto de renda e contribuição social diferidos</t>
  </si>
  <si>
    <t>Depósitos judiciais</t>
  </si>
  <si>
    <t>Imobilizado</t>
  </si>
  <si>
    <t>Intangível</t>
  </si>
  <si>
    <t>Capital social</t>
  </si>
  <si>
    <t>Reserva de capital</t>
  </si>
  <si>
    <t>Lucro bruto</t>
  </si>
  <si>
    <t>Resultado Financeiro Líquido</t>
  </si>
  <si>
    <t>Despesas financeiras</t>
  </si>
  <si>
    <t>Receitas financeiras</t>
  </si>
  <si>
    <t>Reconciliação do EBITDA Ajustado</t>
  </si>
  <si>
    <t>(+) IR, CSLL</t>
  </si>
  <si>
    <t>(+) Resultado Financeiro Líquido</t>
  </si>
  <si>
    <t>(+) Depreciação e Amortização</t>
  </si>
  <si>
    <t>(=) EBITDA</t>
  </si>
  <si>
    <t>Margem EBITDA</t>
  </si>
  <si>
    <t>(=) EBITDA Ajustado</t>
  </si>
  <si>
    <t>2T21</t>
  </si>
  <si>
    <t xml:space="preserve">Receita Operacional Líquida </t>
  </si>
  <si>
    <t xml:space="preserve">Custo dos Serviços </t>
  </si>
  <si>
    <t>Despesas operacionais</t>
  </si>
  <si>
    <t>Despesas comerciais, administrativas e gerais</t>
  </si>
  <si>
    <t>Outras receitas (despesas), líquidas</t>
  </si>
  <si>
    <t>Lucro operacional antes do resultado financeiro</t>
  </si>
  <si>
    <t xml:space="preserve">Resultado antes da provisão para o imposto de renda e a contribuição social </t>
  </si>
  <si>
    <t>Imposto de renda e contribuição social - corrente</t>
  </si>
  <si>
    <t>Imposto de renda e contribuição social - diferido</t>
  </si>
  <si>
    <t>(+) COVID-19</t>
  </si>
  <si>
    <t>(+) Despesas de M&amp;A</t>
  </si>
  <si>
    <t>Margem EBITDA Ajustada</t>
  </si>
  <si>
    <t>Reconciliação do Lucro Líquido</t>
  </si>
  <si>
    <t>Lucro (Prejuízo) Líquido</t>
  </si>
  <si>
    <t>Lucro líquido (prejuízo) do período</t>
  </si>
  <si>
    <t>(+) Amortização de Alocação de Preço</t>
  </si>
  <si>
    <t>(-) IR/CS sobre ajuste</t>
  </si>
  <si>
    <t>Margem Líquida Ajustada</t>
  </si>
  <si>
    <t>(=) Lucro Líquido (Prejuízo) ex-ágio</t>
  </si>
  <si>
    <t>(=) Lucro Líquido (Prejuízo) Ajustado</t>
  </si>
  <si>
    <t>Demonstrações do resultado (Consolidado, em milhares de Reais)</t>
  </si>
  <si>
    <t>Balanço Patrimonial (Consolidado, em milhares de Reais)</t>
  </si>
  <si>
    <t>Total do Ativo</t>
  </si>
  <si>
    <t>Contas a receber</t>
  </si>
  <si>
    <t>Instrumentos financeiros derivativos</t>
  </si>
  <si>
    <t>Impostos a recuperar</t>
  </si>
  <si>
    <t>Aplicações financeiras restritas</t>
  </si>
  <si>
    <t>Ativos de indenização na aquisição de empresas</t>
  </si>
  <si>
    <t>Mútuo conversível</t>
  </si>
  <si>
    <t>Passivo e Patrimônio Líquido</t>
  </si>
  <si>
    <t>Instrumentos Financeiros Derivativos</t>
  </si>
  <si>
    <t>Obrigações trabalhistas e tributárias</t>
  </si>
  <si>
    <t>Contas a pagar por aquisição de controladas</t>
  </si>
  <si>
    <t>Outros passivos</t>
  </si>
  <si>
    <t>Ativo Circulante</t>
  </si>
  <si>
    <t>Ativo Não Circulante</t>
  </si>
  <si>
    <t>Passivo Circulante</t>
  </si>
  <si>
    <t>Passivo Não Circulante</t>
  </si>
  <si>
    <t>Patrimônio Líquido</t>
  </si>
  <si>
    <t>Gastos com emissão de ações</t>
  </si>
  <si>
    <t>Prejuízos acumulados</t>
  </si>
  <si>
    <t>Arrendamento mercantil</t>
  </si>
  <si>
    <t>Fornecedores e operações de risco sacado</t>
  </si>
  <si>
    <t>Fluxo de caixa das atividades operacionais</t>
  </si>
  <si>
    <t>Depreciação e amortização</t>
  </si>
  <si>
    <t>Demonstrações dos fluxos de caixa (Consolidado, em milhares de Reais)</t>
  </si>
  <si>
    <t>Ajustes para conciliar o resultado antes do imposto de renda e contribuição social</t>
  </si>
  <si>
    <t>Provisão para demandas judiciais</t>
  </si>
  <si>
    <t>Plano de pagamento com base de ações</t>
  </si>
  <si>
    <t>Rendimento de aplicação financeira restrita</t>
  </si>
  <si>
    <t>Variações de ativos e passivos</t>
  </si>
  <si>
    <t>Demais contas a receber</t>
  </si>
  <si>
    <t>Atividades de investimento</t>
  </si>
  <si>
    <t>Atividades de financiamentos</t>
  </si>
  <si>
    <t>Fluxo de caixa líquido gerado pelas (aplicado nas) atividades de financiamentos</t>
  </si>
  <si>
    <t>Redução de caixa e equivalentes de caixa</t>
  </si>
  <si>
    <t>Saldo inicial de caixa e equivalentes de caixa</t>
  </si>
  <si>
    <t>Saldo final de caixa e equivalentes de caixa</t>
  </si>
  <si>
    <t>B2C</t>
  </si>
  <si>
    <t>B2B</t>
  </si>
  <si>
    <t>Quantidade de Pedidos</t>
  </si>
  <si>
    <t>Logística</t>
  </si>
  <si>
    <t>Receita Bruta</t>
  </si>
  <si>
    <t>Receita Líquida</t>
  </si>
  <si>
    <t xml:space="preserve">Margem Bruta </t>
  </si>
  <si>
    <t>A</t>
  </si>
  <si>
    <t>B</t>
  </si>
  <si>
    <t>E</t>
  </si>
  <si>
    <t>Endividamento</t>
  </si>
  <si>
    <t>(C=A+B)</t>
  </si>
  <si>
    <t>Empréstimos, Financiamentos, Debêntures e Derivativos</t>
  </si>
  <si>
    <t>Contas a pagar por resgate de ações</t>
  </si>
  <si>
    <t xml:space="preserve">Índice de Alavancagem Financeira (C/b) </t>
  </si>
  <si>
    <t xml:space="preserve">Endividamento </t>
  </si>
  <si>
    <t xml:space="preserve">Caixa e Equivalente de Caixa </t>
  </si>
  <si>
    <t xml:space="preserve">Dívida Líquida </t>
  </si>
  <si>
    <t>b</t>
  </si>
  <si>
    <t>C/b</t>
  </si>
  <si>
    <t xml:space="preserve">Receita Operacional Bruta </t>
  </si>
  <si>
    <t>Custos dos Serviços Prestados</t>
  </si>
  <si>
    <t>Custos Diretos</t>
  </si>
  <si>
    <t>A.1</t>
  </si>
  <si>
    <t>Depreciação / Amortização</t>
  </si>
  <si>
    <t>C.1</t>
  </si>
  <si>
    <t>A.2</t>
  </si>
  <si>
    <t>Depreciação - IFRS</t>
  </si>
  <si>
    <t xml:space="preserve">Lucro Bruto </t>
  </si>
  <si>
    <t>Despesas comerciais, administrativas, gerais e outras</t>
  </si>
  <si>
    <t>B.1</t>
  </si>
  <si>
    <t>C.2</t>
  </si>
  <si>
    <t>EBITDA</t>
  </si>
  <si>
    <t>Lucro (Prejuízo) antes do Imposto de Renda</t>
  </si>
  <si>
    <t xml:space="preserve">Imposto de Renda e Contribuição Social </t>
  </si>
  <si>
    <t xml:space="preserve">Reconciliação </t>
  </si>
  <si>
    <t>Receita Operacional Bruta</t>
  </si>
  <si>
    <t>Receita Operacional Líquida</t>
  </si>
  <si>
    <t xml:space="preserve">Custos Ajustados </t>
  </si>
  <si>
    <t>A.1+A.2+C.1</t>
  </si>
  <si>
    <t>Aluguel - IFRS</t>
  </si>
  <si>
    <t>Despesas Ajustadas</t>
  </si>
  <si>
    <t>B.1+C.2</t>
  </si>
  <si>
    <t>A.1+A.2+B.1+C.1+C.2</t>
  </si>
  <si>
    <t>IFRS - Aluguel</t>
  </si>
  <si>
    <t xml:space="preserve">Resultado Financeiro </t>
  </si>
  <si>
    <t xml:space="preserve">Imposto de Renda </t>
  </si>
  <si>
    <t>C.1+C.2</t>
  </si>
  <si>
    <t>DRE Contábil (Societário)</t>
  </si>
  <si>
    <t>Operacional</t>
  </si>
  <si>
    <t>B2C Pedidos</t>
  </si>
  <si>
    <t>B2B Pedidos</t>
  </si>
  <si>
    <t>Ticket Médio (R$)</t>
  </si>
  <si>
    <t>Investimentos</t>
  </si>
  <si>
    <t>% Receita Bruta</t>
  </si>
  <si>
    <t>Pedidos (milhares)</t>
  </si>
  <si>
    <t>Receita Bruta (milhares)</t>
  </si>
  <si>
    <t>Destaques (milhares)</t>
  </si>
  <si>
    <t>Automação</t>
  </si>
  <si>
    <t>Tecnologia</t>
  </si>
  <si>
    <t>Expansão de bases</t>
  </si>
  <si>
    <t>Outros</t>
  </si>
  <si>
    <t>CAPEX (milhares)</t>
  </si>
  <si>
    <t>EBITDA LTM¹</t>
  </si>
  <si>
    <t xml:space="preserve">Despesas Comerciais, Administrativas, Gerais e Outras </t>
  </si>
  <si>
    <t>Lucro Líquido (Prejuízo) do Período</t>
  </si>
  <si>
    <t>Despesas Comerciais Administrativas e Gerais</t>
  </si>
  <si>
    <t>Ajustes M&amp;A</t>
  </si>
  <si>
    <t>Lucro Líquido (Prejuízo) Ajustado</t>
  </si>
  <si>
    <t>nd</t>
  </si>
  <si>
    <t>(+) Créditos de Impostos</t>
  </si>
  <si>
    <t>1T21 vs 4T20</t>
  </si>
  <si>
    <t>Provisão para créditos de liquidação duvidosa</t>
  </si>
  <si>
    <t>Ganhos em negociações de impostos</t>
  </si>
  <si>
    <t xml:space="preserve">   Contas a receber</t>
  </si>
  <si>
    <t xml:space="preserve">   Adiantamentos</t>
  </si>
  <si>
    <t xml:space="preserve">   Impostos a recuperar</t>
  </si>
  <si>
    <t xml:space="preserve">   Despesas antecipadas</t>
  </si>
  <si>
    <t xml:space="preserve">   Depósito judicial</t>
  </si>
  <si>
    <t xml:space="preserve">   Demais contas a receber</t>
  </si>
  <si>
    <t xml:space="preserve">   Obrigações trabalhistas e tributárias</t>
  </si>
  <si>
    <t xml:space="preserve">   Outros passivos</t>
  </si>
  <si>
    <t xml:space="preserve">   Imposto de renda e contribuição social pagos</t>
  </si>
  <si>
    <t xml:space="preserve">   Juros pagos sobre empréstimos, financiamentos e debêntures</t>
  </si>
  <si>
    <t xml:space="preserve">   Juros pagos sobre arrendamentos</t>
  </si>
  <si>
    <t xml:space="preserve">   Acréscimo de imobilizado e intangível</t>
  </si>
  <si>
    <t xml:space="preserve">   Aquisição de controladas líquida de caixa adquirido</t>
  </si>
  <si>
    <t xml:space="preserve">   Captação de empréstimos, financiamentos e debêntures</t>
  </si>
  <si>
    <t xml:space="preserve">   Amortização de empréstimos, financiamentos e debêntures – principal</t>
  </si>
  <si>
    <t xml:space="preserve">   Amortização de arrendamentos – principal</t>
  </si>
  <si>
    <t xml:space="preserve">   Pagamento de dividendos sobre ações preferenciais</t>
  </si>
  <si>
    <t>Fluxo de caixa gerado pelas (aplicado nas) atividades de investimento</t>
  </si>
  <si>
    <t>3T21</t>
  </si>
  <si>
    <t>2T21 vs 
1T21</t>
  </si>
  <si>
    <t>3T21 vs 
2T21</t>
  </si>
  <si>
    <t>Reserva de lucro</t>
  </si>
  <si>
    <t xml:space="preserve">   Investimento em controlada em conjunto</t>
  </si>
  <si>
    <t>4T21</t>
  </si>
  <si>
    <t>4T21 vs 
3T21</t>
  </si>
  <si>
    <t>1T21 vs 
4T20</t>
  </si>
  <si>
    <t>2T21 vs 
4T20</t>
  </si>
  <si>
    <t>3T21 vs 
4T20</t>
  </si>
  <si>
    <t>4T21 vs 
4T20</t>
  </si>
  <si>
    <t xml:space="preserve">   Contas a pagar por aquisição de investimentos</t>
  </si>
  <si>
    <t>Margem Líquida</t>
  </si>
  <si>
    <t>¹O EBITDA consiste no lucro (prejuízo) líquido ajustado pelo resultado financeiro líquido, pelo imposto de renda e contribuição social – correntes e diferidos, e pelas despesas e custos de depreciação e amortização, calculado tomando como base as disposições da Instrução CVM 527 de 4 de outubro de 2012, considerando os últimos 12 meses de cada período.</t>
  </si>
  <si>
    <t>Resultado de equivalência patrimonial</t>
  </si>
  <si>
    <t>Provisões para demandas judiciais</t>
  </si>
  <si>
    <t>Contas a pagar por aquisição de investimentos</t>
  </si>
  <si>
    <t xml:space="preserve">Margem EBITDA Ajustada </t>
  </si>
  <si>
    <t>Opções de compra de investimento</t>
  </si>
  <si>
    <t xml:space="preserve">   Aquisição de investimento</t>
  </si>
  <si>
    <t xml:space="preserve">   Pagamento por aquisição de controladas</t>
  </si>
  <si>
    <t xml:space="preserve">   Caixa proveniente de empresas incorporadas </t>
  </si>
  <si>
    <t xml:space="preserve">   Constituição de controlada em conjunto</t>
  </si>
  <si>
    <t xml:space="preserve">   Partes relacionadas</t>
  </si>
  <si>
    <t>(+) Equivalência Patrimonial</t>
  </si>
  <si>
    <t>Resultado de equivalencia patrimonial</t>
  </si>
  <si>
    <t>-</t>
  </si>
  <si>
    <t>Atualização de valor justo de investimento</t>
  </si>
  <si>
    <t>Valor justo dos instrumentos financeiros derivativos</t>
  </si>
  <si>
    <t>Fluxo de caixa gerado pelas (aplicados nas) atividades operacionais</t>
  </si>
  <si>
    <t>1T22</t>
  </si>
  <si>
    <t>1T22 vs 4T21</t>
  </si>
  <si>
    <r>
      <t>EBITDA Ajustado</t>
    </r>
    <r>
      <rPr>
        <b/>
        <sz val="8"/>
        <color theme="1"/>
        <rFont val="Calibri"/>
        <family val="2"/>
      </rPr>
      <t>¹</t>
    </r>
  </si>
  <si>
    <t>Resultado de Equivalência Patrimonial</t>
  </si>
  <si>
    <t>*A partir de 2022, a Companhia passa a não ajustar o Lucro Bruto e EBITDA por efeitos do IFRS 16. O 1T22 e 1T21 consideram este racional.</t>
  </si>
  <si>
    <t>1T22 vs 
4T21</t>
  </si>
  <si>
    <t>Resultado líquido na venda/baixa de imobilizado</t>
  </si>
  <si>
    <t>Lucro (Prejuízo) antes do imposto de renda e contribuição social</t>
  </si>
  <si>
    <t>Juros sobre empréstimos, financiamentos e dívida</t>
  </si>
  <si>
    <t>Ajuste de preço</t>
  </si>
  <si>
    <t xml:space="preserve">   Fornecedores</t>
  </si>
  <si>
    <t xml:space="preserve">   Aumento de capital</t>
  </si>
  <si>
    <t xml:space="preserve">   Aplicações financeiras restritas</t>
  </si>
  <si>
    <t>Depreciação / Amortização - IFRS</t>
  </si>
  <si>
    <t xml:space="preserve">*A partir de 2022, a Companhia passa a não ajustar o Lucro Bruto e EBITDA por efeitos do IFRS 16. </t>
  </si>
  <si>
    <t>NA</t>
  </si>
  <si>
    <t>ND</t>
  </si>
  <si>
    <t>Lucro (Prejuízo) Líquido Ajustado³</t>
  </si>
  <si>
    <t xml:space="preserve">1 Exclui despesas não recorrentes com: (i) fusões e aquisições; e (ii) outras receitas/despesas.
2 Exclui efeitos com IFRS 16 adicionando os custos e despesas de aluguéis e exclui despesas não recorrentes com: (i) fusões e aquisições; e (ii) outras receitas/despesas.
3 Exclui a amortização de intangiveis gerados nas aquisições e despesas não recorrentes.
4 Soma do EBTIDA LTM (Anualizando as adquiridas) mais Depreciação LTM, multiplicado por (1 - Alíquota IR)  dividido pelo Valor residual + Capital de Giro (A Alíquota de Imposto de Renda e Contribuição Social utilizada para o cálculo do ROIC foi de 34%). 
5 Novo calculo a partir de 1T22: Soma do EBTIDA LTM mais Depreciação LTM, multiplicado por (1 - Alíquota IR)  dividido pelo Valor residual + Capital de Giro (A Alíquota de Imposto de Renda e Contribuição Social utilizada para o cálculo do ROIC foi de 34%). 
*A partir de 2022, a Companhia passa a não ajustar o Lucro Bruto e EBITDA por efeitos do IFRS 16. </t>
  </si>
  <si>
    <r>
      <t>ROIC</t>
    </r>
    <r>
      <rPr>
        <b/>
        <vertAlign val="superscript"/>
        <sz val="8"/>
        <color theme="1"/>
        <rFont val="Verdana"/>
        <family val="2"/>
      </rPr>
      <t>5</t>
    </r>
  </si>
  <si>
    <t>(+) Efeito Liquidação Antecipada Debentures</t>
  </si>
  <si>
    <t>Efeito Liquidação Antecipada Debentures</t>
  </si>
  <si>
    <t>Resultado antes do imposto de renda e contribuição social</t>
  </si>
  <si>
    <t>Juros provisionados</t>
  </si>
  <si>
    <t>Plano de pagamento com base em ações</t>
  </si>
  <si>
    <t>Baixa líquida de imobilizado e direito de uso</t>
  </si>
  <si>
    <t>Ajuste de preço por aquisição de controlada</t>
  </si>
  <si>
    <t>Adiantamentos</t>
  </si>
  <si>
    <t>Depósito judicial</t>
  </si>
  <si>
    <t>Imposto de renda e contribuição sociais pagas</t>
  </si>
  <si>
    <t>Juros pagos sobre empréstimos, financiamentos e debêntures</t>
  </si>
  <si>
    <t>Juros pagos sobre arrendamentos</t>
  </si>
  <si>
    <t>Acréscimo de imobilizado e intangível</t>
  </si>
  <si>
    <t>Constituição de controlada em conjunto</t>
  </si>
  <si>
    <t>Aquisição de investimento</t>
  </si>
  <si>
    <t>Caixa proveniente de empresas incorporadas</t>
  </si>
  <si>
    <t>Captação de empréstimos, financiamentos e debêntures</t>
  </si>
  <si>
    <t>Amortização de empréstimos, financiamentos e debêntures - principal</t>
  </si>
  <si>
    <t>Amortização de arrendamentos - Principal</t>
  </si>
  <si>
    <t>Aumento de capital, líquido dos gastos com emissão</t>
  </si>
  <si>
    <t>Aplicação financeira restrita</t>
  </si>
  <si>
    <t>Pagamento de dividendos sobre ações preferenciais</t>
  </si>
  <si>
    <t>Mar 22</t>
  </si>
  <si>
    <t>Capex</t>
  </si>
  <si>
    <t>Automação (Sorters + Esteiras)</t>
  </si>
  <si>
    <t>TI (Desenv. Sistemas + Hardware)</t>
  </si>
  <si>
    <t>Expansão de Bases</t>
  </si>
  <si>
    <t>EBITDA Ajustado</t>
  </si>
  <si>
    <t>Direito de uso</t>
  </si>
  <si>
    <t>Empréstimos, financiamentos e debêntures</t>
  </si>
  <si>
    <t>Empréstimos, Financiamentos e debentures</t>
  </si>
  <si>
    <t>EBITDA (últimos 12 meses) (b)</t>
  </si>
  <si>
    <t xml:space="preserve">(B) Caixa e Equivalentes de Caixa </t>
  </si>
  <si>
    <t>D</t>
  </si>
  <si>
    <t/>
  </si>
  <si>
    <t xml:space="preserve">EBITDA Ajustado ex IFRS-16 </t>
  </si>
  <si>
    <t>Amortização de Intangíveis</t>
  </si>
  <si>
    <t>Lucro Bruto Ajustado ex IFRS-16</t>
  </si>
  <si>
    <t>2T22</t>
  </si>
  <si>
    <t>Jun 22</t>
  </si>
  <si>
    <t>2T22 vs 1T22</t>
  </si>
  <si>
    <t>Direito de Uso</t>
  </si>
  <si>
    <t>Provisão para perda com investimento</t>
  </si>
  <si>
    <t>(+) Venda de Participação Minoritária</t>
  </si>
  <si>
    <t>Venda de Participação Minoritária</t>
  </si>
  <si>
    <t>F</t>
  </si>
  <si>
    <t>Ajuste Não Caixa de Instrumentos Financeiros (Recompra de Ações)</t>
  </si>
  <si>
    <t>(+) Ajuste Não Caixa de Instrumentos Financeiros (Recompra de Ações)</t>
  </si>
  <si>
    <t>IR / CS sobre Ajustes</t>
  </si>
  <si>
    <t>2T22 vs 
4T21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</si>
</sst>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#,##0_);\(#,##0\);_-&quot;-&quot;_-"/>
    <numFmt numFmtId="165" formatCode="_-#,##0.0%_);\(#,##0.0%\);_-&quot;-&quot;_-"/>
    <numFmt numFmtId="166" formatCode="_-#,##0.0\p\.\p\._);\(#,##0.0\p\.\p\.\);_-&quot;-&quot;_-"/>
    <numFmt numFmtId="167" formatCode="_(* #,##0.0_);_(* \(#,##0.0\);_(* &quot;-&quot;?_);_(@_)"/>
    <numFmt numFmtId="168" formatCode="0.0%"/>
    <numFmt numFmtId="169" formatCode="_-* #,##0_-;\-* #,##0_-;_-* &quot;-&quot;??_-;_-@_-"/>
    <numFmt numFmtId="170" formatCode="#,##0\ ;\(#,##0\);_(* &quot;-&quot;_);_(@_)"/>
    <numFmt numFmtId="171" formatCode="_-#,##0.0_)\x;\(#,##0.0\)\x;_-&quot;-&quot;_-"/>
    <numFmt numFmtId="172" formatCode="_-#,##0.00_);\(#,##0.00\);_-&quot;-&quot;_-"/>
    <numFmt numFmtId="173" formatCode="_-#,##0\p\.\p\._);\(#,##0\p\.\p\.\);_-&quot;-&quot;_-"/>
    <numFmt numFmtId="174" formatCode="_-#,##0%_);\(#,##0%\);_-&quot;-&quot;_-"/>
    <numFmt numFmtId="175" formatCode="_(* #,##0_);_(* \(#,##0\);_(* &quot;-&quot;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NettoOT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rgb="FFD0FF00"/>
      <name val="Verdana"/>
      <family val="2"/>
    </font>
    <font>
      <sz val="8"/>
      <color theme="0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rgb="FFFF0000"/>
      <name val="Verdana"/>
      <family val="2"/>
    </font>
    <font>
      <b/>
      <sz val="8"/>
      <color rgb="FFFFFFFF"/>
      <name val="Verdana"/>
      <family val="2"/>
    </font>
    <font>
      <b/>
      <u/>
      <sz val="8"/>
      <color theme="1"/>
      <name val="Verdana"/>
      <family val="2"/>
    </font>
    <font>
      <b/>
      <sz val="8"/>
      <color theme="1"/>
      <name val="Calibri"/>
      <family val="2"/>
    </font>
    <font>
      <b/>
      <vertAlign val="superscript"/>
      <sz val="8"/>
      <color theme="1"/>
      <name val="Verdana"/>
      <family val="2"/>
    </font>
    <font>
      <sz val="7"/>
      <color rgb="FF000000"/>
      <name val="Arial"/>
      <family val="2"/>
    </font>
    <font>
      <sz val="12"/>
      <color theme="1"/>
      <name val="NettoOT-Light"/>
      <family val="2"/>
    </font>
    <font>
      <sz val="10"/>
      <color theme="1"/>
      <name val="Saira"/>
      <family val="2"/>
    </font>
    <font>
      <b/>
      <sz val="10"/>
      <color theme="0"/>
      <name val="Saira"/>
      <family val="2"/>
    </font>
    <font>
      <b/>
      <sz val="10"/>
      <color rgb="FFC9FA00"/>
      <name val="Saira"/>
      <family val="2"/>
    </font>
    <font>
      <b/>
      <sz val="10"/>
      <color rgb="FF333333"/>
      <name val="Sair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5E0AB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dashed">
        <color theme="1" tint="0.499984740745262"/>
      </left>
      <right/>
      <top/>
      <bottom/>
      <diagonal/>
    </border>
    <border>
      <left/>
      <right style="dashed">
        <color theme="1" tint="0.49998474074526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9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20" fillId="10" borderId="0"/>
    <xf numFmtId="0" fontId="21" fillId="9" borderId="0"/>
    <xf numFmtId="0" fontId="19" fillId="11" borderId="0"/>
  </cellStyleXfs>
  <cellXfs count="332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right"/>
    </xf>
    <xf numFmtId="167" fontId="6" fillId="7" borderId="0" xfId="2" applyNumberFormat="1" applyFont="1" applyFill="1" applyAlignment="1">
      <alignment vertical="center"/>
    </xf>
    <xf numFmtId="0" fontId="7" fillId="7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8" fillId="0" borderId="0" xfId="0" applyFont="1"/>
    <xf numFmtId="0" fontId="7" fillId="7" borderId="5" xfId="2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169" fontId="4" fillId="0" borderId="0" xfId="3" applyNumberFormat="1" applyFont="1" applyFill="1"/>
    <xf numFmtId="169" fontId="4" fillId="0" borderId="0" xfId="3" applyNumberFormat="1" applyFont="1"/>
    <xf numFmtId="168" fontId="4" fillId="0" borderId="0" xfId="1" applyNumberFormat="1" applyFont="1"/>
    <xf numFmtId="169" fontId="4" fillId="0" borderId="5" xfId="3" applyNumberFormat="1" applyFont="1" applyFill="1" applyBorder="1"/>
    <xf numFmtId="169" fontId="4" fillId="0" borderId="0" xfId="3" applyNumberFormat="1" applyFont="1" applyFill="1" applyBorder="1"/>
    <xf numFmtId="169" fontId="4" fillId="0" borderId="5" xfId="3" applyNumberFormat="1" applyFont="1" applyBorder="1"/>
    <xf numFmtId="0" fontId="5" fillId="0" borderId="4" xfId="0" applyFont="1" applyFill="1" applyBorder="1" applyAlignment="1">
      <alignment horizontal="left"/>
    </xf>
    <xf numFmtId="164" fontId="5" fillId="0" borderId="4" xfId="0" applyNumberFormat="1" applyFont="1" applyFill="1" applyBorder="1"/>
    <xf numFmtId="168" fontId="5" fillId="0" borderId="4" xfId="1" applyNumberFormat="1" applyFont="1" applyFill="1" applyBorder="1" applyAlignment="1">
      <alignment horizontal="right"/>
    </xf>
    <xf numFmtId="169" fontId="5" fillId="0" borderId="6" xfId="3" applyNumberFormat="1" applyFont="1" applyFill="1" applyBorder="1" applyAlignment="1">
      <alignment horizontal="right"/>
    </xf>
    <xf numFmtId="169" fontId="5" fillId="0" borderId="4" xfId="3" applyNumberFormat="1" applyFont="1" applyFill="1" applyBorder="1"/>
    <xf numFmtId="164" fontId="5" fillId="0" borderId="0" xfId="0" applyNumberFormat="1" applyFont="1" applyFill="1"/>
    <xf numFmtId="169" fontId="5" fillId="0" borderId="6" xfId="3" applyNumberFormat="1" applyFont="1" applyFill="1" applyBorder="1"/>
    <xf numFmtId="169" fontId="5" fillId="0" borderId="4" xfId="0" applyNumberFormat="1" applyFont="1" applyFill="1" applyBorder="1"/>
    <xf numFmtId="0" fontId="5" fillId="0" borderId="0" xfId="0" applyFont="1" applyFill="1" applyAlignment="1">
      <alignment horizontal="left"/>
    </xf>
    <xf numFmtId="168" fontId="5" fillId="0" borderId="0" xfId="1" applyNumberFormat="1" applyFont="1" applyFill="1" applyAlignment="1">
      <alignment horizontal="right"/>
    </xf>
    <xf numFmtId="169" fontId="5" fillId="0" borderId="5" xfId="3" applyNumberFormat="1" applyFont="1" applyFill="1" applyBorder="1"/>
    <xf numFmtId="169" fontId="5" fillId="0" borderId="0" xfId="0" applyNumberFormat="1" applyFont="1" applyFill="1"/>
    <xf numFmtId="164" fontId="5" fillId="0" borderId="0" xfId="0" applyNumberFormat="1" applyFont="1" applyFill="1" applyBorder="1"/>
    <xf numFmtId="0" fontId="4" fillId="0" borderId="4" xfId="0" applyFont="1" applyFill="1" applyBorder="1"/>
    <xf numFmtId="168" fontId="4" fillId="0" borderId="4" xfId="0" applyNumberFormat="1" applyFont="1" applyFill="1" applyBorder="1"/>
    <xf numFmtId="166" fontId="9" fillId="0" borderId="4" xfId="0" applyNumberFormat="1" applyFont="1" applyBorder="1" applyAlignment="1">
      <alignment horizontal="right"/>
    </xf>
    <xf numFmtId="168" fontId="4" fillId="0" borderId="6" xfId="1" applyNumberFormat="1" applyFont="1" applyFill="1" applyBorder="1"/>
    <xf numFmtId="168" fontId="4" fillId="0" borderId="4" xfId="1" applyNumberFormat="1" applyFont="1" applyFill="1" applyBorder="1"/>
    <xf numFmtId="164" fontId="5" fillId="0" borderId="5" xfId="0" applyNumberFormat="1" applyFont="1" applyFill="1" applyBorder="1"/>
    <xf numFmtId="168" fontId="5" fillId="0" borderId="0" xfId="1" quotePrefix="1" applyNumberFormat="1" applyFont="1" applyFill="1" applyAlignment="1">
      <alignment horizontal="center"/>
    </xf>
    <xf numFmtId="166" fontId="9" fillId="0" borderId="4" xfId="0" applyNumberFormat="1" applyFont="1" applyFill="1" applyBorder="1" applyAlignment="1">
      <alignment horizontal="right"/>
    </xf>
    <xf numFmtId="165" fontId="4" fillId="0" borderId="6" xfId="1" applyNumberFormat="1" applyFont="1" applyFill="1" applyBorder="1"/>
    <xf numFmtId="165" fontId="4" fillId="0" borderId="4" xfId="1" applyNumberFormat="1" applyFont="1" applyFill="1" applyBorder="1"/>
    <xf numFmtId="165" fontId="4" fillId="0" borderId="4" xfId="0" applyNumberFormat="1" applyFont="1" applyFill="1" applyBorder="1"/>
    <xf numFmtId="166" fontId="10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0" fontId="4" fillId="0" borderId="0" xfId="0" applyFont="1" applyBorder="1"/>
    <xf numFmtId="169" fontId="4" fillId="0" borderId="0" xfId="0" applyNumberFormat="1" applyFont="1"/>
    <xf numFmtId="43" fontId="4" fillId="0" borderId="0" xfId="3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3" borderId="0" xfId="0" applyFont="1" applyFill="1"/>
    <xf numFmtId="169" fontId="5" fillId="3" borderId="0" xfId="3" applyNumberFormat="1" applyFont="1" applyFill="1"/>
    <xf numFmtId="168" fontId="5" fillId="3" borderId="0" xfId="1" applyNumberFormat="1" applyFont="1" applyFill="1" applyAlignment="1">
      <alignment horizontal="right"/>
    </xf>
    <xf numFmtId="164" fontId="5" fillId="3" borderId="5" xfId="0" applyNumberFormat="1" applyFont="1" applyFill="1" applyBorder="1"/>
    <xf numFmtId="164" fontId="5" fillId="3" borderId="0" xfId="0" applyNumberFormat="1" applyFont="1" applyFill="1"/>
    <xf numFmtId="164" fontId="4" fillId="0" borderId="0" xfId="0" applyNumberFormat="1" applyFont="1"/>
    <xf numFmtId="9" fontId="4" fillId="0" borderId="0" xfId="1" applyFont="1"/>
    <xf numFmtId="168" fontId="4" fillId="0" borderId="0" xfId="1" applyNumberFormat="1" applyFont="1" applyAlignment="1">
      <alignment horizontal="right"/>
    </xf>
    <xf numFmtId="164" fontId="4" fillId="0" borderId="5" xfId="0" applyNumberFormat="1" applyFont="1" applyBorder="1"/>
    <xf numFmtId="164" fontId="4" fillId="0" borderId="0" xfId="0" applyNumberFormat="1" applyFont="1" applyBorder="1"/>
    <xf numFmtId="169" fontId="5" fillId="3" borderId="5" xfId="3" applyNumberFormat="1" applyFont="1" applyFill="1" applyBorder="1"/>
    <xf numFmtId="164" fontId="4" fillId="0" borderId="0" xfId="0" applyNumberFormat="1" applyFont="1" applyFill="1"/>
    <xf numFmtId="164" fontId="4" fillId="0" borderId="0" xfId="3" applyNumberFormat="1" applyFont="1" applyFill="1"/>
    <xf numFmtId="0" fontId="4" fillId="0" borderId="5" xfId="0" applyFont="1" applyBorder="1"/>
    <xf numFmtId="165" fontId="5" fillId="3" borderId="5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2" fontId="4" fillId="0" borderId="0" xfId="0" applyNumberFormat="1" applyFont="1" applyFill="1"/>
    <xf numFmtId="172" fontId="4" fillId="0" borderId="5" xfId="0" applyNumberFormat="1" applyFont="1" applyFill="1" applyBorder="1"/>
    <xf numFmtId="172" fontId="4" fillId="0" borderId="0" xfId="0" applyNumberFormat="1" applyFont="1"/>
    <xf numFmtId="172" fontId="4" fillId="0" borderId="5" xfId="0" applyNumberFormat="1" applyFont="1" applyBorder="1"/>
    <xf numFmtId="43" fontId="4" fillId="0" borderId="0" xfId="0" applyNumberFormat="1" applyFont="1"/>
    <xf numFmtId="165" fontId="4" fillId="0" borderId="0" xfId="1" applyNumberFormat="1" applyFont="1" applyFill="1" applyBorder="1"/>
    <xf numFmtId="2" fontId="4" fillId="0" borderId="0" xfId="0" applyNumberFormat="1" applyFont="1"/>
    <xf numFmtId="9" fontId="4" fillId="0" borderId="0" xfId="1" applyNumberFormat="1" applyFont="1"/>
    <xf numFmtId="169" fontId="4" fillId="0" borderId="0" xfId="0" applyNumberFormat="1" applyFont="1" applyFill="1"/>
    <xf numFmtId="43" fontId="11" fillId="0" borderId="0" xfId="0" applyNumberFormat="1" applyFont="1" applyFill="1"/>
    <xf numFmtId="168" fontId="11" fillId="0" borderId="0" xfId="1" applyNumberFormat="1" applyFont="1" applyFill="1"/>
    <xf numFmtId="43" fontId="4" fillId="0" borderId="0" xfId="0" applyNumberFormat="1" applyFont="1" applyFill="1"/>
    <xf numFmtId="0" fontId="7" fillId="7" borderId="3" xfId="2" applyFont="1" applyFill="1" applyBorder="1" applyAlignment="1">
      <alignment horizontal="left" vertical="center"/>
    </xf>
    <xf numFmtId="0" fontId="7" fillId="7" borderId="0" xfId="2" applyFont="1" applyFill="1" applyBorder="1" applyAlignment="1">
      <alignment horizontal="center" vertical="center"/>
    </xf>
    <xf numFmtId="0" fontId="5" fillId="0" borderId="0" xfId="0" applyFont="1" applyFill="1"/>
    <xf numFmtId="169" fontId="4" fillId="0" borderId="0" xfId="6" applyNumberFormat="1" applyFont="1" applyFill="1"/>
    <xf numFmtId="164" fontId="4" fillId="0" borderId="5" xfId="0" applyNumberFormat="1" applyFont="1" applyFill="1" applyBorder="1"/>
    <xf numFmtId="164" fontId="4" fillId="0" borderId="0" xfId="0" applyNumberFormat="1" applyFont="1" applyFill="1" applyBorder="1"/>
    <xf numFmtId="0" fontId="5" fillId="5" borderId="0" xfId="0" applyFont="1" applyFill="1" applyBorder="1"/>
    <xf numFmtId="166" fontId="10" fillId="5" borderId="0" xfId="0" applyNumberFormat="1" applyFont="1" applyFill="1" applyBorder="1" applyAlignment="1">
      <alignment horizontal="right"/>
    </xf>
    <xf numFmtId="168" fontId="5" fillId="5" borderId="5" xfId="1" applyNumberFormat="1" applyFont="1" applyFill="1" applyBorder="1" applyAlignment="1">
      <alignment horizontal="right" vertical="center"/>
    </xf>
    <xf numFmtId="168" fontId="5" fillId="5" borderId="0" xfId="1" applyNumberFormat="1" applyFont="1" applyFill="1" applyBorder="1" applyAlignment="1">
      <alignment horizontal="right" vertical="center"/>
    </xf>
    <xf numFmtId="9" fontId="4" fillId="0" borderId="0" xfId="1" applyFont="1" applyFill="1"/>
    <xf numFmtId="173" fontId="10" fillId="0" borderId="0" xfId="0" applyNumberFormat="1" applyFont="1" applyBorder="1" applyAlignment="1">
      <alignment horizontal="right"/>
    </xf>
    <xf numFmtId="9" fontId="4" fillId="0" borderId="5" xfId="1" applyFont="1" applyFill="1" applyBorder="1"/>
    <xf numFmtId="9" fontId="4" fillId="0" borderId="0" xfId="1" applyFont="1" applyFill="1" applyBorder="1"/>
    <xf numFmtId="173" fontId="10" fillId="0" borderId="0" xfId="0" applyNumberFormat="1" applyFont="1" applyFill="1" applyBorder="1" applyAlignment="1">
      <alignment horizontal="right"/>
    </xf>
    <xf numFmtId="43" fontId="4" fillId="0" borderId="0" xfId="3" applyFont="1" applyFill="1" applyBorder="1"/>
    <xf numFmtId="0" fontId="7" fillId="7" borderId="3" xfId="2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8" fontId="5" fillId="3" borderId="0" xfId="1" applyNumberFormat="1" applyFont="1" applyFill="1"/>
    <xf numFmtId="165" fontId="5" fillId="3" borderId="0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indent="2"/>
    </xf>
    <xf numFmtId="170" fontId="4" fillId="0" borderId="0" xfId="4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70" fontId="4" fillId="0" borderId="5" xfId="4" applyNumberFormat="1" applyFont="1" applyFill="1" applyBorder="1" applyAlignment="1">
      <alignment horizontal="right" vertical="center"/>
    </xf>
    <xf numFmtId="43" fontId="4" fillId="0" borderId="0" xfId="3" applyFont="1" applyFill="1" applyBorder="1" applyAlignment="1">
      <alignment horizontal="right" vertical="center"/>
    </xf>
    <xf numFmtId="170" fontId="5" fillId="3" borderId="0" xfId="4" applyNumberFormat="1" applyFont="1" applyFill="1" applyBorder="1" applyAlignment="1">
      <alignment horizontal="right" vertical="center"/>
    </xf>
    <xf numFmtId="168" fontId="5" fillId="3" borderId="0" xfId="1" applyNumberFormat="1" applyFont="1" applyFill="1" applyBorder="1" applyAlignment="1">
      <alignment horizontal="right" vertical="center"/>
    </xf>
    <xf numFmtId="170" fontId="5" fillId="3" borderId="5" xfId="4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horizontal="center"/>
    </xf>
    <xf numFmtId="170" fontId="5" fillId="5" borderId="5" xfId="4" applyNumberFormat="1" applyFont="1" applyFill="1" applyBorder="1" applyAlignment="1">
      <alignment horizontal="right" vertical="center"/>
    </xf>
    <xf numFmtId="165" fontId="5" fillId="5" borderId="0" xfId="1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/>
    </xf>
    <xf numFmtId="0" fontId="6" fillId="8" borderId="0" xfId="0" applyFont="1" applyFill="1" applyBorder="1"/>
    <xf numFmtId="171" fontId="6" fillId="8" borderId="0" xfId="4" applyNumberFormat="1" applyFont="1" applyFill="1" applyBorder="1" applyAlignment="1">
      <alignment horizontal="right" vertical="center"/>
    </xf>
    <xf numFmtId="0" fontId="12" fillId="7" borderId="0" xfId="5" applyFont="1" applyFill="1" applyAlignment="1">
      <alignment horizontal="left" vertical="center" wrapText="1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5" fillId="3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170" fontId="5" fillId="2" borderId="0" xfId="4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4" fillId="3" borderId="0" xfId="5" applyFont="1" applyFill="1" applyAlignment="1">
      <alignment horizontal="left" vertical="center"/>
    </xf>
    <xf numFmtId="0" fontId="4" fillId="6" borderId="0" xfId="5" applyFont="1" applyFill="1" applyAlignment="1">
      <alignment horizontal="left" vertical="center"/>
    </xf>
    <xf numFmtId="170" fontId="4" fillId="6" borderId="0" xfId="5" applyNumberFormat="1" applyFont="1" applyFill="1" applyAlignment="1">
      <alignment horizontal="right" vertical="center"/>
    </xf>
    <xf numFmtId="168" fontId="4" fillId="6" borderId="0" xfId="1" applyNumberFormat="1" applyFont="1" applyFill="1" applyAlignment="1">
      <alignment horizontal="right" vertical="center"/>
    </xf>
    <xf numFmtId="168" fontId="4" fillId="6" borderId="0" xfId="1" applyNumberFormat="1" applyFont="1" applyFill="1" applyAlignment="1">
      <alignment vertical="center"/>
    </xf>
    <xf numFmtId="0" fontId="5" fillId="3" borderId="0" xfId="5" applyFont="1" applyFill="1" applyAlignment="1">
      <alignment horizontal="center" vertical="center"/>
    </xf>
    <xf numFmtId="168" fontId="5" fillId="2" borderId="0" xfId="1" applyNumberFormat="1" applyFont="1" applyFill="1" applyAlignment="1">
      <alignment vertical="center"/>
    </xf>
    <xf numFmtId="0" fontId="4" fillId="6" borderId="0" xfId="5" applyFont="1" applyFill="1" applyAlignment="1">
      <alignment horizontal="left" vertical="center" indent="1"/>
    </xf>
    <xf numFmtId="165" fontId="4" fillId="0" borderId="0" xfId="1" applyNumberFormat="1" applyFont="1" applyFill="1" applyBorder="1" applyAlignment="1"/>
    <xf numFmtId="0" fontId="5" fillId="2" borderId="0" xfId="5" applyFont="1" applyFill="1" applyAlignment="1">
      <alignment vertical="center" wrapText="1"/>
    </xf>
    <xf numFmtId="165" fontId="5" fillId="2" borderId="0" xfId="1" applyNumberFormat="1" applyFont="1" applyFill="1" applyBorder="1"/>
    <xf numFmtId="165" fontId="5" fillId="2" borderId="0" xfId="1" applyNumberFormat="1" applyFont="1" applyFill="1" applyBorder="1" applyAlignment="1"/>
    <xf numFmtId="165" fontId="5" fillId="2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center"/>
    </xf>
    <xf numFmtId="0" fontId="5" fillId="0" borderId="0" xfId="5" applyFont="1" applyAlignment="1">
      <alignment vertical="center"/>
    </xf>
    <xf numFmtId="170" fontId="5" fillId="0" borderId="0" xfId="4" applyNumberFormat="1" applyFont="1" applyFill="1" applyBorder="1" applyAlignment="1">
      <alignment horizontal="right" vertical="center"/>
    </xf>
    <xf numFmtId="0" fontId="4" fillId="0" borderId="0" xfId="5" applyFont="1" applyAlignment="1">
      <alignment horizontal="right" vertical="center"/>
    </xf>
    <xf numFmtId="0" fontId="4" fillId="6" borderId="0" xfId="5" applyFont="1" applyFill="1" applyAlignment="1">
      <alignment vertical="center"/>
    </xf>
    <xf numFmtId="0" fontId="6" fillId="7" borderId="0" xfId="5" applyFont="1" applyFill="1" applyAlignment="1">
      <alignment horizontal="left" vertical="center"/>
    </xf>
    <xf numFmtId="168" fontId="6" fillId="7" borderId="0" xfId="1" applyNumberFormat="1" applyFont="1" applyFill="1" applyAlignment="1">
      <alignment horizontal="right" vertical="center"/>
    </xf>
    <xf numFmtId="164" fontId="5" fillId="0" borderId="0" xfId="0" applyNumberFormat="1" applyFont="1"/>
    <xf numFmtId="166" fontId="9" fillId="0" borderId="0" xfId="0" applyNumberFormat="1" applyFont="1" applyBorder="1" applyAlignment="1">
      <alignment horizontal="right"/>
    </xf>
    <xf numFmtId="164" fontId="5" fillId="0" borderId="5" xfId="3" applyNumberFormat="1" applyFont="1" applyFill="1" applyBorder="1"/>
    <xf numFmtId="168" fontId="4" fillId="0" borderId="4" xfId="0" applyNumberFormat="1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8" fontId="4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4" borderId="0" xfId="0" applyFont="1" applyFill="1" applyBorder="1" applyAlignment="1" applyProtection="1">
      <alignment vertical="center"/>
      <protection locked="0"/>
    </xf>
    <xf numFmtId="164" fontId="6" fillId="4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right" vertical="center"/>
    </xf>
    <xf numFmtId="164" fontId="6" fillId="4" borderId="1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74" fontId="4" fillId="0" borderId="0" xfId="0" applyNumberFormat="1" applyFont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6" fillId="8" borderId="0" xfId="0" applyFont="1" applyFill="1" applyBorder="1" applyAlignment="1" applyProtection="1">
      <alignment vertical="center"/>
      <protection locked="0"/>
    </xf>
    <xf numFmtId="164" fontId="6" fillId="8" borderId="0" xfId="0" applyNumberFormat="1" applyFont="1" applyFill="1" applyAlignment="1">
      <alignment vertical="center"/>
    </xf>
    <xf numFmtId="165" fontId="6" fillId="8" borderId="0" xfId="0" applyNumberFormat="1" applyFont="1" applyFill="1" applyAlignment="1">
      <alignment horizontal="right" vertical="center"/>
    </xf>
    <xf numFmtId="164" fontId="6" fillId="8" borderId="1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6" fillId="8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0" fontId="4" fillId="0" borderId="0" xfId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5" borderId="0" xfId="0" applyFont="1" applyFill="1" applyAlignment="1">
      <alignment vertical="center"/>
    </xf>
    <xf numFmtId="169" fontId="5" fillId="5" borderId="0" xfId="3" applyNumberFormat="1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8" fontId="5" fillId="5" borderId="0" xfId="1" applyNumberFormat="1" applyFont="1" applyFill="1" applyAlignment="1">
      <alignment vertical="center"/>
    </xf>
    <xf numFmtId="165" fontId="5" fillId="5" borderId="0" xfId="0" applyNumberFormat="1" applyFont="1" applyFill="1" applyAlignment="1">
      <alignment horizontal="right"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0" xfId="0" applyNumberFormat="1" applyFont="1" applyFill="1" applyBorder="1" applyAlignment="1">
      <alignment vertical="center"/>
    </xf>
    <xf numFmtId="169" fontId="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horizontal="right" vertical="center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/>
    </xf>
    <xf numFmtId="165" fontId="9" fillId="0" borderId="1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168" fontId="9" fillId="0" borderId="1" xfId="1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4" fontId="11" fillId="0" borderId="0" xfId="0" applyNumberFormat="1" applyFont="1" applyFill="1" applyAlignment="1">
      <alignment vertical="center"/>
    </xf>
    <xf numFmtId="166" fontId="9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7" fillId="7" borderId="8" xfId="2" applyFont="1" applyFill="1" applyBorder="1" applyAlignment="1">
      <alignment horizontal="center" vertical="center"/>
    </xf>
    <xf numFmtId="168" fontId="4" fillId="0" borderId="7" xfId="1" applyNumberFormat="1" applyFont="1" applyBorder="1"/>
    <xf numFmtId="168" fontId="5" fillId="0" borderId="9" xfId="1" applyNumberFormat="1" applyFont="1" applyFill="1" applyBorder="1" applyAlignment="1">
      <alignment horizontal="right"/>
    </xf>
    <xf numFmtId="168" fontId="5" fillId="0" borderId="7" xfId="1" applyNumberFormat="1" applyFont="1" applyFill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5" fontId="5" fillId="0" borderId="11" xfId="1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10" fillId="0" borderId="11" xfId="0" applyNumberFormat="1" applyFont="1" applyFill="1" applyBorder="1" applyAlignment="1">
      <alignment horizontal="right"/>
    </xf>
    <xf numFmtId="0" fontId="7" fillId="7" borderId="11" xfId="2" applyFont="1" applyFill="1" applyBorder="1" applyAlignment="1">
      <alignment horizontal="center" vertical="center"/>
    </xf>
    <xf numFmtId="168" fontId="5" fillId="3" borderId="11" xfId="1" applyNumberFormat="1" applyFont="1" applyFill="1" applyBorder="1" applyAlignment="1">
      <alignment horizontal="right"/>
    </xf>
    <xf numFmtId="168" fontId="4" fillId="0" borderId="11" xfId="1" applyNumberFormat="1" applyFont="1" applyBorder="1"/>
    <xf numFmtId="168" fontId="4" fillId="0" borderId="11" xfId="1" applyNumberFormat="1" applyFont="1" applyBorder="1" applyAlignment="1">
      <alignment horizontal="right"/>
    </xf>
    <xf numFmtId="165" fontId="4" fillId="0" borderId="11" xfId="1" applyNumberFormat="1" applyFont="1" applyFill="1" applyBorder="1"/>
    <xf numFmtId="166" fontId="10" fillId="5" borderId="11" xfId="0" applyNumberFormat="1" applyFont="1" applyFill="1" applyBorder="1" applyAlignment="1">
      <alignment horizontal="right"/>
    </xf>
    <xf numFmtId="173" fontId="10" fillId="0" borderId="11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7" fillId="7" borderId="11" xfId="2" applyFont="1" applyFill="1" applyBorder="1" applyAlignment="1">
      <alignment horizontal="center" vertical="center" wrapText="1"/>
    </xf>
    <xf numFmtId="165" fontId="5" fillId="3" borderId="11" xfId="1" applyNumberFormat="1" applyFont="1" applyFill="1" applyBorder="1"/>
    <xf numFmtId="43" fontId="4" fillId="0" borderId="11" xfId="3" applyFont="1" applyFill="1" applyBorder="1" applyAlignment="1">
      <alignment horizontal="right" vertical="center"/>
    </xf>
    <xf numFmtId="165" fontId="5" fillId="5" borderId="11" xfId="1" applyNumberFormat="1" applyFont="1" applyFill="1" applyBorder="1" applyAlignment="1">
      <alignment horizontal="right"/>
    </xf>
    <xf numFmtId="168" fontId="4" fillId="0" borderId="11" xfId="1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horizontal="center" vertical="center"/>
    </xf>
    <xf numFmtId="170" fontId="5" fillId="2" borderId="11" xfId="4" applyNumberFormat="1" applyFont="1" applyFill="1" applyBorder="1" applyAlignment="1">
      <alignment horizontal="right" vertical="center"/>
    </xf>
    <xf numFmtId="170" fontId="4" fillId="6" borderId="11" xfId="5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horizontal="right" vertical="center"/>
    </xf>
    <xf numFmtId="170" fontId="6" fillId="7" borderId="11" xfId="5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vertical="center"/>
    </xf>
    <xf numFmtId="168" fontId="5" fillId="2" borderId="11" xfId="1" applyNumberFormat="1" applyFont="1" applyFill="1" applyBorder="1" applyAlignment="1">
      <alignment horizontal="right" vertical="center"/>
    </xf>
    <xf numFmtId="168" fontId="4" fillId="6" borderId="11" xfId="1" applyNumberFormat="1" applyFont="1" applyFill="1" applyBorder="1" applyAlignment="1">
      <alignment horizontal="right" vertical="center"/>
    </xf>
    <xf numFmtId="165" fontId="5" fillId="2" borderId="11" xfId="1" applyNumberFormat="1" applyFont="1" applyFill="1" applyBorder="1" applyAlignment="1"/>
    <xf numFmtId="165" fontId="4" fillId="0" borderId="11" xfId="1" applyNumberFormat="1" applyFont="1" applyFill="1" applyBorder="1" applyAlignment="1">
      <alignment horizontal="right"/>
    </xf>
    <xf numFmtId="165" fontId="5" fillId="2" borderId="11" xfId="1" applyNumberFormat="1" applyFont="1" applyFill="1" applyBorder="1" applyAlignment="1">
      <alignment horizontal="right"/>
    </xf>
    <xf numFmtId="165" fontId="6" fillId="7" borderId="11" xfId="1" applyNumberFormat="1" applyFont="1" applyFill="1" applyBorder="1" applyAlignment="1"/>
    <xf numFmtId="168" fontId="4" fillId="6" borderId="11" xfId="1" applyNumberFormat="1" applyFont="1" applyFill="1" applyBorder="1" applyAlignment="1">
      <alignment vertical="center"/>
    </xf>
    <xf numFmtId="168" fontId="5" fillId="2" borderId="11" xfId="1" applyNumberFormat="1" applyFont="1" applyFill="1" applyBorder="1" applyAlignment="1">
      <alignment vertical="center"/>
    </xf>
    <xf numFmtId="168" fontId="4" fillId="0" borderId="11" xfId="1" applyNumberFormat="1" applyFont="1" applyFill="1" applyBorder="1" applyAlignment="1"/>
    <xf numFmtId="43" fontId="4" fillId="6" borderId="0" xfId="3" applyFont="1" applyFill="1" applyAlignment="1">
      <alignment vertical="center"/>
    </xf>
    <xf numFmtId="43" fontId="4" fillId="0" borderId="0" xfId="3" applyFont="1" applyFill="1" applyBorder="1" applyAlignment="1">
      <alignment horizontal="right"/>
    </xf>
    <xf numFmtId="43" fontId="4" fillId="0" borderId="11" xfId="3" applyFont="1" applyFill="1" applyBorder="1" applyAlignment="1">
      <alignment horizontal="right"/>
    </xf>
    <xf numFmtId="0" fontId="4" fillId="0" borderId="11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5" fillId="2" borderId="11" xfId="0" applyNumberFormat="1" applyFont="1" applyFill="1" applyBorder="1" applyAlignment="1">
      <alignment horizontal="right" vertical="center"/>
    </xf>
    <xf numFmtId="165" fontId="5" fillId="3" borderId="11" xfId="0" applyNumberFormat="1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right" vertical="center"/>
    </xf>
    <xf numFmtId="166" fontId="9" fillId="0" borderId="11" xfId="0" quotePrefix="1" applyNumberFormat="1" applyFont="1" applyBorder="1" applyAlignment="1">
      <alignment horizontal="right" vertical="center"/>
    </xf>
    <xf numFmtId="166" fontId="9" fillId="0" borderId="11" xfId="0" applyNumberFormat="1" applyFont="1" applyBorder="1" applyAlignment="1">
      <alignment horizontal="right" vertical="center"/>
    </xf>
    <xf numFmtId="164" fontId="6" fillId="4" borderId="11" xfId="0" applyNumberFormat="1" applyFont="1" applyFill="1" applyBorder="1" applyAlignment="1">
      <alignment vertical="center"/>
    </xf>
    <xf numFmtId="164" fontId="6" fillId="8" borderId="11" xfId="0" applyNumberFormat="1" applyFont="1" applyFill="1" applyBorder="1" applyAlignment="1">
      <alignment vertical="center"/>
    </xf>
    <xf numFmtId="164" fontId="5" fillId="5" borderId="11" xfId="0" applyNumberFormat="1" applyFont="1" applyFill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6" fillId="8" borderId="11" xfId="0" applyNumberFormat="1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vertical="center"/>
    </xf>
    <xf numFmtId="165" fontId="5" fillId="5" borderId="11" xfId="0" applyNumberFormat="1" applyFont="1" applyFill="1" applyBorder="1" applyAlignment="1">
      <alignment horizontal="right" vertical="center"/>
    </xf>
    <xf numFmtId="168" fontId="5" fillId="0" borderId="11" xfId="1" applyNumberFormat="1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9" fontId="5" fillId="0" borderId="5" xfId="3" applyNumberFormat="1" applyFont="1" applyFill="1" applyBorder="1" applyAlignment="1">
      <alignment horizontal="right"/>
    </xf>
    <xf numFmtId="168" fontId="4" fillId="0" borderId="6" xfId="1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8" fontId="4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169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4" fillId="6" borderId="0" xfId="5" applyFont="1" applyFill="1" applyAlignment="1">
      <alignment vertical="center" wrapText="1"/>
    </xf>
    <xf numFmtId="0" fontId="4" fillId="6" borderId="0" xfId="5" applyFont="1" applyFill="1" applyAlignment="1">
      <alignment horizontal="left" vertical="center" wrapText="1"/>
    </xf>
    <xf numFmtId="168" fontId="8" fillId="0" borderId="0" xfId="1" quotePrefix="1" applyNumberFormat="1" applyFont="1" applyAlignment="1">
      <alignment vertical="center"/>
    </xf>
    <xf numFmtId="168" fontId="5" fillId="5" borderId="11" xfId="1" applyNumberFormat="1" applyFont="1" applyFill="1" applyBorder="1" applyAlignment="1">
      <alignment horizontal="right"/>
    </xf>
    <xf numFmtId="169" fontId="4" fillId="0" borderId="0" xfId="0" applyNumberFormat="1" applyFont="1" applyFill="1" applyBorder="1"/>
    <xf numFmtId="170" fontId="4" fillId="0" borderId="0" xfId="0" applyNumberFormat="1" applyFont="1"/>
    <xf numFmtId="0" fontId="12" fillId="0" borderId="0" xfId="5" applyFont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168" fontId="5" fillId="0" borderId="0" xfId="5" applyNumberFormat="1" applyFont="1" applyAlignment="1">
      <alignment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indent="1"/>
    </xf>
    <xf numFmtId="0" fontId="5" fillId="0" borderId="0" xfId="5" applyFont="1" applyAlignment="1">
      <alignment vertical="center" wrapText="1"/>
    </xf>
    <xf numFmtId="170" fontId="5" fillId="0" borderId="0" xfId="5" applyNumberFormat="1" applyFont="1" applyAlignment="1">
      <alignment vertical="center"/>
    </xf>
    <xf numFmtId="0" fontId="5" fillId="3" borderId="0" xfId="5" quotePrefix="1" applyFont="1" applyFill="1" applyAlignment="1">
      <alignment vertical="center"/>
    </xf>
    <xf numFmtId="0" fontId="6" fillId="0" borderId="0" xfId="5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5" fontId="5" fillId="0" borderId="0" xfId="0" applyNumberFormat="1" applyFont="1" applyFill="1"/>
    <xf numFmtId="0" fontId="4" fillId="0" borderId="0" xfId="0" applyFont="1" applyAlignment="1">
      <alignment horizontal="left" vertical="center" wrapText="1"/>
    </xf>
    <xf numFmtId="169" fontId="4" fillId="0" borderId="0" xfId="3" applyNumberFormat="1" applyFont="1" applyBorder="1"/>
    <xf numFmtId="165" fontId="5" fillId="3" borderId="0" xfId="0" applyNumberFormat="1" applyFont="1" applyFill="1" applyBorder="1" applyAlignment="1">
      <alignment horizontal="right"/>
    </xf>
    <xf numFmtId="169" fontId="5" fillId="0" borderId="0" xfId="3" applyNumberFormat="1" applyFont="1"/>
    <xf numFmtId="170" fontId="5" fillId="0" borderId="0" xfId="3" applyNumberFormat="1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/>
    <xf numFmtId="0" fontId="4" fillId="6" borderId="0" xfId="5" applyFont="1" applyFill="1" applyAlignment="1">
      <alignment horizontal="left" vertical="center" wrapText="1"/>
    </xf>
    <xf numFmtId="0" fontId="5" fillId="3" borderId="0" xfId="5" applyFont="1" applyFill="1" applyAlignment="1">
      <alignment horizontal="center" vertical="center"/>
    </xf>
    <xf numFmtId="0" fontId="4" fillId="6" borderId="0" xfId="5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5" applyFont="1" applyFill="1" applyAlignment="1">
      <alignment horizontal="left" vertical="center"/>
    </xf>
    <xf numFmtId="169" fontId="5" fillId="0" borderId="5" xfId="3" applyNumberFormat="1" applyFont="1" applyBorder="1"/>
    <xf numFmtId="0" fontId="4" fillId="0" borderId="0" xfId="0" applyFont="1" applyAlignment="1">
      <alignment horizontal="left" vertical="center" wrapText="1"/>
    </xf>
  </cellXfs>
  <cellStyles count="95">
    <cellStyle name="Estilo 1" xfId="92" xr:uid="{45202031-AADA-4ACF-9A2F-CD802EE5B4FE}"/>
    <cellStyle name="Estilo 2" xfId="93" xr:uid="{B5B08C17-31E7-4200-98D9-85ACD98F14AF}"/>
    <cellStyle name="Estilo 3" xfId="94" xr:uid="{EFB8C8C6-FFC6-45C2-A714-7D5448C82DEE}"/>
    <cellStyle name="Moeda 2" xfId="34" xr:uid="{52A3F968-99CD-4780-B010-19850CC6F308}"/>
    <cellStyle name="Moeda 2 2" xfId="53" xr:uid="{05A0671E-4679-4CB1-89E3-EB9038885B4B}"/>
    <cellStyle name="Moeda 2 2 2" xfId="89" xr:uid="{20FC3999-197F-43E8-BBFE-FD0DDA2620A6}"/>
    <cellStyle name="Moeda 2 3" xfId="71" xr:uid="{47FC210B-62D6-43BE-9F3D-B5D240365BFC}"/>
    <cellStyle name="Moeda 3" xfId="44" xr:uid="{D587D4B0-26B1-418C-ABEE-1C6BABA3DC64}"/>
    <cellStyle name="Moeda 3 2" xfId="80" xr:uid="{6BA3BF8B-590A-4F56-98E4-219F7C416D09}"/>
    <cellStyle name="Normal" xfId="0" builtinId="0"/>
    <cellStyle name="Normal 2" xfId="10" xr:uid="{30BE33B2-CED4-4351-978B-9A806937100C}"/>
    <cellStyle name="Normal 2 2" xfId="18" xr:uid="{E1AB8D15-B33A-4DB6-9220-2F0411131252}"/>
    <cellStyle name="Normal 3" xfId="13" xr:uid="{0BD2349A-2EC8-4D2C-8067-D665B21773BB}"/>
    <cellStyle name="Normal 3 2" xfId="5" xr:uid="{C21253B1-8B28-4D22-981D-06912C80E340}"/>
    <cellStyle name="Normal 4" xfId="8" xr:uid="{3DF6F505-3DB1-4347-8247-D00F02FA79B9}"/>
    <cellStyle name="Normal 5" xfId="24" xr:uid="{791B8D5E-2A0F-46A2-A951-8F87631354FE}"/>
    <cellStyle name="Normal 6" xfId="91" xr:uid="{FEF56377-D8EC-48FE-8BC1-4FC1E56BA9EA}"/>
    <cellStyle name="Normal 7" xfId="35" xr:uid="{3F7163DE-833C-4189-B72A-30A33946CBB7}"/>
    <cellStyle name="Normal_Template Consolidado Mar.2009 Novo 2" xfId="2" xr:uid="{59903BDC-9E28-40AD-81F3-19B1E11BDA5A}"/>
    <cellStyle name="Porcentagem" xfId="1" builtinId="5"/>
    <cellStyle name="Porcentagem 2" xfId="11" xr:uid="{284FC95C-FA18-4EA4-BF0D-CBEFB9332313}"/>
    <cellStyle name="Porcentagem 2 2" xfId="19" xr:uid="{3B8C5880-9385-4FA3-8E91-499740CACB53}"/>
    <cellStyle name="Porcentagem 3" xfId="14" xr:uid="{882C4FD0-1F6B-4485-B706-EA49B7E6171B}"/>
    <cellStyle name="Porcentagem 3 2" xfId="21" xr:uid="{78C650C0-D082-4CD5-8B9B-1BDFF0DAEEAE}"/>
    <cellStyle name="Porcentagem 4" xfId="25" xr:uid="{420821EB-F240-4560-A8C2-8157577D7F58}"/>
    <cellStyle name="Vírgula" xfId="3" builtinId="3"/>
    <cellStyle name="Vírgula 2" xfId="6" xr:uid="{FC175E68-B61C-4474-B1C3-86277B2F72D2}"/>
    <cellStyle name="Vírgula 2 2" xfId="54" xr:uid="{718578E8-02A8-4498-81F6-051668091450}"/>
    <cellStyle name="Vírgula 2 2 2" xfId="90" xr:uid="{D2671A7B-E426-42CD-A26E-E8622E01358D}"/>
    <cellStyle name="Vírgula 2 3" xfId="12" xr:uid="{070A0DCD-6CF2-408F-A2D9-FCDF8991BA43}"/>
    <cellStyle name="Vírgula 2 3 2" xfId="20" xr:uid="{D57644A9-AF22-4A50-96A2-80AEDCE845BE}"/>
    <cellStyle name="Vírgula 2 3 2 2" xfId="31" xr:uid="{C5F00FDB-389B-40A6-90DF-1C452B7D7422}"/>
    <cellStyle name="Vírgula 2 3 2 2 2" xfId="50" xr:uid="{0D32772C-62B9-420B-9485-365999D5427A}"/>
    <cellStyle name="Vírgula 2 3 2 2 2 2" xfId="86" xr:uid="{51C5DEBE-BBFC-4ECD-A8DF-01BADB501AB1}"/>
    <cellStyle name="Vírgula 2 3 2 2 3" xfId="68" xr:uid="{09310C1F-FE59-44F1-B5C5-3C2B4E25BAA5}"/>
    <cellStyle name="Vírgula 2 3 2 3" xfId="41" xr:uid="{9929DD79-9CD4-4C16-B946-C92B29857134}"/>
    <cellStyle name="Vírgula 2 3 2 3 2" xfId="77" xr:uid="{A941FFE5-0728-4F63-904A-E0B8652B26CD}"/>
    <cellStyle name="Vírgula 2 3 2 4" xfId="60" xr:uid="{69B39835-3030-4A32-B9FD-E6F516901D2C}"/>
    <cellStyle name="Vírgula 2 3 3" xfId="27" xr:uid="{73D5A686-D8C1-48DF-963A-F0AE06118FB2}"/>
    <cellStyle name="Vírgula 2 3 3 2" xfId="46" xr:uid="{2D3515B1-7D1A-4324-A227-6B03CE5B6F35}"/>
    <cellStyle name="Vírgula 2 3 3 2 2" xfId="82" xr:uid="{25F57288-EE7C-4AA9-B713-9CBA64ACCEF6}"/>
    <cellStyle name="Vírgula 2 3 3 3" xfId="64" xr:uid="{033B2E2F-CAF2-4A09-8453-CD63B3E8D073}"/>
    <cellStyle name="Vírgula 2 3 4" xfId="37" xr:uid="{807FF66C-C463-4D09-A983-D39056CB64BD}"/>
    <cellStyle name="Vírgula 2 3 4 2" xfId="73" xr:uid="{029C3F48-E1C9-428D-8621-08558BC3BE70}"/>
    <cellStyle name="Vírgula 2 3 5" xfId="56" xr:uid="{4452F785-3DD3-4684-84D0-1EB45367B816}"/>
    <cellStyle name="Vírgula 3" xfId="15" xr:uid="{88EB01B1-183C-4A17-8622-8E5F2C7411F9}"/>
    <cellStyle name="Vírgula 3 2" xfId="4" xr:uid="{8D5BAB7A-7382-47D3-9CBF-27A379891A76}"/>
    <cellStyle name="Vírgula 3 2 2" xfId="7" xr:uid="{4D5C9E66-4A47-4564-95AB-9559DFEDDD6C}"/>
    <cellStyle name="Vírgula 3 2 2 2" xfId="33" xr:uid="{31F39FEA-FFEE-45F3-8DDC-C430150EA7FC}"/>
    <cellStyle name="Vírgula 3 2 2 2 2" xfId="52" xr:uid="{735CFEF9-8B43-4B22-84D8-AA83F17628E0}"/>
    <cellStyle name="Vírgula 3 2 2 2 2 2" xfId="88" xr:uid="{E7F47C8C-129A-4FCE-B269-68F135727688}"/>
    <cellStyle name="Vírgula 3 2 2 2 3" xfId="70" xr:uid="{8D90A888-CA96-4E36-9B29-81BE26856A79}"/>
    <cellStyle name="Vírgula 3 2 2 3" xfId="43" xr:uid="{407D7FD5-F6D2-413F-9F9B-44FD81CF59A9}"/>
    <cellStyle name="Vírgula 3 2 2 3 2" xfId="79" xr:uid="{AA6A7467-8121-4D8E-BA20-04E17B7BA301}"/>
    <cellStyle name="Vírgula 3 2 2 4" xfId="62" xr:uid="{CBDFD57A-B547-4D4F-A776-1A55F6CFFEB5}"/>
    <cellStyle name="Vírgula 3 2 2 5" xfId="23" xr:uid="{3F99D01E-D97E-4B0F-A562-86904FA65CAD}"/>
    <cellStyle name="Vírgula 3 2 3" xfId="29" xr:uid="{6DAD1B19-D323-410C-AF3A-CE8799528E8C}"/>
    <cellStyle name="Vírgula 3 2 3 2" xfId="48" xr:uid="{02ED2A3E-5597-445E-9215-1B8C5D549D23}"/>
    <cellStyle name="Vírgula 3 2 3 2 2" xfId="84" xr:uid="{D7D7BFB8-EC77-44C5-93D1-33857F55601E}"/>
    <cellStyle name="Vírgula 3 2 3 3" xfId="66" xr:uid="{E038E2C2-4527-4B94-AB96-5E5EFF430ECD}"/>
    <cellStyle name="Vírgula 3 2 4" xfId="39" xr:uid="{4AE2B535-2AC0-46CB-9BCA-696442B25A10}"/>
    <cellStyle name="Vírgula 3 2 4 2" xfId="75" xr:uid="{7D86A47B-1820-41C4-9751-C470883F47A2}"/>
    <cellStyle name="Vírgula 3 2 5" xfId="58" xr:uid="{3884F02E-49E7-466F-BF1E-7304D96A71DF}"/>
    <cellStyle name="Vírgula 3 2 6" xfId="16" xr:uid="{E7899B22-E2BD-4A68-A94B-3B8C61C517C2}"/>
    <cellStyle name="Vírgula 3 3" xfId="22" xr:uid="{6364CFFA-7D96-4961-B53B-016027AA1D95}"/>
    <cellStyle name="Vírgula 3 3 2" xfId="32" xr:uid="{BFC1D73F-B5B8-49A4-95E3-6865EDA5D4CF}"/>
    <cellStyle name="Vírgula 3 3 2 2" xfId="51" xr:uid="{D62635F8-4A50-4A2F-BAA2-DC3758B2138E}"/>
    <cellStyle name="Vírgula 3 3 2 2 2" xfId="87" xr:uid="{6B00D119-8154-4228-97AB-CA673B87BE2F}"/>
    <cellStyle name="Vírgula 3 3 2 3" xfId="69" xr:uid="{93DD0DCD-5FB6-429D-93B0-A1F73F200C09}"/>
    <cellStyle name="Vírgula 3 3 3" xfId="42" xr:uid="{D847A067-2AC5-45A5-B867-93F8F599805C}"/>
    <cellStyle name="Vírgula 3 3 3 2" xfId="78" xr:uid="{C1471587-3926-479C-9B11-6F5F3F48D432}"/>
    <cellStyle name="Vírgula 3 3 4" xfId="61" xr:uid="{BF735114-39F2-482E-A148-6734D71A1EF4}"/>
    <cellStyle name="Vírgula 3 4" xfId="28" xr:uid="{2D484414-D22A-492E-9F94-DB7021BC15F4}"/>
    <cellStyle name="Vírgula 3 4 2" xfId="47" xr:uid="{3E855B9A-CBD8-4F5B-890A-BCE2B6A7D872}"/>
    <cellStyle name="Vírgula 3 4 2 2" xfId="83" xr:uid="{FF689BF2-C61A-4827-A938-D7BC79F59F2D}"/>
    <cellStyle name="Vírgula 3 4 3" xfId="65" xr:uid="{17A12A9D-909E-4298-B2DD-7801166C0C1E}"/>
    <cellStyle name="Vírgula 3 5" xfId="38" xr:uid="{D51D13E3-AC0E-41A3-989C-AF47E3D42D58}"/>
    <cellStyle name="Vírgula 3 5 2" xfId="74" xr:uid="{E8DAC45D-ED14-4675-AC38-9BB95335E6B4}"/>
    <cellStyle name="Vírgula 3 6" xfId="57" xr:uid="{B257361F-210D-4EB0-AF02-C915AB26EC70}"/>
    <cellStyle name="Vírgula 4" xfId="17" xr:uid="{BC9F078F-3B38-4ED9-8255-10B63EC8497F}"/>
    <cellStyle name="Vírgula 4 2" xfId="30" xr:uid="{7BFCD2F4-A901-44B3-8C5F-9A78152B14E8}"/>
    <cellStyle name="Vírgula 4 2 2" xfId="49" xr:uid="{E7A7517F-0098-48EE-81D5-6883F44FA050}"/>
    <cellStyle name="Vírgula 4 2 2 2" xfId="85" xr:uid="{79A79EB0-A037-4220-B11C-B04BD1E1248D}"/>
    <cellStyle name="Vírgula 4 2 3" xfId="67" xr:uid="{3BF996A0-4405-4E03-A6A3-1E0EBCA18BA7}"/>
    <cellStyle name="Vírgula 4 3" xfId="40" xr:uid="{7C18D386-C8E1-41B7-ABF4-0CBFA414FD6D}"/>
    <cellStyle name="Vírgula 4 3 2" xfId="76" xr:uid="{2C66C970-1D44-434A-B1F8-9378C4621694}"/>
    <cellStyle name="Vírgula 4 4" xfId="59" xr:uid="{B7D0681C-5E3C-4462-8C91-5E831E5D9B88}"/>
    <cellStyle name="Vírgula 5" xfId="26" xr:uid="{DA324B39-7858-4AF1-AA08-5648021B4554}"/>
    <cellStyle name="Vírgula 5 2" xfId="45" xr:uid="{258B4FE2-D45B-4BFA-9E6F-7F11A62EE9E9}"/>
    <cellStyle name="Vírgula 5 2 2" xfId="81" xr:uid="{2C6A8AD1-4F08-4C69-AEE7-A85A08DFE7C9}"/>
    <cellStyle name="Vírgula 5 3" xfId="63" xr:uid="{F4E8924A-C43D-4EBF-8313-8A42E1B80EA8}"/>
    <cellStyle name="Vírgula 6" xfId="36" xr:uid="{285A7F30-764A-4E03-B708-809925606012}"/>
    <cellStyle name="Vírgula 6 2" xfId="72" xr:uid="{D2488F5D-D389-4A36-89E0-B64EF56F9C45}"/>
    <cellStyle name="Vírgula 7" xfId="55" xr:uid="{9B87A71A-28E9-424F-B010-AC7475C9D6DD}"/>
    <cellStyle name="Vírgula 8" xfId="9" xr:uid="{41C338B3-1539-4703-B106-624145A42D9A}"/>
  </cellStyles>
  <dxfs count="0"/>
  <tableStyles count="0" defaultTableStyle="TableStyleMedium2" defaultPivotStyle="PivotStyleLight16"/>
  <colors>
    <mruColors>
      <color rgb="FF333333"/>
      <color rgb="FFD0FF00"/>
      <color rgb="FF5E0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C72A90A-B546-4E08-BEC8-BF216ED761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F2134F-F2D6-455E-84FA-45E434DF6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333375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881401-E1C8-4F55-896C-8F98F9B11B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9525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1028700</xdr:colOff>
      <xdr:row>3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ACDB1D-86A2-4247-BF7A-6FCDFA6CCF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62865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0</xdr:row>
      <xdr:rowOff>542925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F8D0E1-6C7F-466A-8692-11B69407D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732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CD8DD6-A6F1-44DD-B1F9-AB10680E1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F465D-3D5B-4B74-8321-C94DC308B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BD887C-0E5C-41AF-93DF-0462A40A8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8A24-E223-441D-B8B2-0FEC44C0B7F8}">
  <dimension ref="A1:Y25"/>
  <sheetViews>
    <sheetView showGridLines="0" zoomScaleNormal="100" workbookViewId="0">
      <selection activeCell="C20" sqref="C20"/>
    </sheetView>
  </sheetViews>
  <sheetFormatPr defaultColWidth="9.1796875" defaultRowHeight="10"/>
  <cols>
    <col min="1" max="1" width="63.54296875" style="2" customWidth="1"/>
    <col min="2" max="4" width="11.54296875" style="2" customWidth="1"/>
    <col min="5" max="5" width="2.54296875" style="2" customWidth="1"/>
    <col min="6" max="7" width="10.7265625" style="2" customWidth="1"/>
    <col min="8" max="8" width="9.1796875" style="2" customWidth="1"/>
    <col min="9" max="18" width="11.54296875" style="2" customWidth="1"/>
    <col min="19" max="19" width="10.453125" style="2" bestFit="1" customWidth="1"/>
    <col min="20" max="22" width="10.7265625" style="2" customWidth="1"/>
    <col min="23" max="23" width="11.1796875" style="2" bestFit="1" customWidth="1"/>
    <col min="24" max="25" width="9.7265625" style="2" bestFit="1" customWidth="1"/>
    <col min="26" max="16384" width="9.1796875" style="2"/>
  </cols>
  <sheetData>
    <row r="1" spans="1:25" ht="55.5" customHeight="1">
      <c r="A1" s="1"/>
    </row>
    <row r="2" spans="1:25">
      <c r="F2" s="3" t="s">
        <v>0</v>
      </c>
      <c r="G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>
      <c r="A3" s="4" t="s">
        <v>141</v>
      </c>
      <c r="B3" s="5">
        <v>2019</v>
      </c>
      <c r="C3" s="5">
        <v>2020</v>
      </c>
      <c r="D3" s="5">
        <v>2021</v>
      </c>
      <c r="E3" s="6"/>
      <c r="F3" s="5">
        <v>2020</v>
      </c>
      <c r="G3" s="5">
        <v>2021</v>
      </c>
      <c r="H3" s="7"/>
      <c r="I3" s="8" t="s">
        <v>1</v>
      </c>
      <c r="J3" s="5" t="s">
        <v>2</v>
      </c>
      <c r="K3" s="5" t="s">
        <v>3</v>
      </c>
      <c r="L3" s="5" t="s">
        <v>4</v>
      </c>
      <c r="M3" s="8" t="s">
        <v>5</v>
      </c>
      <c r="N3" s="5" t="s">
        <v>25</v>
      </c>
      <c r="O3" s="5" t="s">
        <v>176</v>
      </c>
      <c r="P3" s="5" t="s">
        <v>181</v>
      </c>
      <c r="Q3" s="8" t="s">
        <v>206</v>
      </c>
      <c r="R3" s="8" t="s">
        <v>264</v>
      </c>
      <c r="S3" s="1"/>
      <c r="T3" s="5" t="s">
        <v>5</v>
      </c>
      <c r="U3" s="5" t="s">
        <v>25</v>
      </c>
      <c r="V3" s="5" t="s">
        <v>176</v>
      </c>
      <c r="W3" s="221" t="s">
        <v>181</v>
      </c>
      <c r="X3" s="5" t="s">
        <v>206</v>
      </c>
      <c r="Y3" s="5" t="s">
        <v>264</v>
      </c>
    </row>
    <row r="4" spans="1:25">
      <c r="A4" s="9" t="s">
        <v>84</v>
      </c>
      <c r="B4" s="10">
        <v>23111</v>
      </c>
      <c r="C4" s="11">
        <v>36974</v>
      </c>
      <c r="D4" s="11">
        <v>47525</v>
      </c>
      <c r="F4" s="12">
        <v>0.6</v>
      </c>
      <c r="G4" s="12">
        <v>0.28499999999999998</v>
      </c>
      <c r="I4" s="13">
        <v>7507</v>
      </c>
      <c r="J4" s="10">
        <v>7805</v>
      </c>
      <c r="K4" s="10">
        <v>10581</v>
      </c>
      <c r="L4" s="14">
        <v>11081</v>
      </c>
      <c r="M4" s="15">
        <v>9664</v>
      </c>
      <c r="N4" s="10">
        <v>9579</v>
      </c>
      <c r="O4" s="10">
        <v>11133</v>
      </c>
      <c r="P4" s="14">
        <v>17149</v>
      </c>
      <c r="Q4" s="11">
        <v>18142.310000000001</v>
      </c>
      <c r="R4" s="11">
        <v>19339.340596100381</v>
      </c>
      <c r="T4" s="12">
        <v>0.28699999999999998</v>
      </c>
      <c r="U4" s="12">
        <v>0.22700000000000001</v>
      </c>
      <c r="V4" s="12">
        <v>5.1999999999999998E-2</v>
      </c>
      <c r="W4" s="222">
        <v>0.54800000000000004</v>
      </c>
      <c r="X4" s="12">
        <f t="shared" ref="X4:Y11" si="0">ROUND(Q4/M4-1,3)</f>
        <v>0.877</v>
      </c>
      <c r="Y4" s="12">
        <f t="shared" si="0"/>
        <v>1.0189999999999999</v>
      </c>
    </row>
    <row r="5" spans="1:25">
      <c r="A5" s="9" t="s">
        <v>85</v>
      </c>
      <c r="B5" s="10">
        <v>3506</v>
      </c>
      <c r="C5" s="11">
        <v>4296</v>
      </c>
      <c r="D5" s="11">
        <v>5532</v>
      </c>
      <c r="F5" s="12">
        <v>0.22500000000000001</v>
      </c>
      <c r="G5" s="12">
        <v>0.28799999999999998</v>
      </c>
      <c r="I5" s="13">
        <v>908</v>
      </c>
      <c r="J5" s="10">
        <v>894</v>
      </c>
      <c r="K5" s="10">
        <v>1232</v>
      </c>
      <c r="L5" s="14">
        <v>1262</v>
      </c>
      <c r="M5" s="15">
        <v>1127</v>
      </c>
      <c r="N5" s="10">
        <v>1440</v>
      </c>
      <c r="O5" s="10">
        <v>1464</v>
      </c>
      <c r="P5" s="14">
        <v>1501</v>
      </c>
      <c r="Q5" s="11">
        <v>1417.3711181666613</v>
      </c>
      <c r="R5" s="11">
        <v>1562.5000937139378</v>
      </c>
      <c r="T5" s="12">
        <v>0.24118942731277501</v>
      </c>
      <c r="U5" s="12">
        <v>0.61099999999999999</v>
      </c>
      <c r="V5" s="12">
        <v>0.188</v>
      </c>
      <c r="W5" s="222">
        <v>0.189</v>
      </c>
      <c r="X5" s="12">
        <f t="shared" si="0"/>
        <v>0.25800000000000001</v>
      </c>
      <c r="Y5" s="12">
        <f t="shared" si="0"/>
        <v>8.5000000000000006E-2</v>
      </c>
    </row>
    <row r="6" spans="1:25" s="1" customFormat="1">
      <c r="A6" s="16" t="s">
        <v>86</v>
      </c>
      <c r="B6" s="17">
        <v>26617</v>
      </c>
      <c r="C6" s="17">
        <v>41270</v>
      </c>
      <c r="D6" s="17">
        <v>53057</v>
      </c>
      <c r="F6" s="18">
        <v>0.55100000000000005</v>
      </c>
      <c r="G6" s="18">
        <v>0.28599999999999998</v>
      </c>
      <c r="I6" s="19">
        <v>8415</v>
      </c>
      <c r="J6" s="20">
        <v>8699</v>
      </c>
      <c r="K6" s="20">
        <v>11813</v>
      </c>
      <c r="L6" s="20">
        <v>12343</v>
      </c>
      <c r="M6" s="19">
        <v>10790</v>
      </c>
      <c r="N6" s="20">
        <v>11020</v>
      </c>
      <c r="O6" s="20">
        <v>12597</v>
      </c>
      <c r="P6" s="20">
        <v>18650</v>
      </c>
      <c r="Q6" s="19">
        <f>SUM(Q4:Q5)</f>
        <v>19559.681118166664</v>
      </c>
      <c r="R6" s="19">
        <f>SUM(R4:R5)</f>
        <v>20901.840689814318</v>
      </c>
      <c r="S6" s="11"/>
      <c r="T6" s="18">
        <v>0.28199999999999997</v>
      </c>
      <c r="U6" s="18">
        <v>0.26700000000000002</v>
      </c>
      <c r="V6" s="18">
        <v>6.6000000000000003E-2</v>
      </c>
      <c r="W6" s="223">
        <v>0.51100000000000001</v>
      </c>
      <c r="X6" s="18">
        <f t="shared" si="0"/>
        <v>0.81299999999999994</v>
      </c>
      <c r="Y6" s="18">
        <f t="shared" si="0"/>
        <v>0.89700000000000002</v>
      </c>
    </row>
    <row r="7" spans="1:25">
      <c r="A7" s="9" t="s">
        <v>84</v>
      </c>
      <c r="B7" s="11">
        <v>258102</v>
      </c>
      <c r="C7" s="11">
        <v>602622</v>
      </c>
      <c r="D7" s="11">
        <v>1088667</v>
      </c>
      <c r="F7" s="12">
        <v>1.335</v>
      </c>
      <c r="G7" s="12">
        <v>0.80700000000000005</v>
      </c>
      <c r="H7" s="55"/>
      <c r="I7" s="15">
        <v>86705</v>
      </c>
      <c r="J7" s="11">
        <v>117916</v>
      </c>
      <c r="K7" s="11">
        <v>163468</v>
      </c>
      <c r="L7" s="14">
        <v>234533</v>
      </c>
      <c r="M7" s="15">
        <v>229947</v>
      </c>
      <c r="N7" s="11">
        <v>257082</v>
      </c>
      <c r="O7" s="11">
        <v>262877</v>
      </c>
      <c r="P7" s="14">
        <v>338761</v>
      </c>
      <c r="Q7" s="11">
        <v>360851.30674985482</v>
      </c>
      <c r="R7" s="15">
        <v>399668.05653188616</v>
      </c>
      <c r="S7" s="11"/>
      <c r="T7" s="12">
        <v>1.6519999999999999</v>
      </c>
      <c r="U7" s="12">
        <v>1.18</v>
      </c>
      <c r="V7" s="12">
        <v>0.60799999999999998</v>
      </c>
      <c r="W7" s="222">
        <v>0.44400000000000001</v>
      </c>
      <c r="X7" s="12">
        <f t="shared" si="0"/>
        <v>0.56899999999999995</v>
      </c>
      <c r="Y7" s="12">
        <f t="shared" si="0"/>
        <v>0.55500000000000005</v>
      </c>
    </row>
    <row r="8" spans="1:25">
      <c r="A8" s="9" t="s">
        <v>85</v>
      </c>
      <c r="B8" s="11">
        <v>252831</v>
      </c>
      <c r="C8" s="11">
        <v>437577</v>
      </c>
      <c r="D8" s="11">
        <v>533421</v>
      </c>
      <c r="F8" s="12">
        <v>0.73099999999999998</v>
      </c>
      <c r="G8" s="12">
        <v>0.219</v>
      </c>
      <c r="I8" s="15">
        <v>76434</v>
      </c>
      <c r="J8" s="11">
        <v>96790</v>
      </c>
      <c r="K8" s="11">
        <v>130059</v>
      </c>
      <c r="L8" s="14">
        <v>134295</v>
      </c>
      <c r="M8" s="15">
        <v>114328</v>
      </c>
      <c r="N8" s="11">
        <v>134299</v>
      </c>
      <c r="O8" s="11">
        <v>136883</v>
      </c>
      <c r="P8" s="14">
        <v>147911</v>
      </c>
      <c r="Q8" s="11">
        <v>129396.85072215814</v>
      </c>
      <c r="R8" s="15">
        <v>149644.05643038495</v>
      </c>
      <c r="S8" s="11"/>
      <c r="T8" s="12">
        <v>0.496</v>
      </c>
      <c r="U8" s="12">
        <v>0.38800000000000001</v>
      </c>
      <c r="V8" s="12">
        <v>5.1999999999999998E-2</v>
      </c>
      <c r="W8" s="222">
        <v>0.10100000000000001</v>
      </c>
      <c r="X8" s="12">
        <f t="shared" si="0"/>
        <v>0.13200000000000001</v>
      </c>
      <c r="Y8" s="12">
        <f t="shared" si="0"/>
        <v>0.114</v>
      </c>
    </row>
    <row r="9" spans="1:25">
      <c r="A9" s="9" t="s">
        <v>87</v>
      </c>
      <c r="B9" s="11">
        <v>96964</v>
      </c>
      <c r="C9" s="11">
        <v>139837</v>
      </c>
      <c r="D9" s="11">
        <v>186807</v>
      </c>
      <c r="F9" s="12">
        <v>0.442</v>
      </c>
      <c r="G9" s="12">
        <v>0.33600000000000002</v>
      </c>
      <c r="I9" s="15">
        <v>29414</v>
      </c>
      <c r="J9" s="11">
        <v>33644</v>
      </c>
      <c r="K9" s="11">
        <v>36050</v>
      </c>
      <c r="L9" s="14">
        <v>40729</v>
      </c>
      <c r="M9" s="15">
        <v>42893</v>
      </c>
      <c r="N9" s="11">
        <v>45274</v>
      </c>
      <c r="O9" s="11">
        <v>46127</v>
      </c>
      <c r="P9" s="14">
        <v>52513</v>
      </c>
      <c r="Q9" s="11">
        <v>47803.367737987057</v>
      </c>
      <c r="R9" s="15">
        <v>45647.089147728846</v>
      </c>
      <c r="S9" s="11"/>
      <c r="T9" s="12">
        <v>0.45800000000000002</v>
      </c>
      <c r="U9" s="12">
        <v>0.34599999999999997</v>
      </c>
      <c r="V9" s="12">
        <v>0.28000000000000003</v>
      </c>
      <c r="W9" s="222">
        <v>0.28899999999999998</v>
      </c>
      <c r="X9" s="12">
        <f t="shared" si="0"/>
        <v>0.114</v>
      </c>
      <c r="Y9" s="12">
        <f t="shared" si="0"/>
        <v>8.0000000000000002E-3</v>
      </c>
    </row>
    <row r="10" spans="1:25" s="1" customFormat="1">
      <c r="A10" s="16" t="s">
        <v>88</v>
      </c>
      <c r="B10" s="17">
        <v>607897</v>
      </c>
      <c r="C10" s="17">
        <v>1180036</v>
      </c>
      <c r="D10" s="17">
        <v>1808895</v>
      </c>
      <c r="F10" s="18">
        <v>0.94099999999999995</v>
      </c>
      <c r="G10" s="18">
        <v>0.53300000000000003</v>
      </c>
      <c r="I10" s="22">
        <v>192553</v>
      </c>
      <c r="J10" s="20">
        <v>248350</v>
      </c>
      <c r="K10" s="20">
        <v>329577</v>
      </c>
      <c r="L10" s="23">
        <v>409557</v>
      </c>
      <c r="M10" s="22">
        <v>387168</v>
      </c>
      <c r="N10" s="20">
        <v>436655</v>
      </c>
      <c r="O10" s="20">
        <v>445887</v>
      </c>
      <c r="P10" s="23">
        <v>539185</v>
      </c>
      <c r="Q10" s="22">
        <f>SUM(Q7:Q9)</f>
        <v>538051.52520999999</v>
      </c>
      <c r="R10" s="22">
        <f>SUM(R7:R9)</f>
        <v>594959.20210999995</v>
      </c>
      <c r="S10" s="21"/>
      <c r="T10" s="18">
        <v>1.0109999999999999</v>
      </c>
      <c r="U10" s="18">
        <v>0.75800000000000001</v>
      </c>
      <c r="V10" s="18">
        <v>0.35299999999999998</v>
      </c>
      <c r="W10" s="223">
        <v>0.317</v>
      </c>
      <c r="X10" s="18">
        <f t="shared" si="0"/>
        <v>0.39</v>
      </c>
      <c r="Y10" s="18">
        <f t="shared" si="0"/>
        <v>0.36299999999999999</v>
      </c>
    </row>
    <row r="11" spans="1:25" s="1" customFormat="1">
      <c r="A11" s="16" t="s">
        <v>89</v>
      </c>
      <c r="B11" s="17">
        <v>527263</v>
      </c>
      <c r="C11" s="17">
        <v>998109</v>
      </c>
      <c r="D11" s="17">
        <v>1520357</v>
      </c>
      <c r="F11" s="18">
        <v>0.89300000000000002</v>
      </c>
      <c r="G11" s="18">
        <v>0.52300000000000002</v>
      </c>
      <c r="I11" s="22">
        <v>165286</v>
      </c>
      <c r="J11" s="20">
        <v>211215</v>
      </c>
      <c r="K11" s="23">
        <v>277543</v>
      </c>
      <c r="L11" s="23">
        <v>344066</v>
      </c>
      <c r="M11" s="22">
        <v>326440</v>
      </c>
      <c r="N11" s="17">
        <v>368886</v>
      </c>
      <c r="O11" s="17">
        <v>374167</v>
      </c>
      <c r="P11" s="23">
        <v>450864</v>
      </c>
      <c r="Q11" s="22">
        <v>449139.6932808999</v>
      </c>
      <c r="R11" s="22">
        <v>496445.83783147502</v>
      </c>
      <c r="S11" s="21"/>
      <c r="T11" s="18">
        <v>0.97499999999999998</v>
      </c>
      <c r="U11" s="18">
        <v>0.746</v>
      </c>
      <c r="V11" s="18">
        <v>0.34799999999999998</v>
      </c>
      <c r="W11" s="223">
        <v>0.31</v>
      </c>
      <c r="X11" s="18">
        <f t="shared" si="0"/>
        <v>0.376</v>
      </c>
      <c r="Y11" s="18">
        <f t="shared" si="0"/>
        <v>0.34599999999999997</v>
      </c>
    </row>
    <row r="12" spans="1:25" s="288" customFormat="1">
      <c r="A12" s="24" t="s">
        <v>112</v>
      </c>
      <c r="B12" s="286">
        <f t="shared" ref="B12:C12" si="1">SUM(K12:N12)</f>
        <v>119489.7749500004</v>
      </c>
      <c r="C12" s="286">
        <f t="shared" si="1"/>
        <v>191000.90111000073</v>
      </c>
      <c r="D12" s="286">
        <f>SUM(M12:P12)</f>
        <v>280641.84114000079</v>
      </c>
      <c r="F12" s="25" t="s">
        <v>221</v>
      </c>
      <c r="G12" s="25" t="s">
        <v>221</v>
      </c>
      <c r="I12" s="284" t="s">
        <v>221</v>
      </c>
      <c r="J12" s="289" t="s">
        <v>221</v>
      </c>
      <c r="K12" s="289" t="s">
        <v>221</v>
      </c>
      <c r="L12" s="289" t="s">
        <v>221</v>
      </c>
      <c r="M12" s="284">
        <v>57193.238829999696</v>
      </c>
      <c r="N12" s="290">
        <v>62296.536120000703</v>
      </c>
      <c r="O12" s="290">
        <v>71511.126160000349</v>
      </c>
      <c r="P12" s="289">
        <v>89640.940030000071</v>
      </c>
      <c r="Q12" s="318">
        <v>81524.693280899897</v>
      </c>
      <c r="R12" s="330">
        <v>90219.024420000045</v>
      </c>
      <c r="S12" s="11"/>
      <c r="T12" s="25" t="s">
        <v>221</v>
      </c>
      <c r="U12" s="25" t="s">
        <v>221</v>
      </c>
      <c r="V12" s="25" t="s">
        <v>221</v>
      </c>
      <c r="W12" s="224" t="s">
        <v>221</v>
      </c>
      <c r="X12" s="25">
        <f>ROUND(Q12/M12-1,3)</f>
        <v>0.42499999999999999</v>
      </c>
      <c r="Y12" s="25">
        <f>ROUND(R12/N12-1,3)</f>
        <v>0.44800000000000001</v>
      </c>
    </row>
    <row r="13" spans="1:25" s="288" customFormat="1">
      <c r="A13" s="292" t="s">
        <v>90</v>
      </c>
      <c r="B13" s="287">
        <f t="shared" ref="B13:D13" si="2">ROUND(B12/B11,3)</f>
        <v>0.22700000000000001</v>
      </c>
      <c r="C13" s="287">
        <f t="shared" si="2"/>
        <v>0.191</v>
      </c>
      <c r="D13" s="287">
        <f t="shared" si="2"/>
        <v>0.185</v>
      </c>
      <c r="F13" s="31" t="s">
        <v>221</v>
      </c>
      <c r="G13" s="31" t="s">
        <v>221</v>
      </c>
      <c r="I13" s="285" t="s">
        <v>221</v>
      </c>
      <c r="J13" s="291" t="s">
        <v>221</v>
      </c>
      <c r="K13" s="291" t="s">
        <v>221</v>
      </c>
      <c r="L13" s="291" t="s">
        <v>221</v>
      </c>
      <c r="M13" s="285">
        <f t="shared" ref="M13" si="3">ROUND(M12/M11,3)</f>
        <v>0.17499999999999999</v>
      </c>
      <c r="N13" s="291">
        <f t="shared" ref="N13" si="4">ROUND(N12/N11,3)</f>
        <v>0.16900000000000001</v>
      </c>
      <c r="O13" s="291">
        <f t="shared" ref="O13" si="5">ROUND(O12/O11,3)</f>
        <v>0.191</v>
      </c>
      <c r="P13" s="291">
        <f t="shared" ref="P13:Q13" si="6">ROUND(P12/P11,3)</f>
        <v>0.19900000000000001</v>
      </c>
      <c r="Q13" s="285">
        <f t="shared" si="6"/>
        <v>0.182</v>
      </c>
      <c r="R13" s="285">
        <f t="shared" ref="R13" si="7">ROUND(R12/R11,3)</f>
        <v>0.182</v>
      </c>
      <c r="T13" s="31" t="s">
        <v>221</v>
      </c>
      <c r="U13" s="31" t="s">
        <v>221</v>
      </c>
      <c r="V13" s="31" t="s">
        <v>221</v>
      </c>
      <c r="W13" s="225" t="s">
        <v>221</v>
      </c>
      <c r="X13" s="31">
        <f>(Q13-M13)*100</f>
        <v>0.70000000000000062</v>
      </c>
      <c r="Y13" s="31">
        <f>(R13-N13)*100</f>
        <v>1.2999999999999985</v>
      </c>
    </row>
    <row r="14" spans="1:25" s="1" customFormat="1">
      <c r="A14" s="24" t="s">
        <v>116</v>
      </c>
      <c r="B14" s="21">
        <v>64860.061949999828</v>
      </c>
      <c r="C14" s="21">
        <f>SUM(I14:L14)</f>
        <v>113489.50833481859</v>
      </c>
      <c r="D14" s="21">
        <f>SUM(M14:P14)</f>
        <v>184043.31496000075</v>
      </c>
      <c r="F14" s="25">
        <f>ROUND(C14/B14-1,3)</f>
        <v>0.75</v>
      </c>
      <c r="G14" s="25">
        <f>ROUND(D14/C14-1,3)</f>
        <v>0.622</v>
      </c>
      <c r="I14" s="26">
        <v>8877.6614824087756</v>
      </c>
      <c r="J14" s="27">
        <v>22405.729622408813</v>
      </c>
      <c r="K14" s="27">
        <v>37883.08633000034</v>
      </c>
      <c r="L14" s="27">
        <v>44323.03090000066</v>
      </c>
      <c r="M14" s="26">
        <v>20942.722729999699</v>
      </c>
      <c r="N14" s="28">
        <v>47896.840950000704</v>
      </c>
      <c r="O14" s="28">
        <v>56209.294280000344</v>
      </c>
      <c r="P14" s="27">
        <v>58994.457000000002</v>
      </c>
      <c r="Q14" s="318">
        <v>38421.479284933404</v>
      </c>
      <c r="R14" s="27">
        <v>75801.799600000057</v>
      </c>
      <c r="S14" s="21"/>
      <c r="T14" s="25">
        <f>ROUND(M14/I14-1,3)</f>
        <v>1.359</v>
      </c>
      <c r="U14" s="25">
        <f t="shared" ref="U14" si="8">ROUND(N14/J14-1,3)</f>
        <v>1.1379999999999999</v>
      </c>
      <c r="V14" s="25">
        <f t="shared" ref="V14" si="9">ROUND(O14/K14-1,3)</f>
        <v>0.48399999999999999</v>
      </c>
      <c r="W14" s="224">
        <f t="shared" ref="W14" si="10">ROUND(P14/L14-1,3)</f>
        <v>0.33100000000000002</v>
      </c>
      <c r="X14" s="25">
        <f>ROUND(Q14/M14-1,3)</f>
        <v>0.83499999999999996</v>
      </c>
      <c r="Y14" s="25">
        <f>ROUND(R14/N14-1,3)</f>
        <v>0.58299999999999996</v>
      </c>
    </row>
    <row r="15" spans="1:25" s="1" customFormat="1">
      <c r="A15" s="29" t="s">
        <v>23</v>
      </c>
      <c r="B15" s="30">
        <f>B14/B11</f>
        <v>0.12301273169177399</v>
      </c>
      <c r="C15" s="30">
        <f>C14/C11</f>
        <v>0.11370452358892524</v>
      </c>
      <c r="D15" s="30">
        <f>D14/D11</f>
        <v>0.12105269680739507</v>
      </c>
      <c r="F15" s="31">
        <f>(C15-B15)*100</f>
        <v>-0.93082081028487418</v>
      </c>
      <c r="G15" s="31">
        <f>(D15-C15)*100</f>
        <v>0.73481732184698245</v>
      </c>
      <c r="I15" s="32">
        <f>I14/I11</f>
        <v>5.3710910073501539E-2</v>
      </c>
      <c r="J15" s="33">
        <f>J14/J11</f>
        <v>0.10608020084941322</v>
      </c>
      <c r="K15" s="33">
        <f>K14/K11</f>
        <v>0.13649447591904801</v>
      </c>
      <c r="L15" s="33">
        <f>L14/L11</f>
        <v>0.12882130434277336</v>
      </c>
      <c r="M15" s="32">
        <v>6.4000000000000001E-2</v>
      </c>
      <c r="N15" s="33">
        <f>N14/N11</f>
        <v>0.12984185073437512</v>
      </c>
      <c r="O15" s="33">
        <f>O14/O11</f>
        <v>0.15022515154997726</v>
      </c>
      <c r="P15" s="33">
        <f>P14/P11</f>
        <v>0.13084756600660066</v>
      </c>
      <c r="Q15" s="32">
        <f t="shared" ref="Q15" si="11">Q14/Q11</f>
        <v>8.5544608636725264E-2</v>
      </c>
      <c r="R15" s="32">
        <f>R14/R11</f>
        <v>0.15268896186361414</v>
      </c>
      <c r="T15" s="31">
        <f t="shared" ref="T15" si="12">(M15-I15)*100</f>
        <v>1.0289089926498463</v>
      </c>
      <c r="U15" s="31">
        <f t="shared" ref="U15" si="13">(N15-J15)*100</f>
        <v>2.3761649884961904</v>
      </c>
      <c r="V15" s="31">
        <f t="shared" ref="V15" si="14">(O15-K15)*100</f>
        <v>1.373067563092925</v>
      </c>
      <c r="W15" s="225">
        <f t="shared" ref="W15" si="15">(P15-L15)*100</f>
        <v>0.20262616638273001</v>
      </c>
      <c r="X15" s="31">
        <f>(Q15-M15)*100</f>
        <v>2.1544608636725262</v>
      </c>
      <c r="Y15" s="31">
        <f>(R15-N15)*100</f>
        <v>2.2847111129239011</v>
      </c>
    </row>
    <row r="16" spans="1:25" s="1" customFormat="1" ht="10.5">
      <c r="A16" s="24" t="s">
        <v>208</v>
      </c>
      <c r="B16" s="21">
        <v>72300</v>
      </c>
      <c r="C16" s="21">
        <v>130539</v>
      </c>
      <c r="D16" s="21">
        <v>202291</v>
      </c>
      <c r="F16" s="25">
        <v>0.80600000000000005</v>
      </c>
      <c r="G16" s="25">
        <v>0.55000000000000004</v>
      </c>
      <c r="I16" s="26">
        <v>12439</v>
      </c>
      <c r="J16" s="140">
        <v>26826</v>
      </c>
      <c r="K16" s="140">
        <v>40785</v>
      </c>
      <c r="L16" s="140">
        <v>50490</v>
      </c>
      <c r="M16" s="142">
        <v>30640</v>
      </c>
      <c r="N16" s="140">
        <v>46151</v>
      </c>
      <c r="O16" s="140">
        <v>57789</v>
      </c>
      <c r="P16" s="140">
        <v>67711</v>
      </c>
      <c r="Q16" s="318">
        <v>46691.064674562098</v>
      </c>
      <c r="R16" s="27">
        <v>61691.298660000044</v>
      </c>
      <c r="S16" s="25"/>
      <c r="T16" s="25">
        <f>ROUND(M16/I16-1,3)</f>
        <v>1.4630000000000001</v>
      </c>
      <c r="U16" s="25">
        <f t="shared" ref="U16" si="16">ROUND(N16/J16-1,3)</f>
        <v>0.72</v>
      </c>
      <c r="V16" s="25">
        <f t="shared" ref="V16" si="17">ROUND(O16/K16-1,3)</f>
        <v>0.41699999999999998</v>
      </c>
      <c r="W16" s="224">
        <f t="shared" ref="W16" si="18">ROUND(P16/L16-1,3)</f>
        <v>0.34100000000000003</v>
      </c>
      <c r="X16" s="25">
        <f>ROUND(Q16/M16-1,3)</f>
        <v>0.52400000000000002</v>
      </c>
      <c r="Y16" s="25">
        <f>ROUND(R16/N16-1,3)</f>
        <v>0.33700000000000002</v>
      </c>
    </row>
    <row r="17" spans="1:25" s="1" customFormat="1">
      <c r="A17" s="29" t="s">
        <v>193</v>
      </c>
      <c r="B17" s="30">
        <v>0.13700000000000001</v>
      </c>
      <c r="C17" s="30">
        <v>0.13100000000000001</v>
      </c>
      <c r="D17" s="30">
        <v>0.13300000000000001</v>
      </c>
      <c r="F17" s="31">
        <v>-0.60000000000000053</v>
      </c>
      <c r="G17" s="31">
        <v>0.20000000000000018</v>
      </c>
      <c r="I17" s="32">
        <v>7.4999999999999997E-2</v>
      </c>
      <c r="J17" s="143">
        <v>0.127</v>
      </c>
      <c r="K17" s="33">
        <v>0.14699999999999999</v>
      </c>
      <c r="L17" s="33">
        <v>0.14699999999999999</v>
      </c>
      <c r="M17" s="32">
        <v>9.4E-2</v>
      </c>
      <c r="N17" s="143">
        <v>0.125</v>
      </c>
      <c r="O17" s="143">
        <v>0.154</v>
      </c>
      <c r="P17" s="33">
        <v>0.15</v>
      </c>
      <c r="Q17" s="32">
        <f t="shared" ref="Q17" si="19">ROUND(Q16/Q11,3)</f>
        <v>0.104</v>
      </c>
      <c r="R17" s="32">
        <f>ROUND(R16/R11,3)</f>
        <v>0.124</v>
      </c>
      <c r="S17" s="141"/>
      <c r="T17" s="31">
        <f t="shared" ref="T17" si="20">(M17-I17)*100</f>
        <v>1.9000000000000004</v>
      </c>
      <c r="U17" s="31">
        <f t="shared" ref="U17" si="21">(N17-J17)*100</f>
        <v>-0.20000000000000018</v>
      </c>
      <c r="V17" s="31">
        <f t="shared" ref="V17" si="22">(O17-K17)*100</f>
        <v>0.70000000000000062</v>
      </c>
      <c r="W17" s="225">
        <f t="shared" ref="W17" si="23">(P17-L17)*100</f>
        <v>0.30000000000000027</v>
      </c>
      <c r="X17" s="31">
        <f>(Q17-M17)*100</f>
        <v>0.99999999999999956</v>
      </c>
      <c r="Y17" s="31">
        <f>(R17-N17)*100</f>
        <v>-0.10000000000000009</v>
      </c>
    </row>
    <row r="18" spans="1:25" s="1" customFormat="1">
      <c r="A18" s="24" t="s">
        <v>223</v>
      </c>
      <c r="B18" s="21">
        <v>15124</v>
      </c>
      <c r="C18" s="21">
        <v>42707</v>
      </c>
      <c r="D18" s="21">
        <v>51727</v>
      </c>
      <c r="F18" s="25">
        <v>1.8240000000000001</v>
      </c>
      <c r="G18" s="25">
        <v>0.21099999999999999</v>
      </c>
      <c r="I18" s="34">
        <v>-2485</v>
      </c>
      <c r="J18" s="21">
        <v>654</v>
      </c>
      <c r="K18" s="21">
        <v>13862</v>
      </c>
      <c r="L18" s="21">
        <v>30677</v>
      </c>
      <c r="M18" s="34">
        <v>-3687</v>
      </c>
      <c r="N18" s="28">
        <v>17582</v>
      </c>
      <c r="O18" s="28">
        <v>17128</v>
      </c>
      <c r="P18" s="21">
        <v>20705</v>
      </c>
      <c r="Q18" s="319">
        <v>-4579.1438279116674</v>
      </c>
      <c r="R18" s="314">
        <v>7767.1045761971291</v>
      </c>
      <c r="S18" s="28"/>
      <c r="T18" s="35" t="s">
        <v>222</v>
      </c>
      <c r="U18" s="25">
        <v>25.884</v>
      </c>
      <c r="V18" s="25">
        <v>0.23599999999999999</v>
      </c>
      <c r="W18" s="41">
        <v>-0.32500000000000001</v>
      </c>
      <c r="X18" s="226">
        <f>-ROUND(Q18/M18-1,3)</f>
        <v>-0.24199999999999999</v>
      </c>
      <c r="Y18" s="226">
        <f>-ROUND(R18/N18-1,3)</f>
        <v>0.55800000000000005</v>
      </c>
    </row>
    <row r="19" spans="1:25" s="1" customFormat="1">
      <c r="A19" s="29" t="s">
        <v>188</v>
      </c>
      <c r="B19" s="30">
        <v>2.9000000000000001E-2</v>
      </c>
      <c r="C19" s="30">
        <v>4.2999999999999997E-2</v>
      </c>
      <c r="D19" s="30">
        <v>3.4000000000000002E-2</v>
      </c>
      <c r="F19" s="36">
        <v>1.3999999999999995</v>
      </c>
      <c r="G19" s="36">
        <v>-0.9</v>
      </c>
      <c r="I19" s="37">
        <v>-1.4999999999999999E-2</v>
      </c>
      <c r="J19" s="38">
        <v>3.0000000000000001E-3</v>
      </c>
      <c r="K19" s="38">
        <v>0.05</v>
      </c>
      <c r="L19" s="38">
        <v>8.8999999999999996E-2</v>
      </c>
      <c r="M19" s="37">
        <v>-1.0999999999999999E-2</v>
      </c>
      <c r="N19" s="39">
        <v>4.8000000000000001E-2</v>
      </c>
      <c r="O19" s="39">
        <v>4.5999999999999999E-2</v>
      </c>
      <c r="P19" s="38">
        <v>4.5999999999999999E-2</v>
      </c>
      <c r="Q19" s="37">
        <f t="shared" ref="Q19" si="24">Q18/Q11</f>
        <v>-1.0195366600670918E-2</v>
      </c>
      <c r="R19" s="37">
        <f>R18/R11</f>
        <v>1.5645421885546705E-2</v>
      </c>
      <c r="S19" s="302"/>
      <c r="T19" s="36">
        <v>0.4</v>
      </c>
      <c r="U19" s="36">
        <v>4.5</v>
      </c>
      <c r="V19" s="36">
        <v>-0.40000000000000036</v>
      </c>
      <c r="W19" s="36">
        <v>-4.3</v>
      </c>
      <c r="X19" s="227">
        <f>(Q19-M19)*100</f>
        <v>8.0463339932908107E-2</v>
      </c>
      <c r="Y19" s="227">
        <f>(R19-N19)*100</f>
        <v>-3.2354578114453294</v>
      </c>
    </row>
    <row r="20" spans="1:25" s="1" customFormat="1" ht="12">
      <c r="A20" s="24" t="s">
        <v>225</v>
      </c>
      <c r="B20" s="25" t="s">
        <v>221</v>
      </c>
      <c r="C20" s="25">
        <v>0.44665118424623768</v>
      </c>
      <c r="D20" s="25">
        <v>0.34112397855710264</v>
      </c>
      <c r="E20" s="288"/>
      <c r="F20" s="40" t="s">
        <v>221</v>
      </c>
      <c r="G20" s="228">
        <f>(D20-C20)*100</f>
        <v>-10.552720568913504</v>
      </c>
      <c r="H20" s="288"/>
      <c r="I20" s="293">
        <v>0.36722978066845141</v>
      </c>
      <c r="J20" s="294">
        <v>0.46340931940748564</v>
      </c>
      <c r="K20" s="294">
        <v>0.52711002006933916</v>
      </c>
      <c r="L20" s="294">
        <v>0.44665118424623768</v>
      </c>
      <c r="M20" s="295">
        <v>0.34382455235074749</v>
      </c>
      <c r="N20" s="295">
        <v>0.32513177150119071</v>
      </c>
      <c r="O20" s="295">
        <v>0.32380997887282087</v>
      </c>
      <c r="P20" s="296">
        <v>0.34112397855710264</v>
      </c>
      <c r="Q20" s="295">
        <v>0.37532654930382148</v>
      </c>
      <c r="R20" s="295">
        <v>0.438</v>
      </c>
      <c r="S20" s="11"/>
      <c r="T20" s="228">
        <f>(M20-I20)*100</f>
        <v>-2.3405228317703921</v>
      </c>
      <c r="U20" s="228">
        <f>(N20-J20)*100</f>
        <v>-13.827754790629493</v>
      </c>
      <c r="V20" s="228">
        <f>(O20-K20)*100</f>
        <v>-20.330004119651829</v>
      </c>
      <c r="W20" s="228">
        <f>(P20-L20)*100</f>
        <v>-10.552720568913504</v>
      </c>
      <c r="X20" s="228">
        <f>(Q20-M20)*100</f>
        <v>3.1501996953073985</v>
      </c>
      <c r="Y20" s="228">
        <f>(R20-N20)*100</f>
        <v>11.286822849880929</v>
      </c>
    </row>
    <row r="21" spans="1:25">
      <c r="F21" s="42"/>
      <c r="G21" s="42"/>
      <c r="K21" s="43"/>
      <c r="L21" s="12"/>
      <c r="M21" s="44"/>
      <c r="N21" s="12"/>
      <c r="O21" s="12"/>
      <c r="P21" s="12"/>
      <c r="Q21" s="12"/>
      <c r="R21" s="12"/>
    </row>
    <row r="22" spans="1:25" ht="93" customHeight="1">
      <c r="A22" s="331" t="s">
        <v>224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45"/>
      <c r="M22" s="45"/>
      <c r="N22" s="45"/>
      <c r="O22" s="46"/>
      <c r="P22" s="46"/>
      <c r="Q22" s="315"/>
      <c r="R22" s="313"/>
    </row>
    <row r="23" spans="1: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46"/>
      <c r="Q23" s="315"/>
      <c r="R23" s="313"/>
    </row>
    <row r="24" spans="1: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  <c r="Q24" s="48"/>
      <c r="R24" s="48"/>
    </row>
    <row r="25" spans="1:25" ht="33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</sheetData>
  <mergeCells count="1">
    <mergeCell ref="A22:K2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X18:X19 X13 T14:X15 T13:W13" formula="1"/>
    <ignoredError sqref="C14 D12 D14" formulaRange="1"/>
    <ignoredError sqref="Y4:Y12 Y16:Y20" evalError="1"/>
    <ignoredError sqref="D13" formula="1" formulaRange="1"/>
    <ignoredError sqref="Y13:Y15" evalError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4CA8-5232-4094-A8AA-2CBEAD2B499A}">
  <dimension ref="A1:Y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ColWidth="9.1796875" defaultRowHeight="10"/>
  <cols>
    <col min="1" max="1" width="24.1796875" style="2" customWidth="1"/>
    <col min="2" max="4" width="11.81640625" style="2" customWidth="1"/>
    <col min="5" max="5" width="2.54296875" style="2" customWidth="1"/>
    <col min="6" max="7" width="10.81640625" style="2" customWidth="1"/>
    <col min="8" max="8" width="9.1796875" style="2"/>
    <col min="9" max="18" width="11.81640625" style="2" customWidth="1"/>
    <col min="19" max="19" width="2.54296875" style="2" customWidth="1"/>
    <col min="20" max="24" width="10.81640625" style="2" customWidth="1"/>
    <col min="25" max="25" width="10.81640625" style="322" customWidth="1"/>
    <col min="26" max="16384" width="9.1796875" style="2"/>
  </cols>
  <sheetData>
    <row r="1" spans="1:25" ht="55.5" customHeight="1"/>
    <row r="2" spans="1:25">
      <c r="F2" s="3" t="s">
        <v>0</v>
      </c>
      <c r="G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>
      <c r="A3" s="4" t="s">
        <v>133</v>
      </c>
      <c r="B3" s="5">
        <v>2019</v>
      </c>
      <c r="C3" s="5">
        <v>2020</v>
      </c>
      <c r="D3" s="5">
        <v>2021</v>
      </c>
      <c r="E3" s="6"/>
      <c r="F3" s="5">
        <v>2020</v>
      </c>
      <c r="G3" s="5">
        <v>2021</v>
      </c>
      <c r="H3" s="7"/>
      <c r="I3" s="8" t="s">
        <v>1</v>
      </c>
      <c r="J3" s="5" t="s">
        <v>2</v>
      </c>
      <c r="K3" s="5" t="s">
        <v>3</v>
      </c>
      <c r="L3" s="5" t="s">
        <v>4</v>
      </c>
      <c r="M3" s="8" t="s">
        <v>5</v>
      </c>
      <c r="N3" s="5" t="s">
        <v>25</v>
      </c>
      <c r="O3" s="5" t="s">
        <v>176</v>
      </c>
      <c r="P3" s="5" t="s">
        <v>181</v>
      </c>
      <c r="Q3" s="8" t="s">
        <v>206</v>
      </c>
      <c r="R3" s="78" t="s">
        <v>264</v>
      </c>
      <c r="S3" s="1"/>
      <c r="T3" s="5" t="s">
        <v>5</v>
      </c>
      <c r="U3" s="5" t="s">
        <v>25</v>
      </c>
      <c r="V3" s="5" t="s">
        <v>176</v>
      </c>
      <c r="W3" s="5" t="s">
        <v>181</v>
      </c>
      <c r="X3" s="229" t="s">
        <v>206</v>
      </c>
      <c r="Y3" s="229" t="s">
        <v>264</v>
      </c>
    </row>
    <row r="4" spans="1:25">
      <c r="A4" s="49" t="s">
        <v>140</v>
      </c>
      <c r="B4" s="50">
        <v>607897</v>
      </c>
      <c r="C4" s="50">
        <v>1180036</v>
      </c>
      <c r="D4" s="50">
        <v>1808895</v>
      </c>
      <c r="E4" s="1"/>
      <c r="F4" s="51">
        <v>0.94099999999999995</v>
      </c>
      <c r="G4" s="51">
        <v>0.53300000000000003</v>
      </c>
      <c r="I4" s="52">
        <v>192553</v>
      </c>
      <c r="J4" s="50">
        <v>248350</v>
      </c>
      <c r="K4" s="50">
        <v>329577</v>
      </c>
      <c r="L4" s="53">
        <v>409557</v>
      </c>
      <c r="M4" s="52">
        <v>387168</v>
      </c>
      <c r="N4" s="53">
        <v>436655</v>
      </c>
      <c r="O4" s="50">
        <v>445887</v>
      </c>
      <c r="P4" s="50">
        <v>539185</v>
      </c>
      <c r="Q4" s="52">
        <f>SUM(Q5:Q7)</f>
        <v>538051</v>
      </c>
      <c r="R4" s="52">
        <f>SUM(R5:R7)</f>
        <v>594900</v>
      </c>
      <c r="S4" s="1"/>
      <c r="T4" s="51">
        <v>1.0109999999999999</v>
      </c>
      <c r="U4" s="51">
        <v>0.75800000000000001</v>
      </c>
      <c r="V4" s="51">
        <v>0.35299999999999998</v>
      </c>
      <c r="W4" s="51">
        <v>0.317</v>
      </c>
      <c r="X4" s="230">
        <f t="shared" ref="X4:Y7" si="0">ROUND(Q4/M4-1,3)</f>
        <v>0.39</v>
      </c>
      <c r="Y4" s="230">
        <f t="shared" si="0"/>
        <v>0.36199999999999999</v>
      </c>
    </row>
    <row r="5" spans="1:25">
      <c r="A5" s="2" t="s">
        <v>84</v>
      </c>
      <c r="B5" s="11">
        <v>258102</v>
      </c>
      <c r="C5" s="11">
        <v>602622</v>
      </c>
      <c r="D5" s="11">
        <v>1088667</v>
      </c>
      <c r="F5" s="12">
        <v>1.335</v>
      </c>
      <c r="G5" s="12">
        <v>0.80700000000000005</v>
      </c>
      <c r="I5" s="15">
        <v>86705</v>
      </c>
      <c r="J5" s="11">
        <v>117916</v>
      </c>
      <c r="K5" s="11">
        <v>163468</v>
      </c>
      <c r="L5" s="14">
        <v>234533</v>
      </c>
      <c r="M5" s="15">
        <v>229947</v>
      </c>
      <c r="N5" s="11">
        <v>257082</v>
      </c>
      <c r="O5" s="11">
        <v>262877</v>
      </c>
      <c r="P5" s="11">
        <v>338761</v>
      </c>
      <c r="Q5" s="15">
        <v>360851</v>
      </c>
      <c r="R5" s="316">
        <v>399700</v>
      </c>
      <c r="T5" s="12">
        <v>1.6519999999999999</v>
      </c>
      <c r="U5" s="12">
        <v>1.18</v>
      </c>
      <c r="V5" s="12">
        <v>0.60799999999999998</v>
      </c>
      <c r="W5" s="12">
        <v>0.44400000000000001</v>
      </c>
      <c r="X5" s="233">
        <f t="shared" si="0"/>
        <v>0.56899999999999995</v>
      </c>
      <c r="Y5" s="233">
        <f t="shared" si="0"/>
        <v>0.55500000000000005</v>
      </c>
    </row>
    <row r="6" spans="1:25">
      <c r="A6" s="2" t="s">
        <v>85</v>
      </c>
      <c r="B6" s="11">
        <v>252831</v>
      </c>
      <c r="C6" s="11">
        <v>437577</v>
      </c>
      <c r="D6" s="11">
        <v>533421</v>
      </c>
      <c r="F6" s="12">
        <v>0.73099999999999998</v>
      </c>
      <c r="G6" s="12">
        <v>0.219</v>
      </c>
      <c r="I6" s="15">
        <v>76434</v>
      </c>
      <c r="J6" s="11">
        <v>96790</v>
      </c>
      <c r="K6" s="11">
        <v>130059</v>
      </c>
      <c r="L6" s="14">
        <v>134295</v>
      </c>
      <c r="M6" s="15">
        <v>114328</v>
      </c>
      <c r="N6" s="11">
        <v>134299</v>
      </c>
      <c r="O6" s="11">
        <v>136883</v>
      </c>
      <c r="P6" s="11">
        <v>147911</v>
      </c>
      <c r="Q6" s="15">
        <v>129397</v>
      </c>
      <c r="R6" s="316">
        <v>149600</v>
      </c>
      <c r="T6" s="12">
        <v>0.496</v>
      </c>
      <c r="U6" s="12">
        <v>0.38800000000000001</v>
      </c>
      <c r="V6" s="12">
        <v>5.1999999999999998E-2</v>
      </c>
      <c r="W6" s="12">
        <v>0.10100000000000001</v>
      </c>
      <c r="X6" s="233">
        <f t="shared" si="0"/>
        <v>0.13200000000000001</v>
      </c>
      <c r="Y6" s="233">
        <f t="shared" si="0"/>
        <v>0.114</v>
      </c>
    </row>
    <row r="7" spans="1:25">
      <c r="A7" s="2" t="s">
        <v>87</v>
      </c>
      <c r="B7" s="11">
        <v>96964</v>
      </c>
      <c r="C7" s="11">
        <v>139837</v>
      </c>
      <c r="D7" s="11">
        <v>186807</v>
      </c>
      <c r="F7" s="12">
        <v>0.442</v>
      </c>
      <c r="G7" s="12">
        <v>0.33600000000000002</v>
      </c>
      <c r="I7" s="15">
        <v>29414</v>
      </c>
      <c r="J7" s="11">
        <v>33644</v>
      </c>
      <c r="K7" s="11">
        <v>36050</v>
      </c>
      <c r="L7" s="14">
        <v>40729</v>
      </c>
      <c r="M7" s="15">
        <v>42893</v>
      </c>
      <c r="N7" s="11">
        <v>45274</v>
      </c>
      <c r="O7" s="11">
        <v>46127</v>
      </c>
      <c r="P7" s="11">
        <v>52513</v>
      </c>
      <c r="Q7" s="15">
        <v>47803</v>
      </c>
      <c r="R7" s="15">
        <v>45600</v>
      </c>
      <c r="T7" s="12">
        <v>0.45800000000000002</v>
      </c>
      <c r="U7" s="12">
        <v>0.34599999999999997</v>
      </c>
      <c r="V7" s="12">
        <v>0.28000000000000003</v>
      </c>
      <c r="W7" s="12">
        <v>0.28899999999999998</v>
      </c>
      <c r="X7" s="233">
        <f t="shared" si="0"/>
        <v>0.114</v>
      </c>
      <c r="Y7" s="233">
        <f t="shared" si="0"/>
        <v>7.0000000000000001E-3</v>
      </c>
    </row>
    <row r="8" spans="1:25" ht="5.15" customHeight="1">
      <c r="B8" s="54"/>
      <c r="C8" s="54"/>
      <c r="D8" s="54"/>
      <c r="E8" s="1"/>
      <c r="F8" s="56"/>
      <c r="G8" s="56"/>
      <c r="I8" s="57"/>
      <c r="J8" s="54"/>
      <c r="K8" s="54"/>
      <c r="L8" s="54"/>
      <c r="M8" s="57"/>
      <c r="N8" s="58"/>
      <c r="O8" s="54"/>
      <c r="P8" s="54"/>
      <c r="Q8" s="57"/>
      <c r="R8" s="58"/>
      <c r="S8" s="1"/>
      <c r="T8" s="56"/>
      <c r="U8" s="56"/>
      <c r="V8" s="56"/>
      <c r="W8" s="56"/>
      <c r="X8" s="232"/>
      <c r="Y8" s="232"/>
    </row>
    <row r="9" spans="1:25">
      <c r="A9" s="49" t="s">
        <v>139</v>
      </c>
      <c r="B9" s="53">
        <v>26617</v>
      </c>
      <c r="C9" s="53">
        <v>41270</v>
      </c>
      <c r="D9" s="53">
        <v>53057</v>
      </c>
      <c r="E9" s="1"/>
      <c r="F9" s="51">
        <v>0.55100000000000005</v>
      </c>
      <c r="G9" s="51">
        <v>0.28599999999999998</v>
      </c>
      <c r="I9" s="59">
        <v>8415</v>
      </c>
      <c r="J9" s="50">
        <v>8699</v>
      </c>
      <c r="K9" s="50">
        <v>11813</v>
      </c>
      <c r="L9" s="50">
        <v>12343</v>
      </c>
      <c r="M9" s="59">
        <v>10790</v>
      </c>
      <c r="N9" s="53">
        <v>11020</v>
      </c>
      <c r="O9" s="50">
        <v>12597</v>
      </c>
      <c r="P9" s="50">
        <v>18650</v>
      </c>
      <c r="Q9" s="59">
        <f>SUM(Q10:Q11)</f>
        <v>19559</v>
      </c>
      <c r="R9" s="59">
        <f>SUM(R10:R11)</f>
        <v>20902</v>
      </c>
      <c r="S9" s="1"/>
      <c r="T9" s="51">
        <v>0.28199999999999997</v>
      </c>
      <c r="U9" s="51">
        <v>0.26700000000000002</v>
      </c>
      <c r="V9" s="51">
        <v>6.6000000000000003E-2</v>
      </c>
      <c r="W9" s="51">
        <v>0.51100000000000001</v>
      </c>
      <c r="X9" s="230">
        <f t="shared" ref="X9:Y11" si="1">ROUND(Q9/M9-1,3)</f>
        <v>0.81299999999999994</v>
      </c>
      <c r="Y9" s="230">
        <f t="shared" si="1"/>
        <v>0.89700000000000002</v>
      </c>
    </row>
    <row r="10" spans="1:25">
      <c r="A10" s="2" t="s">
        <v>84</v>
      </c>
      <c r="B10" s="60">
        <v>23111</v>
      </c>
      <c r="C10" s="61">
        <v>36974</v>
      </c>
      <c r="D10" s="61">
        <v>47525</v>
      </c>
      <c r="F10" s="12">
        <v>0.6</v>
      </c>
      <c r="G10" s="12">
        <v>0.28499999999999998</v>
      </c>
      <c r="I10" s="13">
        <v>7507</v>
      </c>
      <c r="J10" s="10">
        <v>7805</v>
      </c>
      <c r="K10" s="10">
        <v>10581</v>
      </c>
      <c r="L10" s="10">
        <v>11081</v>
      </c>
      <c r="M10" s="15">
        <v>9664</v>
      </c>
      <c r="N10" s="10">
        <v>9579</v>
      </c>
      <c r="O10" s="10">
        <v>11133</v>
      </c>
      <c r="P10" s="10">
        <v>17149</v>
      </c>
      <c r="Q10" s="15">
        <v>18142</v>
      </c>
      <c r="R10" s="316">
        <v>19339</v>
      </c>
      <c r="T10" s="12">
        <v>0.28699999999999998</v>
      </c>
      <c r="U10" s="12">
        <v>0.22700000000000001</v>
      </c>
      <c r="V10" s="12">
        <v>5.1999999999999998E-2</v>
      </c>
      <c r="W10" s="12">
        <v>0.54800000000000004</v>
      </c>
      <c r="X10" s="233">
        <f t="shared" si="1"/>
        <v>0.877</v>
      </c>
      <c r="Y10" s="233">
        <f t="shared" si="1"/>
        <v>1.0189999999999999</v>
      </c>
    </row>
    <row r="11" spans="1:25">
      <c r="A11" s="2" t="s">
        <v>85</v>
      </c>
      <c r="B11" s="60">
        <v>3506</v>
      </c>
      <c r="C11" s="61">
        <v>4296</v>
      </c>
      <c r="D11" s="61">
        <v>5532</v>
      </c>
      <c r="F11" s="12">
        <v>0.22500000000000001</v>
      </c>
      <c r="G11" s="12">
        <v>0.28799999999999998</v>
      </c>
      <c r="I11" s="13">
        <v>908</v>
      </c>
      <c r="J11" s="10">
        <v>894</v>
      </c>
      <c r="K11" s="10">
        <v>1232</v>
      </c>
      <c r="L11" s="10">
        <v>1262</v>
      </c>
      <c r="M11" s="15">
        <v>1127</v>
      </c>
      <c r="N11" s="10">
        <v>1440</v>
      </c>
      <c r="O11" s="10">
        <v>1464</v>
      </c>
      <c r="P11" s="10">
        <v>1501</v>
      </c>
      <c r="Q11" s="15">
        <v>1417</v>
      </c>
      <c r="R11" s="316">
        <v>1563</v>
      </c>
      <c r="T11" s="12">
        <v>0.24118942731277501</v>
      </c>
      <c r="U11" s="12">
        <v>0.61099999999999999</v>
      </c>
      <c r="V11" s="12">
        <v>0.188</v>
      </c>
      <c r="W11" s="12">
        <v>0.189</v>
      </c>
      <c r="X11" s="233">
        <f t="shared" si="1"/>
        <v>0.25700000000000001</v>
      </c>
      <c r="Y11" s="233">
        <f t="shared" si="1"/>
        <v>8.5000000000000006E-2</v>
      </c>
    </row>
    <row r="12" spans="1:25" ht="4.5" customHeight="1">
      <c r="F12" s="12"/>
      <c r="G12" s="12"/>
      <c r="I12" s="62"/>
      <c r="M12" s="62"/>
      <c r="Q12" s="62"/>
      <c r="R12" s="42"/>
      <c r="T12" s="12"/>
      <c r="U12" s="12"/>
      <c r="V12" s="12"/>
      <c r="W12" s="12"/>
      <c r="X12" s="231"/>
      <c r="Y12" s="231"/>
    </row>
    <row r="13" spans="1:25">
      <c r="A13" s="49" t="s">
        <v>136</v>
      </c>
      <c r="B13" s="53"/>
      <c r="C13" s="53"/>
      <c r="D13" s="53"/>
      <c r="E13" s="1"/>
      <c r="F13" s="51"/>
      <c r="G13" s="51"/>
      <c r="I13" s="63"/>
      <c r="J13" s="64"/>
      <c r="K13" s="64"/>
      <c r="L13" s="64"/>
      <c r="M13" s="63"/>
      <c r="N13" s="64"/>
      <c r="O13" s="64"/>
      <c r="P13" s="64"/>
      <c r="Q13" s="63"/>
      <c r="R13" s="317"/>
      <c r="S13" s="1"/>
      <c r="T13" s="51"/>
      <c r="U13" s="51"/>
      <c r="V13" s="51"/>
      <c r="W13" s="51"/>
      <c r="X13" s="230"/>
      <c r="Y13" s="230"/>
    </row>
    <row r="14" spans="1:25">
      <c r="A14" s="2" t="s">
        <v>134</v>
      </c>
      <c r="B14" s="65">
        <v>11.17</v>
      </c>
      <c r="C14" s="65">
        <v>16.3</v>
      </c>
      <c r="D14" s="65">
        <v>22.91</v>
      </c>
      <c r="F14" s="12">
        <v>0.45900000000000002</v>
      </c>
      <c r="G14" s="12">
        <v>0.40600000000000003</v>
      </c>
      <c r="I14" s="66">
        <v>11.55</v>
      </c>
      <c r="J14" s="67">
        <v>15.11</v>
      </c>
      <c r="K14" s="67">
        <v>15.45</v>
      </c>
      <c r="L14" s="67">
        <v>21.17</v>
      </c>
      <c r="M14" s="68">
        <v>23.8</v>
      </c>
      <c r="N14" s="69">
        <v>26.84</v>
      </c>
      <c r="O14" s="67">
        <v>23.61</v>
      </c>
      <c r="P14" s="67">
        <v>19.75</v>
      </c>
      <c r="Q14" s="68">
        <v>19.89</v>
      </c>
      <c r="R14" s="68">
        <v>20.667999999999999</v>
      </c>
      <c r="T14" s="12">
        <v>1.0609999999999999</v>
      </c>
      <c r="U14" s="12">
        <v>0.77600000000000002</v>
      </c>
      <c r="V14" s="12">
        <v>0.52800000000000002</v>
      </c>
      <c r="W14" s="70">
        <v>-6.7000000000000004E-2</v>
      </c>
      <c r="X14" s="233">
        <f>ROUND(Q14/M14-1,3)</f>
        <v>-0.16400000000000001</v>
      </c>
      <c r="Y14" s="233">
        <f>ROUND(R14/N14-1,3)</f>
        <v>-0.23</v>
      </c>
    </row>
    <row r="15" spans="1:25">
      <c r="A15" s="2" t="s">
        <v>135</v>
      </c>
      <c r="B15" s="71">
        <v>72.12</v>
      </c>
      <c r="C15" s="2">
        <v>101.85</v>
      </c>
      <c r="D15" s="71">
        <v>96.42</v>
      </c>
      <c r="F15" s="12">
        <v>0.41199999999999998</v>
      </c>
      <c r="G15" s="70">
        <v>-5.2999999999999999E-2</v>
      </c>
      <c r="I15" s="68">
        <v>84.14</v>
      </c>
      <c r="J15" s="67">
        <v>108.32</v>
      </c>
      <c r="K15" s="67">
        <v>105.55</v>
      </c>
      <c r="L15" s="67">
        <v>106.41</v>
      </c>
      <c r="M15" s="68">
        <v>101.48</v>
      </c>
      <c r="N15" s="69">
        <v>93.23</v>
      </c>
      <c r="O15" s="67">
        <v>93.48</v>
      </c>
      <c r="P15" s="67">
        <v>98.54</v>
      </c>
      <c r="Q15" s="68">
        <v>91.29</v>
      </c>
      <c r="R15" s="68">
        <v>95.77</v>
      </c>
      <c r="T15" s="12">
        <v>0.20599999999999999</v>
      </c>
      <c r="U15" s="70">
        <v>-0.13900000000000001</v>
      </c>
      <c r="V15" s="70">
        <v>-0.114</v>
      </c>
      <c r="W15" s="70">
        <v>-7.3999999999999996E-2</v>
      </c>
      <c r="X15" s="233">
        <f>ROUND(Q15/M15-1,3)</f>
        <v>-0.1</v>
      </c>
      <c r="Y15" s="233">
        <f>ROUND(R15/N15-1,3)</f>
        <v>2.7E-2</v>
      </c>
    </row>
    <row r="16" spans="1:25" ht="4.5" customHeight="1">
      <c r="I16" s="62"/>
      <c r="M16" s="62"/>
      <c r="P16" s="67"/>
      <c r="Q16" s="67"/>
      <c r="R16" s="67"/>
      <c r="X16" s="233"/>
      <c r="Y16" s="233"/>
    </row>
    <row r="17" spans="2:19">
      <c r="D17" s="72"/>
    </row>
    <row r="18" spans="2:19">
      <c r="D18" s="72"/>
      <c r="I18" s="43"/>
      <c r="K18" s="72"/>
      <c r="N18" s="44"/>
      <c r="O18" s="44"/>
      <c r="P18" s="44"/>
      <c r="Q18" s="44"/>
      <c r="R18" s="44"/>
    </row>
    <row r="19" spans="2:19">
      <c r="D19" s="72"/>
      <c r="H19" s="1"/>
      <c r="I19" s="73"/>
      <c r="J19" s="1"/>
      <c r="K19" s="72"/>
      <c r="L19" s="1"/>
      <c r="M19" s="1"/>
      <c r="N19" s="73"/>
      <c r="O19" s="55"/>
      <c r="P19" s="55"/>
      <c r="Q19" s="55"/>
      <c r="R19" s="55"/>
    </row>
    <row r="20" spans="2:19">
      <c r="B20" s="74"/>
      <c r="C20" s="74"/>
      <c r="D20" s="74"/>
      <c r="E20" s="1"/>
      <c r="F20" s="1"/>
      <c r="G20" s="1"/>
      <c r="H20" s="1"/>
      <c r="I20" s="75"/>
      <c r="J20" s="76"/>
      <c r="K20" s="72"/>
      <c r="L20" s="76"/>
      <c r="M20" s="76"/>
      <c r="N20" s="76"/>
      <c r="O20" s="55"/>
      <c r="P20" s="55"/>
      <c r="Q20" s="55"/>
      <c r="R20" s="55"/>
      <c r="S20" s="69"/>
    </row>
    <row r="21" spans="2:19">
      <c r="B21" s="76"/>
      <c r="C21" s="76"/>
      <c r="D21" s="76"/>
      <c r="E21" s="1"/>
      <c r="F21" s="1"/>
      <c r="G21" s="1"/>
      <c r="H21" s="1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spans="2:19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0284-CDB6-4A73-B10D-39BC81A95E13}">
  <dimension ref="A1:Z14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796875" defaultRowHeight="10"/>
  <cols>
    <col min="1" max="1" width="0" style="2" hidden="1" customWidth="1"/>
    <col min="2" max="2" width="19.1796875" style="2" bestFit="1" customWidth="1"/>
    <col min="3" max="5" width="10.81640625" style="2" customWidth="1"/>
    <col min="6" max="6" width="2.54296875" style="2" customWidth="1"/>
    <col min="7" max="8" width="10.81640625" style="2" customWidth="1"/>
    <col min="9" max="9" width="9.1796875" style="2"/>
    <col min="10" max="19" width="10.81640625" style="2" customWidth="1"/>
    <col min="20" max="20" width="2.54296875" style="2" customWidth="1"/>
    <col min="21" max="23" width="10.81640625" style="2" customWidth="1"/>
    <col min="24" max="24" width="10.453125" style="2" bestFit="1" customWidth="1"/>
    <col min="25" max="25" width="9.54296875" style="2" bestFit="1" customWidth="1"/>
    <col min="26" max="26" width="9.54296875" style="322" bestFit="1" customWidth="1"/>
    <col min="27" max="16384" width="9.1796875" style="2"/>
  </cols>
  <sheetData>
    <row r="1" spans="1:26" ht="55.5" customHeight="1"/>
    <row r="2" spans="1:26">
      <c r="G2" s="3" t="s">
        <v>0</v>
      </c>
      <c r="H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</row>
    <row r="3" spans="1:26">
      <c r="B3" s="77" t="s">
        <v>137</v>
      </c>
      <c r="C3" s="5">
        <v>2019</v>
      </c>
      <c r="D3" s="5">
        <v>2020</v>
      </c>
      <c r="E3" s="5">
        <v>2021</v>
      </c>
      <c r="F3" s="6"/>
      <c r="G3" s="5">
        <v>2020</v>
      </c>
      <c r="H3" s="78">
        <v>2021</v>
      </c>
      <c r="I3" s="7"/>
      <c r="J3" s="8" t="s">
        <v>1</v>
      </c>
      <c r="K3" s="5" t="s">
        <v>2</v>
      </c>
      <c r="L3" s="5" t="s">
        <v>3</v>
      </c>
      <c r="M3" s="5" t="s">
        <v>4</v>
      </c>
      <c r="N3" s="8" t="s">
        <v>5</v>
      </c>
      <c r="O3" s="5" t="s">
        <v>25</v>
      </c>
      <c r="P3" s="5" t="s">
        <v>176</v>
      </c>
      <c r="Q3" s="5" t="s">
        <v>181</v>
      </c>
      <c r="R3" s="8" t="s">
        <v>206</v>
      </c>
      <c r="S3" s="78" t="s">
        <v>264</v>
      </c>
      <c r="T3" s="1"/>
      <c r="U3" s="5" t="s">
        <v>5</v>
      </c>
      <c r="V3" s="5" t="s">
        <v>25</v>
      </c>
      <c r="W3" s="5" t="s">
        <v>176</v>
      </c>
      <c r="X3" s="5" t="s">
        <v>181</v>
      </c>
      <c r="Y3" s="229" t="s">
        <v>206</v>
      </c>
      <c r="Z3" s="229" t="s">
        <v>264</v>
      </c>
    </row>
    <row r="4" spans="1:26" s="1" customFormat="1" ht="14.5">
      <c r="A4" t="s">
        <v>249</v>
      </c>
      <c r="B4" s="79" t="s">
        <v>146</v>
      </c>
      <c r="C4" s="80">
        <v>21559</v>
      </c>
      <c r="D4" s="80">
        <v>35561</v>
      </c>
      <c r="E4" s="80">
        <v>52315</v>
      </c>
      <c r="G4" s="25">
        <v>0.64900000000000002</v>
      </c>
      <c r="H4" s="25">
        <v>0.47099999999999997</v>
      </c>
      <c r="J4" s="81">
        <v>4860</v>
      </c>
      <c r="K4" s="60">
        <v>6450</v>
      </c>
      <c r="L4" s="60">
        <v>8975</v>
      </c>
      <c r="M4" s="60">
        <v>15276</v>
      </c>
      <c r="N4" s="81">
        <v>9767</v>
      </c>
      <c r="O4" s="82">
        <v>15370</v>
      </c>
      <c r="P4" s="82">
        <v>15616</v>
      </c>
      <c r="Q4" s="81">
        <v>11562</v>
      </c>
      <c r="R4" s="57">
        <v>17384</v>
      </c>
      <c r="S4" s="82">
        <v>6803</v>
      </c>
      <c r="U4" s="281">
        <f t="shared" ref="U4:X4" si="0">ROUND(N4/J4-1,3)</f>
        <v>1.01</v>
      </c>
      <c r="V4" s="281">
        <f t="shared" si="0"/>
        <v>1.383</v>
      </c>
      <c r="W4" s="281">
        <f t="shared" si="0"/>
        <v>0.74</v>
      </c>
      <c r="X4" s="281">
        <f t="shared" si="0"/>
        <v>-0.24299999999999999</v>
      </c>
      <c r="Y4" s="281">
        <f>ROUND(R4/N4-1,3)</f>
        <v>0.78</v>
      </c>
      <c r="Z4" s="281">
        <f>ROUND(S4/O4-1,3)</f>
        <v>-0.55700000000000005</v>
      </c>
    </row>
    <row r="5" spans="1:26">
      <c r="B5" s="83" t="s">
        <v>138</v>
      </c>
      <c r="C5" s="85">
        <f>C4/Destaques!B10</f>
        <v>3.546488961123348E-2</v>
      </c>
      <c r="D5" s="85">
        <f>D4/Destaques!C10</f>
        <v>3.0135521289181007E-2</v>
      </c>
      <c r="E5" s="85">
        <f>E4/Destaques!D10</f>
        <v>2.8920971090085384E-2</v>
      </c>
      <c r="G5" s="84">
        <v>-0.5</v>
      </c>
      <c r="H5" s="84">
        <v>-0.1</v>
      </c>
      <c r="J5" s="85">
        <f>J4/Destaques!I10</f>
        <v>2.5239804105882536E-2</v>
      </c>
      <c r="K5" s="85">
        <f>K4/Destaques!J10</f>
        <v>2.5971411314676868E-2</v>
      </c>
      <c r="L5" s="85">
        <f>L4/Destaques!K10</f>
        <v>2.7231876010765314E-2</v>
      </c>
      <c r="M5" s="85">
        <f>M4/Destaques!L10</f>
        <v>3.7298837524447147E-2</v>
      </c>
      <c r="N5" s="85">
        <f>N4/Destaques!M10</f>
        <v>2.5226774940077693E-2</v>
      </c>
      <c r="O5" s="85">
        <f>O4/Destaques!N10</f>
        <v>3.5199413724794175E-2</v>
      </c>
      <c r="P5" s="85">
        <f>P4/Destaques!O10</f>
        <v>3.502232628446221E-2</v>
      </c>
      <c r="Q5" s="85">
        <f>Q4/Destaques!P10</f>
        <v>2.1443474874115562E-2</v>
      </c>
      <c r="R5" s="85">
        <f>R4/Destaques!Q10</f>
        <v>3.230917335140919E-2</v>
      </c>
      <c r="S5" s="85">
        <f>S4/Destaques!R10</f>
        <v>1.1434397477799186E-2</v>
      </c>
      <c r="U5" s="234">
        <f t="shared" ref="U5:X5" si="1">(N5-J5)*100</f>
        <v>-1.3029165804843285E-3</v>
      </c>
      <c r="V5" s="234">
        <f t="shared" si="1"/>
        <v>0.92280024101173075</v>
      </c>
      <c r="W5" s="234">
        <f t="shared" si="1"/>
        <v>0.77904502736968961</v>
      </c>
      <c r="X5" s="234">
        <f t="shared" si="1"/>
        <v>-1.5855362650331586</v>
      </c>
      <c r="Y5" s="234">
        <f>(R5-N5)*100</f>
        <v>0.70823984113314964</v>
      </c>
      <c r="Z5" s="234">
        <f>(S5-O5)*100</f>
        <v>-2.3765016246994985</v>
      </c>
    </row>
    <row r="6" spans="1:26">
      <c r="Y6" s="42"/>
      <c r="Z6" s="42"/>
    </row>
    <row r="7" spans="1:26" s="1" customFormat="1" ht="14.5">
      <c r="A7" t="s">
        <v>250</v>
      </c>
      <c r="B7" s="79" t="s">
        <v>142</v>
      </c>
      <c r="C7" s="87">
        <v>0.42</v>
      </c>
      <c r="D7" s="87">
        <v>0.44</v>
      </c>
      <c r="E7" s="87">
        <v>0.42</v>
      </c>
      <c r="G7" s="88">
        <v>2.0000000000000018</v>
      </c>
      <c r="H7" s="88">
        <v>-2.0000000000000018</v>
      </c>
      <c r="J7" s="89">
        <v>0.51</v>
      </c>
      <c r="K7" s="87">
        <v>0.42</v>
      </c>
      <c r="L7" s="87">
        <v>0.43</v>
      </c>
      <c r="M7" s="87">
        <v>0.43</v>
      </c>
      <c r="N7" s="89">
        <v>0.38</v>
      </c>
      <c r="O7" s="90">
        <v>0.4</v>
      </c>
      <c r="P7" s="90">
        <v>0.45</v>
      </c>
      <c r="Q7" s="90">
        <v>0.43</v>
      </c>
      <c r="R7" s="89">
        <v>0.49344224574321216</v>
      </c>
      <c r="S7" s="90">
        <v>0.15772393884436398</v>
      </c>
      <c r="U7" s="88">
        <v>-13</v>
      </c>
      <c r="V7" s="88">
        <v>-10.999999999999998</v>
      </c>
      <c r="W7" s="88">
        <v>2</v>
      </c>
      <c r="X7" s="91">
        <v>0</v>
      </c>
      <c r="Y7" s="235">
        <f t="shared" ref="Y7:Z10" si="2">(R7-N7)*100</f>
        <v>11.344224574321215</v>
      </c>
      <c r="Z7" s="235">
        <f t="shared" si="2"/>
        <v>-24.227606115563603</v>
      </c>
    </row>
    <row r="8" spans="1:26" s="1" customFormat="1" ht="14.5">
      <c r="A8" t="s">
        <v>251</v>
      </c>
      <c r="B8" s="79" t="s">
        <v>143</v>
      </c>
      <c r="C8" s="87">
        <v>0.48</v>
      </c>
      <c r="D8" s="87">
        <v>0.48</v>
      </c>
      <c r="E8" s="87">
        <v>0.43</v>
      </c>
      <c r="G8" s="88">
        <v>0</v>
      </c>
      <c r="H8" s="88">
        <v>-4.9999999999999991</v>
      </c>
      <c r="J8" s="89">
        <v>0.43</v>
      </c>
      <c r="K8" s="87">
        <v>0.47</v>
      </c>
      <c r="L8" s="87">
        <v>0.5</v>
      </c>
      <c r="M8" s="87">
        <v>0.49</v>
      </c>
      <c r="N8" s="89">
        <v>0.48</v>
      </c>
      <c r="O8" s="90">
        <v>0.36</v>
      </c>
      <c r="P8" s="90">
        <v>0.38</v>
      </c>
      <c r="Q8" s="90">
        <v>0.52</v>
      </c>
      <c r="R8" s="89">
        <v>0.37163483663138519</v>
      </c>
      <c r="S8" s="90">
        <v>0.6733033568281539</v>
      </c>
      <c r="U8" s="88">
        <v>4.9999999999999991</v>
      </c>
      <c r="V8" s="88">
        <v>-7.0000000000000009</v>
      </c>
      <c r="W8" s="88">
        <v>-12</v>
      </c>
      <c r="X8" s="91">
        <v>3.0000000000000027</v>
      </c>
      <c r="Y8" s="235">
        <f t="shared" si="2"/>
        <v>-10.836516336861479</v>
      </c>
      <c r="Z8" s="235">
        <f t="shared" si="2"/>
        <v>31.330335682815392</v>
      </c>
    </row>
    <row r="9" spans="1:26" s="1" customFormat="1" ht="14.5">
      <c r="A9" t="s">
        <v>252</v>
      </c>
      <c r="B9" s="79" t="s">
        <v>144</v>
      </c>
      <c r="C9" s="87">
        <v>0.02</v>
      </c>
      <c r="D9" s="87">
        <v>0.05</v>
      </c>
      <c r="E9" s="87">
        <v>0.08</v>
      </c>
      <c r="G9" s="88">
        <v>3.0000000000000004</v>
      </c>
      <c r="H9" s="88">
        <v>3</v>
      </c>
      <c r="J9" s="89">
        <v>0.05</v>
      </c>
      <c r="K9" s="87">
        <v>0.04</v>
      </c>
      <c r="L9" s="87">
        <v>0.05</v>
      </c>
      <c r="M9" s="87">
        <v>0.05</v>
      </c>
      <c r="N9" s="89">
        <v>0.08</v>
      </c>
      <c r="O9" s="90">
        <v>0.14000000000000001</v>
      </c>
      <c r="P9" s="90">
        <v>0.12</v>
      </c>
      <c r="Q9" s="92">
        <v>0</v>
      </c>
      <c r="R9" s="89">
        <v>0.12433847215830648</v>
      </c>
      <c r="S9" s="90">
        <v>2.4474404303435789E-2</v>
      </c>
      <c r="U9" s="88">
        <v>3</v>
      </c>
      <c r="V9" s="88">
        <v>9.0000000000000018</v>
      </c>
      <c r="W9" s="88">
        <v>7</v>
      </c>
      <c r="X9" s="91">
        <v>-5</v>
      </c>
      <c r="Y9" s="235">
        <f t="shared" si="2"/>
        <v>4.4338472158306486</v>
      </c>
      <c r="Z9" s="235">
        <f t="shared" si="2"/>
        <v>-11.552559569656424</v>
      </c>
    </row>
    <row r="10" spans="1:26" s="1" customFormat="1" ht="14.5">
      <c r="A10" t="s">
        <v>145</v>
      </c>
      <c r="B10" s="79" t="s">
        <v>145</v>
      </c>
      <c r="C10" s="87">
        <v>0.08</v>
      </c>
      <c r="D10" s="87">
        <v>0.03</v>
      </c>
      <c r="E10" s="87">
        <v>7.0000000000000007E-2</v>
      </c>
      <c r="G10" s="88">
        <v>-5</v>
      </c>
      <c r="H10" s="88">
        <v>4.0000000000000009</v>
      </c>
      <c r="J10" s="89">
        <v>0.01</v>
      </c>
      <c r="K10" s="87">
        <v>7.0000000000000007E-2</v>
      </c>
      <c r="L10" s="87">
        <v>0.02</v>
      </c>
      <c r="M10" s="87">
        <v>0.03</v>
      </c>
      <c r="N10" s="89">
        <v>0.06</v>
      </c>
      <c r="O10" s="90">
        <v>0.1</v>
      </c>
      <c r="P10" s="90">
        <v>0.05</v>
      </c>
      <c r="Q10" s="90">
        <v>0.05</v>
      </c>
      <c r="R10" s="89">
        <v>1.0584445467096137E-2</v>
      </c>
      <c r="S10" s="90">
        <v>0.14449830002404629</v>
      </c>
      <c r="U10" s="88">
        <v>5</v>
      </c>
      <c r="V10" s="88">
        <v>9.0000000000000018</v>
      </c>
      <c r="W10" s="88">
        <v>3</v>
      </c>
      <c r="X10" s="91">
        <v>2.0000000000000004</v>
      </c>
      <c r="Y10" s="235">
        <f t="shared" si="2"/>
        <v>-4.9415554532903858</v>
      </c>
      <c r="Z10" s="235">
        <f t="shared" si="2"/>
        <v>4.449830002404628</v>
      </c>
    </row>
    <row r="12" spans="1:26">
      <c r="C12" s="12"/>
      <c r="D12" s="12"/>
      <c r="E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4" spans="1:26">
      <c r="J14" s="1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C6E-DFD3-48EE-B398-2B7AFEB918E3}">
  <dimension ref="A4:AA21"/>
  <sheetViews>
    <sheetView showGridLines="0" topLeftCell="A4" zoomScaleNormal="100" workbookViewId="0">
      <pane xSplit="3" ySplit="4" topLeftCell="S8" activePane="bottomRight" state="frozen"/>
      <selection activeCell="A4" sqref="A4"/>
      <selection pane="topRight" activeCell="C4" sqref="C4"/>
      <selection pane="bottomLeft" activeCell="A8" sqref="A8"/>
      <selection pane="bottomRight" activeCell="AA9" sqref="AA9"/>
    </sheetView>
  </sheetViews>
  <sheetFormatPr defaultColWidth="9.1796875" defaultRowHeight="10"/>
  <cols>
    <col min="1" max="1" width="34.08984375" style="2" hidden="1" customWidth="1"/>
    <col min="2" max="2" width="8.54296875" style="2" customWidth="1"/>
    <col min="3" max="3" width="55.1796875" style="2" bestFit="1" customWidth="1"/>
    <col min="4" max="6" width="10.81640625" style="2" customWidth="1"/>
    <col min="7" max="7" width="2.54296875" style="2" customWidth="1"/>
    <col min="8" max="8" width="10.81640625" style="2" customWidth="1"/>
    <col min="9" max="9" width="11.54296875" style="2" bestFit="1" customWidth="1"/>
    <col min="10" max="10" width="9.1796875" style="2" customWidth="1"/>
    <col min="11" max="20" width="10.81640625" style="2" customWidth="1"/>
    <col min="21" max="21" width="2.54296875" style="2" customWidth="1"/>
    <col min="22" max="24" width="10.81640625" style="2" customWidth="1"/>
    <col min="25" max="25" width="9.81640625" style="2" bestFit="1" customWidth="1"/>
    <col min="26" max="26" width="9.1796875" style="2"/>
    <col min="27" max="27" width="9.1796875" style="322"/>
    <col min="28" max="16384" width="9.1796875" style="2"/>
  </cols>
  <sheetData>
    <row r="4" spans="1:27" ht="55.5" customHeight="1"/>
    <row r="6" spans="1:27">
      <c r="H6" s="3" t="s">
        <v>0</v>
      </c>
      <c r="I6" s="3" t="s">
        <v>0</v>
      </c>
      <c r="U6" s="1"/>
      <c r="V6" s="3" t="s">
        <v>0</v>
      </c>
      <c r="W6" s="3" t="s">
        <v>0</v>
      </c>
      <c r="X6" s="3" t="s">
        <v>0</v>
      </c>
      <c r="Y6" s="3" t="s">
        <v>0</v>
      </c>
      <c r="Z6" s="236" t="s">
        <v>0</v>
      </c>
      <c r="AA6" s="236" t="s">
        <v>0</v>
      </c>
    </row>
    <row r="7" spans="1:27" ht="20">
      <c r="C7" s="4" t="s">
        <v>94</v>
      </c>
      <c r="D7" s="5">
        <v>2019</v>
      </c>
      <c r="E7" s="5">
        <v>2020</v>
      </c>
      <c r="F7" s="5">
        <v>2021</v>
      </c>
      <c r="H7" s="5">
        <v>2020</v>
      </c>
      <c r="I7" s="5">
        <v>2021</v>
      </c>
      <c r="K7" s="8" t="s">
        <v>1</v>
      </c>
      <c r="L7" s="5" t="s">
        <v>2</v>
      </c>
      <c r="M7" s="5" t="s">
        <v>3</v>
      </c>
      <c r="N7" s="5" t="s">
        <v>4</v>
      </c>
      <c r="O7" s="8" t="s">
        <v>5</v>
      </c>
      <c r="P7" s="5" t="s">
        <v>25</v>
      </c>
      <c r="Q7" s="5" t="s">
        <v>176</v>
      </c>
      <c r="R7" s="5" t="s">
        <v>181</v>
      </c>
      <c r="S7" s="8" t="s">
        <v>206</v>
      </c>
      <c r="T7" s="78" t="s">
        <v>264</v>
      </c>
      <c r="U7" s="1"/>
      <c r="V7" s="93" t="s">
        <v>155</v>
      </c>
      <c r="W7" s="93" t="s">
        <v>177</v>
      </c>
      <c r="X7" s="93" t="s">
        <v>178</v>
      </c>
      <c r="Y7" s="93" t="s">
        <v>182</v>
      </c>
      <c r="Z7" s="237" t="s">
        <v>207</v>
      </c>
      <c r="AA7" s="237" t="s">
        <v>266</v>
      </c>
    </row>
    <row r="8" spans="1:27">
      <c r="B8" s="94" t="s">
        <v>91</v>
      </c>
      <c r="C8" s="49" t="s">
        <v>99</v>
      </c>
      <c r="D8" s="52">
        <f>SUM(D9:D11)</f>
        <v>275451</v>
      </c>
      <c r="E8" s="52">
        <f>SUM(E9:E11)</f>
        <v>397055</v>
      </c>
      <c r="F8" s="52">
        <f>SUM(F9:F11)</f>
        <v>502243</v>
      </c>
      <c r="H8" s="95">
        <v>0.441</v>
      </c>
      <c r="I8" s="95">
        <v>0.26500000000000001</v>
      </c>
      <c r="K8" s="52">
        <f t="shared" ref="K8:S8" si="0">SUM(K9:K11)</f>
        <v>304190</v>
      </c>
      <c r="L8" s="52">
        <f t="shared" si="0"/>
        <v>316575</v>
      </c>
      <c r="M8" s="52">
        <f t="shared" si="0"/>
        <v>365300</v>
      </c>
      <c r="N8" s="52">
        <f t="shared" si="0"/>
        <v>397055</v>
      </c>
      <c r="O8" s="52">
        <f t="shared" si="0"/>
        <v>462196</v>
      </c>
      <c r="P8" s="52">
        <f t="shared" si="0"/>
        <v>527377</v>
      </c>
      <c r="Q8" s="52">
        <f t="shared" si="0"/>
        <v>503934</v>
      </c>
      <c r="R8" s="52">
        <f t="shared" si="0"/>
        <v>502243</v>
      </c>
      <c r="S8" s="52">
        <f t="shared" si="0"/>
        <v>496765</v>
      </c>
      <c r="T8" s="52">
        <f>SUM(T9:T10)</f>
        <v>495827</v>
      </c>
      <c r="V8" s="238">
        <f t="shared" ref="V8:Y10" si="1">ROUND(O8/N8-1,3)</f>
        <v>0.16400000000000001</v>
      </c>
      <c r="W8" s="238">
        <f t="shared" si="1"/>
        <v>0.14099999999999999</v>
      </c>
      <c r="X8" s="238">
        <f t="shared" si="1"/>
        <v>-4.3999999999999997E-2</v>
      </c>
      <c r="Y8" s="238">
        <f t="shared" si="1"/>
        <v>-3.0000000000000001E-3</v>
      </c>
      <c r="Z8" s="238">
        <f>ROUND(S8/R8-1,3)</f>
        <v>-1.0999999999999999E-2</v>
      </c>
      <c r="AA8" s="238">
        <f>ROUND(T8/S8-1,3)</f>
        <v>-2E-3</v>
      </c>
    </row>
    <row r="9" spans="1:27">
      <c r="A9" s="2" t="s">
        <v>256</v>
      </c>
      <c r="B9" s="97"/>
      <c r="C9" s="98" t="s">
        <v>96</v>
      </c>
      <c r="D9" s="99">
        <v>228402</v>
      </c>
      <c r="E9" s="99">
        <v>357446</v>
      </c>
      <c r="F9" s="99">
        <v>381418</v>
      </c>
      <c r="H9" s="100">
        <v>0.56499999999999995</v>
      </c>
      <c r="I9" s="100">
        <v>6.7000000000000004E-2</v>
      </c>
      <c r="K9" s="101">
        <v>256167</v>
      </c>
      <c r="L9" s="99">
        <v>270294</v>
      </c>
      <c r="M9" s="99">
        <v>319679</v>
      </c>
      <c r="N9" s="99">
        <v>357446</v>
      </c>
      <c r="O9" s="101">
        <v>409467</v>
      </c>
      <c r="P9" s="99">
        <v>391885</v>
      </c>
      <c r="Q9" s="99">
        <v>382014</v>
      </c>
      <c r="R9" s="99">
        <v>381418</v>
      </c>
      <c r="S9" s="101">
        <v>383141</v>
      </c>
      <c r="T9" s="101">
        <v>407974</v>
      </c>
      <c r="V9" s="233">
        <f t="shared" si="1"/>
        <v>0.14599999999999999</v>
      </c>
      <c r="W9" s="233">
        <f t="shared" si="1"/>
        <v>-4.2999999999999997E-2</v>
      </c>
      <c r="X9" s="233">
        <f t="shared" si="1"/>
        <v>-2.5000000000000001E-2</v>
      </c>
      <c r="Y9" s="233">
        <f t="shared" si="1"/>
        <v>-2E-3</v>
      </c>
      <c r="Z9" s="233">
        <f t="shared" ref="Z9:AA14" si="2">ROUND(S9/R9-1,3)</f>
        <v>5.0000000000000001E-3</v>
      </c>
      <c r="AA9" s="233">
        <f t="shared" si="2"/>
        <v>6.5000000000000002E-2</v>
      </c>
    </row>
    <row r="10" spans="1:27">
      <c r="A10" s="2" t="s">
        <v>58</v>
      </c>
      <c r="B10" s="97"/>
      <c r="C10" s="98" t="s">
        <v>58</v>
      </c>
      <c r="D10" s="99">
        <v>34776</v>
      </c>
      <c r="E10" s="99">
        <v>39609</v>
      </c>
      <c r="F10" s="99">
        <v>120825</v>
      </c>
      <c r="H10" s="100">
        <v>0.13900000000000001</v>
      </c>
      <c r="I10" s="100">
        <v>2.0499999999999998</v>
      </c>
      <c r="K10" s="101">
        <v>35625</v>
      </c>
      <c r="L10" s="99">
        <v>33791</v>
      </c>
      <c r="M10" s="99">
        <v>33067</v>
      </c>
      <c r="N10" s="99">
        <v>39609</v>
      </c>
      <c r="O10" s="101">
        <v>52729</v>
      </c>
      <c r="P10" s="99">
        <v>135492</v>
      </c>
      <c r="Q10" s="99">
        <v>121920</v>
      </c>
      <c r="R10" s="99">
        <v>120825</v>
      </c>
      <c r="S10" s="101">
        <v>113624</v>
      </c>
      <c r="T10" s="101">
        <v>87853</v>
      </c>
      <c r="V10" s="233">
        <f t="shared" si="1"/>
        <v>0.33100000000000002</v>
      </c>
      <c r="W10" s="233">
        <f t="shared" si="1"/>
        <v>1.57</v>
      </c>
      <c r="X10" s="233">
        <f t="shared" si="1"/>
        <v>-0.1</v>
      </c>
      <c r="Y10" s="233">
        <f t="shared" si="1"/>
        <v>-8.9999999999999993E-3</v>
      </c>
      <c r="Z10" s="233">
        <f t="shared" si="2"/>
        <v>-0.06</v>
      </c>
      <c r="AA10" s="233">
        <f t="shared" si="2"/>
        <v>-0.22700000000000001</v>
      </c>
    </row>
    <row r="11" spans="1:27">
      <c r="A11" s="2" t="s">
        <v>97</v>
      </c>
      <c r="B11" s="97"/>
      <c r="C11" s="98" t="s">
        <v>97</v>
      </c>
      <c r="D11" s="99">
        <v>12273</v>
      </c>
      <c r="E11" s="99">
        <v>0</v>
      </c>
      <c r="F11" s="99">
        <v>0</v>
      </c>
      <c r="H11" s="99">
        <v>0</v>
      </c>
      <c r="I11" s="99">
        <v>0</v>
      </c>
      <c r="K11" s="101">
        <v>12398</v>
      </c>
      <c r="L11" s="99">
        <v>12490</v>
      </c>
      <c r="M11" s="99">
        <v>12554</v>
      </c>
      <c r="N11" s="99">
        <v>0</v>
      </c>
      <c r="O11" s="101">
        <v>0</v>
      </c>
      <c r="P11" s="99">
        <v>0</v>
      </c>
      <c r="Q11" s="99">
        <v>0</v>
      </c>
      <c r="R11" s="99">
        <v>0</v>
      </c>
      <c r="S11" s="101">
        <v>0</v>
      </c>
      <c r="T11" s="101">
        <v>0</v>
      </c>
      <c r="V11" s="102">
        <v>0</v>
      </c>
      <c r="W11" s="102">
        <v>0</v>
      </c>
      <c r="X11" s="102">
        <v>0</v>
      </c>
      <c r="Y11" s="102">
        <v>0</v>
      </c>
      <c r="Z11" s="239">
        <v>0</v>
      </c>
      <c r="AA11" s="239">
        <v>0</v>
      </c>
    </row>
    <row r="12" spans="1:27">
      <c r="A12" s="2" t="s">
        <v>258</v>
      </c>
      <c r="B12" s="94" t="s">
        <v>92</v>
      </c>
      <c r="C12" s="49" t="s">
        <v>100</v>
      </c>
      <c r="D12" s="53">
        <v>-99430</v>
      </c>
      <c r="E12" s="53">
        <v>-417199</v>
      </c>
      <c r="F12" s="103">
        <v>-203461</v>
      </c>
      <c r="H12" s="104">
        <v>3.1960000000000002</v>
      </c>
      <c r="I12" s="96">
        <v>-0.51200000000000001</v>
      </c>
      <c r="K12" s="105">
        <v>-72098</v>
      </c>
      <c r="L12" s="103">
        <v>-80402</v>
      </c>
      <c r="M12" s="103">
        <v>-122513</v>
      </c>
      <c r="N12" s="103">
        <v>-417199</v>
      </c>
      <c r="O12" s="105">
        <v>-356842</v>
      </c>
      <c r="P12" s="103">
        <v>-325946</v>
      </c>
      <c r="Q12" s="103">
        <v>-244065</v>
      </c>
      <c r="R12" s="103">
        <v>-203461</v>
      </c>
      <c r="S12" s="103">
        <v>-198960</v>
      </c>
      <c r="T12" s="103">
        <v>-168050</v>
      </c>
      <c r="V12" s="238">
        <f t="shared" ref="V12" si="3">ROUND(O12/N12-1,3)</f>
        <v>-0.14499999999999999</v>
      </c>
      <c r="W12" s="238">
        <f t="shared" ref="W12" si="4">ROUND(P12/O12-1,3)</f>
        <v>-8.6999999999999994E-2</v>
      </c>
      <c r="X12" s="238">
        <f t="shared" ref="X12" si="5">ROUND(Q12/P12-1,3)</f>
        <v>-0.251</v>
      </c>
      <c r="Y12" s="238">
        <f t="shared" ref="Y12" si="6">ROUND(R12/Q12-1,3)</f>
        <v>-0.16600000000000001</v>
      </c>
      <c r="Z12" s="238">
        <f t="shared" si="2"/>
        <v>-2.1999999999999999E-2</v>
      </c>
      <c r="AA12" s="238">
        <f t="shared" si="2"/>
        <v>-0.155</v>
      </c>
    </row>
    <row r="13" spans="1:27">
      <c r="B13" s="106" t="s">
        <v>95</v>
      </c>
      <c r="C13" s="83" t="s">
        <v>101</v>
      </c>
      <c r="D13" s="107">
        <f>D8+D12</f>
        <v>176021</v>
      </c>
      <c r="E13" s="107">
        <f>E8+E12</f>
        <v>-20144</v>
      </c>
      <c r="F13" s="107">
        <f>F8+F12</f>
        <v>298782</v>
      </c>
      <c r="H13" s="86" t="s">
        <v>153</v>
      </c>
      <c r="I13" s="108" t="s">
        <v>153</v>
      </c>
      <c r="K13" s="107">
        <f t="shared" ref="K13:T13" si="7">K8+K12</f>
        <v>232092</v>
      </c>
      <c r="L13" s="107">
        <f t="shared" si="7"/>
        <v>236173</v>
      </c>
      <c r="M13" s="107">
        <f t="shared" si="7"/>
        <v>242787</v>
      </c>
      <c r="N13" s="107">
        <f t="shared" si="7"/>
        <v>-20144</v>
      </c>
      <c r="O13" s="107">
        <f t="shared" si="7"/>
        <v>105354</v>
      </c>
      <c r="P13" s="107">
        <f t="shared" si="7"/>
        <v>201431</v>
      </c>
      <c r="Q13" s="107">
        <f t="shared" si="7"/>
        <v>259869</v>
      </c>
      <c r="R13" s="107">
        <f t="shared" si="7"/>
        <v>298782</v>
      </c>
      <c r="S13" s="107">
        <f t="shared" si="7"/>
        <v>297805</v>
      </c>
      <c r="T13" s="107">
        <f t="shared" si="7"/>
        <v>327777</v>
      </c>
      <c r="V13" s="240">
        <f t="shared" ref="V13" si="8">ROUND(O13/N13-1,3)</f>
        <v>-6.23</v>
      </c>
      <c r="W13" s="240">
        <f t="shared" ref="W13" si="9">ROUND(P13/O13-1,3)</f>
        <v>0.91200000000000003</v>
      </c>
      <c r="X13" s="240">
        <f t="shared" ref="X13" si="10">ROUND(Q13/P13-1,3)</f>
        <v>0.28999999999999998</v>
      </c>
      <c r="Y13" s="240">
        <f t="shared" ref="Y13" si="11">ROUND(R13/Q13-1,3)</f>
        <v>0.15</v>
      </c>
      <c r="Z13" s="301">
        <f t="shared" si="2"/>
        <v>-3.0000000000000001E-3</v>
      </c>
      <c r="AA13" s="301">
        <f t="shared" si="2"/>
        <v>0.10100000000000001</v>
      </c>
    </row>
    <row r="14" spans="1:27">
      <c r="A14" s="2" t="s">
        <v>257</v>
      </c>
      <c r="B14" s="97" t="s">
        <v>102</v>
      </c>
      <c r="C14" s="42" t="s">
        <v>147</v>
      </c>
      <c r="D14" s="99">
        <v>64860</v>
      </c>
      <c r="E14" s="99">
        <v>113490</v>
      </c>
      <c r="F14" s="99">
        <v>184043</v>
      </c>
      <c r="H14" s="100">
        <v>0.75</v>
      </c>
      <c r="I14" s="100">
        <v>0.622</v>
      </c>
      <c r="K14" s="101">
        <v>64669</v>
      </c>
      <c r="L14" s="99">
        <v>76754</v>
      </c>
      <c r="M14" s="99">
        <v>97997</v>
      </c>
      <c r="N14" s="99">
        <v>113490</v>
      </c>
      <c r="O14" s="101">
        <v>132088</v>
      </c>
      <c r="P14" s="99">
        <v>151046</v>
      </c>
      <c r="Q14" s="99">
        <v>169372</v>
      </c>
      <c r="R14" s="99">
        <v>184043</v>
      </c>
      <c r="S14" s="99">
        <v>201522.07166493448</v>
      </c>
      <c r="T14" s="99">
        <v>229427</v>
      </c>
      <c r="V14" s="241">
        <f t="shared" ref="V14" si="12">ROUND(O14/N14-1,3)</f>
        <v>0.16400000000000001</v>
      </c>
      <c r="W14" s="241">
        <f t="shared" ref="W14" si="13">ROUND(P14/O14-1,3)</f>
        <v>0.14399999999999999</v>
      </c>
      <c r="X14" s="241">
        <f t="shared" ref="X14" si="14">ROUND(Q14/P14-1,3)</f>
        <v>0.121</v>
      </c>
      <c r="Y14" s="241">
        <f t="shared" ref="Y14" si="15">ROUND(R14/Q14-1,3)</f>
        <v>8.6999999999999994E-2</v>
      </c>
      <c r="Z14" s="241">
        <f t="shared" si="2"/>
        <v>9.5000000000000001E-2</v>
      </c>
      <c r="AA14" s="241">
        <f t="shared" si="2"/>
        <v>0.13800000000000001</v>
      </c>
    </row>
    <row r="15" spans="1:27">
      <c r="B15" s="109" t="s">
        <v>103</v>
      </c>
      <c r="C15" s="110" t="s">
        <v>98</v>
      </c>
      <c r="D15" s="111">
        <f t="shared" ref="D15" si="16">D13/D14</f>
        <v>2.7138606228800493</v>
      </c>
      <c r="E15" s="111">
        <f t="shared" ref="E15" si="17">E13/E14</f>
        <v>-0.17749581460921668</v>
      </c>
      <c r="F15" s="111">
        <f t="shared" ref="F15" si="18">F13/F14</f>
        <v>1.623435827496835</v>
      </c>
      <c r="H15" s="111">
        <f>E15-D15</f>
        <v>-2.8913564374892657</v>
      </c>
      <c r="I15" s="111">
        <f>F15-E15</f>
        <v>1.8009316421060517</v>
      </c>
      <c r="K15" s="111">
        <f t="shared" ref="K15:R15" si="19">K13/K14</f>
        <v>3.58892204920441</v>
      </c>
      <c r="L15" s="111">
        <f t="shared" si="19"/>
        <v>3.0770122729760012</v>
      </c>
      <c r="M15" s="111">
        <f t="shared" si="19"/>
        <v>2.4774942090063981</v>
      </c>
      <c r="N15" s="111">
        <f t="shared" si="19"/>
        <v>-0.17749581460921668</v>
      </c>
      <c r="O15" s="111">
        <f t="shared" si="19"/>
        <v>0.79760462721821812</v>
      </c>
      <c r="P15" s="111">
        <f t="shared" si="19"/>
        <v>1.3335738781563233</v>
      </c>
      <c r="Q15" s="111">
        <f t="shared" si="19"/>
        <v>1.5343090947736344</v>
      </c>
      <c r="R15" s="111">
        <f t="shared" si="19"/>
        <v>1.623435827496835</v>
      </c>
      <c r="S15" s="111">
        <f>S13/S14</f>
        <v>1.4777785755158008</v>
      </c>
      <c r="T15" s="111">
        <f>T13/T14</f>
        <v>1.4286766596782419</v>
      </c>
      <c r="V15" s="111">
        <f t="shared" ref="V15:AA15" si="20">O15-N15</f>
        <v>0.97510044182743483</v>
      </c>
      <c r="W15" s="111">
        <f t="shared" si="20"/>
        <v>0.53596925093810521</v>
      </c>
      <c r="X15" s="111">
        <f t="shared" si="20"/>
        <v>0.20073521661731109</v>
      </c>
      <c r="Y15" s="111">
        <f t="shared" si="20"/>
        <v>8.9126732723200597E-2</v>
      </c>
      <c r="Z15" s="111">
        <f t="shared" si="20"/>
        <v>-0.14565725198103419</v>
      </c>
      <c r="AA15" s="111">
        <f t="shared" si="20"/>
        <v>-4.9101915837558963E-2</v>
      </c>
    </row>
    <row r="17" spans="2:20">
      <c r="B17" s="331" t="s">
        <v>189</v>
      </c>
      <c r="C17" s="331"/>
      <c r="D17" s="331"/>
      <c r="E17" s="331"/>
      <c r="F17" s="331"/>
      <c r="G17" s="331"/>
      <c r="H17" s="331"/>
      <c r="I17" s="331"/>
      <c r="J17" s="331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2:20">
      <c r="B18" s="331"/>
      <c r="C18" s="331"/>
      <c r="D18" s="331"/>
      <c r="E18" s="331"/>
      <c r="F18" s="331"/>
      <c r="G18" s="331"/>
      <c r="H18" s="331"/>
      <c r="I18" s="331"/>
      <c r="J18" s="331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2:20">
      <c r="B19" s="331"/>
      <c r="C19" s="331"/>
      <c r="D19" s="331"/>
      <c r="E19" s="331"/>
      <c r="F19" s="331"/>
      <c r="G19" s="331"/>
      <c r="H19" s="331"/>
      <c r="I19" s="331"/>
      <c r="J19" s="331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2:20">
      <c r="B20" s="331"/>
      <c r="C20" s="331"/>
      <c r="D20" s="331"/>
      <c r="E20" s="331"/>
      <c r="F20" s="331"/>
      <c r="G20" s="331"/>
      <c r="H20" s="331"/>
      <c r="I20" s="331"/>
      <c r="J20" s="331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2:20">
      <c r="B21" s="331"/>
      <c r="C21" s="331"/>
      <c r="D21" s="331"/>
      <c r="E21" s="331"/>
      <c r="F21" s="331"/>
      <c r="G21" s="331"/>
      <c r="H21" s="331"/>
      <c r="I21" s="331"/>
      <c r="J21" s="331"/>
      <c r="K21" s="45"/>
      <c r="L21" s="45"/>
      <c r="M21" s="45"/>
      <c r="N21" s="45"/>
      <c r="O21" s="45"/>
      <c r="P21" s="45"/>
      <c r="Q21" s="45"/>
      <c r="R21" s="45"/>
      <c r="S21" s="45"/>
      <c r="T21" s="45"/>
    </row>
  </sheetData>
  <mergeCells count="1">
    <mergeCell ref="B17:J21"/>
  </mergeCells>
  <pageMargins left="0.511811024" right="0.511811024" top="0.78740157499999996" bottom="0.78740157499999996" header="0.31496062000000002" footer="0.31496062000000002"/>
  <ignoredErrors>
    <ignoredError sqref="K8:T8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734B-5DDC-46E5-A006-0E60B91FB3EA}">
  <dimension ref="A1:XFC54"/>
  <sheetViews>
    <sheetView showGridLines="0" tabSelected="1" zoomScaleNormal="100" workbookViewId="0">
      <pane xSplit="2" ySplit="5" topLeftCell="T6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defaultColWidth="9.1796875" defaultRowHeight="10"/>
  <cols>
    <col min="1" max="1" width="22.453125" style="2" customWidth="1"/>
    <col min="2" max="2" width="67.08984375" style="2" customWidth="1"/>
    <col min="3" max="5" width="12.26953125" style="2" customWidth="1"/>
    <col min="6" max="6" width="2.54296875" style="2" customWidth="1"/>
    <col min="7" max="8" width="10.81640625" style="2" customWidth="1"/>
    <col min="9" max="9" width="9.1796875" style="2" customWidth="1"/>
    <col min="10" max="19" width="12.26953125" style="2" customWidth="1"/>
    <col min="20" max="20" width="5.54296875" style="2" bestFit="1" customWidth="1"/>
    <col min="21" max="26" width="10.81640625" style="2" customWidth="1"/>
    <col min="27" max="16384" width="9.1796875" style="2"/>
  </cols>
  <sheetData>
    <row r="1" spans="1:26" ht="55.5" customHeight="1"/>
    <row r="3" spans="1:26">
      <c r="G3" s="3" t="s">
        <v>0</v>
      </c>
      <c r="H3" s="3" t="s">
        <v>0</v>
      </c>
      <c r="U3" s="3" t="s">
        <v>0</v>
      </c>
      <c r="V3" s="3" t="s">
        <v>0</v>
      </c>
      <c r="W3" s="3" t="s">
        <v>0</v>
      </c>
      <c r="X3" s="3" t="s">
        <v>0</v>
      </c>
      <c r="Y3" s="3" t="s">
        <v>0</v>
      </c>
      <c r="Z3" s="3" t="s">
        <v>0</v>
      </c>
    </row>
    <row r="4" spans="1:26">
      <c r="A4" s="112"/>
      <c r="B4" s="112" t="s">
        <v>132</v>
      </c>
      <c r="C4" s="5">
        <v>2019</v>
      </c>
      <c r="D4" s="5">
        <v>2020</v>
      </c>
      <c r="E4" s="5">
        <v>2021</v>
      </c>
      <c r="F4" s="304"/>
      <c r="G4" s="5">
        <v>2020</v>
      </c>
      <c r="H4" s="5">
        <v>2021</v>
      </c>
      <c r="I4" s="305"/>
      <c r="J4" s="8" t="s">
        <v>1</v>
      </c>
      <c r="K4" s="5" t="s">
        <v>2</v>
      </c>
      <c r="L4" s="5" t="s">
        <v>3</v>
      </c>
      <c r="M4" s="5" t="s">
        <v>4</v>
      </c>
      <c r="N4" s="229" t="s">
        <v>5</v>
      </c>
      <c r="O4" s="5" t="s">
        <v>25</v>
      </c>
      <c r="P4" s="5" t="s">
        <v>176</v>
      </c>
      <c r="Q4" s="5" t="s">
        <v>181</v>
      </c>
      <c r="R4" s="229" t="s">
        <v>206</v>
      </c>
      <c r="S4" s="229" t="s">
        <v>264</v>
      </c>
      <c r="U4" s="5" t="s">
        <v>5</v>
      </c>
      <c r="V4" s="5" t="s">
        <v>25</v>
      </c>
      <c r="W4" s="5" t="s">
        <v>176</v>
      </c>
      <c r="X4" s="5" t="s">
        <v>181</v>
      </c>
      <c r="Y4" s="229" t="s">
        <v>206</v>
      </c>
      <c r="Z4" s="229" t="s">
        <v>264</v>
      </c>
    </row>
    <row r="5" spans="1:26">
      <c r="A5" s="113"/>
      <c r="B5" s="113"/>
      <c r="C5" s="113"/>
      <c r="D5" s="113"/>
      <c r="E5" s="113"/>
      <c r="F5" s="113"/>
      <c r="G5" s="113"/>
      <c r="H5" s="113"/>
      <c r="I5" s="113"/>
      <c r="J5" s="114"/>
      <c r="K5" s="114"/>
      <c r="L5" s="114"/>
      <c r="M5" s="114"/>
      <c r="N5" s="242"/>
      <c r="O5" s="114"/>
      <c r="P5" s="114"/>
      <c r="Q5" s="114"/>
      <c r="R5" s="242"/>
      <c r="S5" s="242"/>
      <c r="U5" s="113"/>
      <c r="V5" s="113"/>
      <c r="W5" s="113"/>
      <c r="X5" s="113"/>
      <c r="Y5" s="247"/>
      <c r="Z5" s="247"/>
    </row>
    <row r="6" spans="1:26">
      <c r="A6" s="115"/>
      <c r="B6" s="116" t="s">
        <v>104</v>
      </c>
      <c r="C6" s="117">
        <v>607898</v>
      </c>
      <c r="D6" s="117">
        <v>1180036</v>
      </c>
      <c r="E6" s="117">
        <v>1808895.7625000007</v>
      </c>
      <c r="F6" s="134"/>
      <c r="G6" s="118">
        <f t="shared" ref="G6:H10" si="0">D6/C6-1</f>
        <v>0.9411743417481222</v>
      </c>
      <c r="H6" s="118">
        <f t="shared" si="0"/>
        <v>0.5329157436722276</v>
      </c>
      <c r="I6" s="306"/>
      <c r="J6" s="117">
        <v>192794</v>
      </c>
      <c r="K6" s="117">
        <v>248390.13623999892</v>
      </c>
      <c r="L6" s="117">
        <v>329296</v>
      </c>
      <c r="M6" s="117">
        <v>409556</v>
      </c>
      <c r="N6" s="243">
        <v>387168</v>
      </c>
      <c r="O6" s="117">
        <v>436654.8017700006</v>
      </c>
      <c r="P6" s="117">
        <v>445887</v>
      </c>
      <c r="Q6" s="117">
        <v>539185.93213000009</v>
      </c>
      <c r="R6" s="243">
        <v>538051.52520999999</v>
      </c>
      <c r="S6" s="243">
        <v>594959.20210999984</v>
      </c>
      <c r="U6" s="248">
        <f t="shared" ref="U6:Z6" si="1">ROUND(N6/J6-1,3)</f>
        <v>1.008</v>
      </c>
      <c r="V6" s="248">
        <f t="shared" si="1"/>
        <v>0.75800000000000001</v>
      </c>
      <c r="W6" s="248">
        <f t="shared" si="1"/>
        <v>0.35399999999999998</v>
      </c>
      <c r="X6" s="248">
        <f t="shared" si="1"/>
        <v>0.317</v>
      </c>
      <c r="Y6" s="248">
        <f t="shared" si="1"/>
        <v>0.39</v>
      </c>
      <c r="Z6" s="248">
        <f t="shared" si="1"/>
        <v>0.36299999999999999</v>
      </c>
    </row>
    <row r="7" spans="1:26">
      <c r="A7" s="119"/>
      <c r="B7" s="120" t="s">
        <v>26</v>
      </c>
      <c r="C7" s="121">
        <v>527263</v>
      </c>
      <c r="D7" s="121">
        <v>998109</v>
      </c>
      <c r="E7" s="121">
        <v>1520356.6511874257</v>
      </c>
      <c r="F7" s="307"/>
      <c r="G7" s="122">
        <f t="shared" si="0"/>
        <v>0.89300026741872651</v>
      </c>
      <c r="H7" s="122">
        <f t="shared" si="0"/>
        <v>0.52323709252939876</v>
      </c>
      <c r="I7" s="306"/>
      <c r="J7" s="121">
        <v>165286</v>
      </c>
      <c r="K7" s="121">
        <v>211214.77965882403</v>
      </c>
      <c r="L7" s="121">
        <v>277542</v>
      </c>
      <c r="M7" s="121">
        <v>344066</v>
      </c>
      <c r="N7" s="244">
        <v>326440</v>
      </c>
      <c r="O7" s="121">
        <v>368885.8958174006</v>
      </c>
      <c r="P7" s="121">
        <v>374167</v>
      </c>
      <c r="Q7" s="121">
        <v>450864.33318447508</v>
      </c>
      <c r="R7" s="121">
        <v>449139.6932808999</v>
      </c>
      <c r="S7" s="244">
        <v>496445.83783147502</v>
      </c>
      <c r="U7" s="254">
        <f t="shared" ref="U7:Z23" si="2">ROUND(N7/J7-1,3)</f>
        <v>0.97499999999999998</v>
      </c>
      <c r="V7" s="254">
        <f t="shared" si="2"/>
        <v>0.746</v>
      </c>
      <c r="W7" s="254">
        <f t="shared" si="2"/>
        <v>0.34799999999999998</v>
      </c>
      <c r="X7" s="254">
        <f t="shared" si="2"/>
        <v>0.31</v>
      </c>
      <c r="Y7" s="254">
        <f t="shared" si="2"/>
        <v>0.376</v>
      </c>
      <c r="Z7" s="254">
        <f t="shared" si="2"/>
        <v>0.34599999999999997</v>
      </c>
    </row>
    <row r="8" spans="1:26">
      <c r="A8" s="124" t="s">
        <v>91</v>
      </c>
      <c r="B8" s="116" t="s">
        <v>105</v>
      </c>
      <c r="C8" s="117">
        <v>-422652</v>
      </c>
      <c r="D8" s="117">
        <v>-782679</v>
      </c>
      <c r="E8" s="117">
        <v>-1253941.3739128478</v>
      </c>
      <c r="F8" s="134"/>
      <c r="G8" s="118">
        <f t="shared" si="0"/>
        <v>0.85182845461514445</v>
      </c>
      <c r="H8" s="118">
        <f t="shared" si="0"/>
        <v>0.6021144989361511</v>
      </c>
      <c r="I8" s="306"/>
      <c r="J8" s="117">
        <v>-134472</v>
      </c>
      <c r="K8" s="117">
        <v>-167213</v>
      </c>
      <c r="L8" s="117">
        <v>-214625</v>
      </c>
      <c r="M8" s="117">
        <v>-266369</v>
      </c>
      <c r="N8" s="243">
        <v>-271344</v>
      </c>
      <c r="O8" s="243">
        <f>SUM(O9:O12)</f>
        <v>-310800.40829739982</v>
      </c>
      <c r="P8" s="243">
        <f>SUM(P9:P12)</f>
        <v>-306692</v>
      </c>
      <c r="Q8" s="243">
        <f>SUM(Q9:Q12)</f>
        <v>-365106.48992989812</v>
      </c>
      <c r="R8" s="243">
        <f>SUM(R9:R12)</f>
        <v>-367615.07696089998</v>
      </c>
      <c r="S8" s="243">
        <f>SUM(S9:S12)</f>
        <v>-406226.81341147504</v>
      </c>
      <c r="U8" s="255">
        <f t="shared" si="2"/>
        <v>1.018</v>
      </c>
      <c r="V8" s="255">
        <f t="shared" si="2"/>
        <v>0.85899999999999999</v>
      </c>
      <c r="W8" s="255">
        <f t="shared" si="2"/>
        <v>0.42899999999999999</v>
      </c>
      <c r="X8" s="255">
        <f t="shared" si="2"/>
        <v>0.371</v>
      </c>
      <c r="Y8" s="255">
        <f t="shared" si="2"/>
        <v>0.35499999999999998</v>
      </c>
      <c r="Z8" s="255">
        <f t="shared" si="2"/>
        <v>0.307</v>
      </c>
    </row>
    <row r="9" spans="1:26">
      <c r="A9" s="124"/>
      <c r="B9" s="126" t="s">
        <v>106</v>
      </c>
      <c r="C9" s="121">
        <v>-401786</v>
      </c>
      <c r="D9" s="121">
        <v>-738927</v>
      </c>
      <c r="E9" s="121">
        <v>-1172047.3779474248</v>
      </c>
      <c r="F9" s="308"/>
      <c r="G9" s="122">
        <f t="shared" si="0"/>
        <v>0.83910589219136544</v>
      </c>
      <c r="H9" s="122">
        <f t="shared" si="0"/>
        <v>0.58614772223430034</v>
      </c>
      <c r="I9" s="306"/>
      <c r="J9" s="121">
        <v>-127829</v>
      </c>
      <c r="K9" s="121">
        <v>-157822.08176882396</v>
      </c>
      <c r="L9" s="121">
        <v>-204474</v>
      </c>
      <c r="M9" s="121">
        <v>-248802</v>
      </c>
      <c r="N9" s="244">
        <v>-251937</v>
      </c>
      <c r="O9" s="121">
        <v>-290296.88681739982</v>
      </c>
      <c r="P9" s="121">
        <v>-285846</v>
      </c>
      <c r="Q9" s="121">
        <v>-343968.81035447499</v>
      </c>
      <c r="R9" s="121">
        <v>-349615.63115089998</v>
      </c>
      <c r="S9" s="244">
        <v>-389138.887081475</v>
      </c>
      <c r="U9" s="254">
        <f t="shared" si="2"/>
        <v>0.97099999999999997</v>
      </c>
      <c r="V9" s="254">
        <f t="shared" si="2"/>
        <v>0.83899999999999997</v>
      </c>
      <c r="W9" s="254">
        <f t="shared" si="2"/>
        <v>0.39800000000000002</v>
      </c>
      <c r="X9" s="254">
        <f t="shared" si="2"/>
        <v>0.38300000000000001</v>
      </c>
      <c r="Y9" s="254">
        <f t="shared" si="2"/>
        <v>0.38800000000000001</v>
      </c>
      <c r="Z9" s="254">
        <f t="shared" si="2"/>
        <v>0.34</v>
      </c>
    </row>
    <row r="10" spans="1:26">
      <c r="A10" s="124" t="s">
        <v>107</v>
      </c>
      <c r="B10" s="126" t="s">
        <v>108</v>
      </c>
      <c r="C10" s="121">
        <v>-6126</v>
      </c>
      <c r="D10" s="121">
        <v>-6832</v>
      </c>
      <c r="E10" s="121">
        <v>-9863.92929</v>
      </c>
      <c r="F10" s="308"/>
      <c r="G10" s="122">
        <f t="shared" si="0"/>
        <v>0.11524649036891943</v>
      </c>
      <c r="H10" s="122">
        <f t="shared" si="0"/>
        <v>0.44378356118266971</v>
      </c>
      <c r="I10" s="306"/>
      <c r="J10" s="121">
        <v>-1526</v>
      </c>
      <c r="K10" s="121">
        <v>-1560.1609199999905</v>
      </c>
      <c r="L10" s="121">
        <v>-1573</v>
      </c>
      <c r="M10" s="121">
        <v>-2173</v>
      </c>
      <c r="N10" s="244">
        <v>-2197</v>
      </c>
      <c r="O10" s="121">
        <v>-1428.3595599999976</v>
      </c>
      <c r="P10" s="121">
        <v>-2976</v>
      </c>
      <c r="Q10" s="121">
        <v>-3262.9411800000007</v>
      </c>
      <c r="R10" s="121">
        <v>-3295.3209000000002</v>
      </c>
      <c r="S10" s="244">
        <v>-1838.506239999999</v>
      </c>
      <c r="U10" s="256">
        <f t="shared" si="2"/>
        <v>0.44</v>
      </c>
      <c r="V10" s="256">
        <f t="shared" si="2"/>
        <v>-8.4000000000000005E-2</v>
      </c>
      <c r="W10" s="256">
        <f t="shared" si="2"/>
        <v>0.89200000000000002</v>
      </c>
      <c r="X10" s="256">
        <f t="shared" si="2"/>
        <v>0.502</v>
      </c>
      <c r="Y10" s="256">
        <f t="shared" si="2"/>
        <v>0.5</v>
      </c>
      <c r="Z10" s="256">
        <f t="shared" si="2"/>
        <v>0.28699999999999998</v>
      </c>
    </row>
    <row r="11" spans="1:26">
      <c r="A11" s="124" t="s">
        <v>109</v>
      </c>
      <c r="B11" s="126" t="s">
        <v>262</v>
      </c>
      <c r="C11" s="121">
        <v>0</v>
      </c>
      <c r="D11" s="121">
        <v>-4975</v>
      </c>
      <c r="E11" s="121">
        <v>-14226.563865423081</v>
      </c>
      <c r="F11" s="308"/>
      <c r="G11" s="122" t="s">
        <v>153</v>
      </c>
      <c r="H11" s="122">
        <f>E11/D11-1</f>
        <v>1.8596108272207199</v>
      </c>
      <c r="I11" s="306"/>
      <c r="J11" s="121">
        <v>0</v>
      </c>
      <c r="K11" s="121">
        <v>0</v>
      </c>
      <c r="L11" s="121">
        <v>0</v>
      </c>
      <c r="M11" s="121">
        <v>-4975</v>
      </c>
      <c r="N11" s="244">
        <v>-2097</v>
      </c>
      <c r="O11" s="121">
        <v>-4210.0485999999992</v>
      </c>
      <c r="P11" s="121">
        <v>-4036</v>
      </c>
      <c r="Q11" s="121">
        <v>-3883.0967754230801</v>
      </c>
      <c r="R11" s="121">
        <v>0</v>
      </c>
      <c r="S11" s="244">
        <v>0</v>
      </c>
      <c r="U11" s="121">
        <v>0</v>
      </c>
      <c r="V11" s="121">
        <v>0</v>
      </c>
      <c r="W11" s="233"/>
      <c r="X11" s="233">
        <f t="shared" si="2"/>
        <v>-0.219</v>
      </c>
      <c r="Y11" s="233">
        <f t="shared" si="2"/>
        <v>-1</v>
      </c>
      <c r="Z11" s="233">
        <f t="shared" si="2"/>
        <v>-1</v>
      </c>
    </row>
    <row r="12" spans="1:26">
      <c r="A12" s="124" t="s">
        <v>110</v>
      </c>
      <c r="B12" s="126" t="s">
        <v>111</v>
      </c>
      <c r="C12" s="121">
        <v>-14741</v>
      </c>
      <c r="D12" s="121">
        <v>-31944</v>
      </c>
      <c r="E12" s="121">
        <v>-57803.502810000005</v>
      </c>
      <c r="F12" s="308"/>
      <c r="G12" s="122">
        <v>1.167</v>
      </c>
      <c r="H12" s="122">
        <f>E12/D12-1</f>
        <v>0.80952613354620606</v>
      </c>
      <c r="I12" s="306"/>
      <c r="J12" s="121">
        <v>-5118</v>
      </c>
      <c r="K12" s="121">
        <v>-7830.2820600000005</v>
      </c>
      <c r="L12" s="121">
        <v>-8578</v>
      </c>
      <c r="M12" s="121">
        <v>-10418</v>
      </c>
      <c r="N12" s="244">
        <v>-15113</v>
      </c>
      <c r="O12" s="121">
        <v>-14865.11332</v>
      </c>
      <c r="P12" s="121">
        <v>-13834</v>
      </c>
      <c r="Q12" s="121">
        <v>-13991.64162</v>
      </c>
      <c r="R12" s="121">
        <v>-14704.12491</v>
      </c>
      <c r="S12" s="244">
        <v>-15249.42009</v>
      </c>
      <c r="U12" s="233">
        <f t="shared" si="2"/>
        <v>1.9530000000000001</v>
      </c>
      <c r="V12" s="233">
        <f t="shared" si="2"/>
        <v>0.89800000000000002</v>
      </c>
      <c r="W12" s="233">
        <f t="shared" si="2"/>
        <v>0.61299999999999999</v>
      </c>
      <c r="X12" s="233">
        <f t="shared" si="2"/>
        <v>0.34300000000000003</v>
      </c>
      <c r="Y12" s="233">
        <f t="shared" si="2"/>
        <v>-2.7E-2</v>
      </c>
      <c r="Z12" s="233">
        <f t="shared" si="2"/>
        <v>2.5999999999999999E-2</v>
      </c>
    </row>
    <row r="13" spans="1:26">
      <c r="A13" s="115"/>
      <c r="B13" s="116" t="s">
        <v>112</v>
      </c>
      <c r="C13" s="243">
        <f>C7+C8</f>
        <v>104611</v>
      </c>
      <c r="D13" s="243">
        <f>D7+D8</f>
        <v>215430</v>
      </c>
      <c r="E13" s="243">
        <f>E7+E8</f>
        <v>266415.27727457788</v>
      </c>
      <c r="F13" s="134"/>
      <c r="G13" s="118">
        <f>D13/C13-1</f>
        <v>1.0593436636682565</v>
      </c>
      <c r="H13" s="118">
        <f>E13/D13-1</f>
        <v>0.23666748955381278</v>
      </c>
      <c r="I13" s="306"/>
      <c r="J13" s="243">
        <f t="shared" ref="J13:R13" si="3">J7+J8</f>
        <v>30814</v>
      </c>
      <c r="K13" s="243">
        <f t="shared" si="3"/>
        <v>44001.779658824031</v>
      </c>
      <c r="L13" s="243">
        <f t="shared" si="3"/>
        <v>62917</v>
      </c>
      <c r="M13" s="243">
        <f t="shared" si="3"/>
        <v>77697</v>
      </c>
      <c r="N13" s="243">
        <f t="shared" si="3"/>
        <v>55096</v>
      </c>
      <c r="O13" s="243">
        <f t="shared" si="3"/>
        <v>58085.487520000781</v>
      </c>
      <c r="P13" s="243">
        <f t="shared" si="3"/>
        <v>67475</v>
      </c>
      <c r="Q13" s="243">
        <f t="shared" si="3"/>
        <v>85757.843254576961</v>
      </c>
      <c r="R13" s="243">
        <f t="shared" si="3"/>
        <v>81524.616319999914</v>
      </c>
      <c r="S13" s="243">
        <f t="shared" ref="S13" si="4">S7+S8</f>
        <v>90219.024419999972</v>
      </c>
      <c r="U13" s="255">
        <f t="shared" si="2"/>
        <v>0.78800000000000003</v>
      </c>
      <c r="V13" s="255">
        <f t="shared" si="2"/>
        <v>0.32</v>
      </c>
      <c r="W13" s="255">
        <f t="shared" si="2"/>
        <v>7.1999999999999995E-2</v>
      </c>
      <c r="X13" s="255">
        <f t="shared" si="2"/>
        <v>0.104</v>
      </c>
      <c r="Y13" s="255">
        <f t="shared" si="2"/>
        <v>0.48</v>
      </c>
      <c r="Z13" s="255">
        <f t="shared" si="2"/>
        <v>0.55300000000000005</v>
      </c>
    </row>
    <row r="14" spans="1:26">
      <c r="A14" s="124" t="s">
        <v>92</v>
      </c>
      <c r="B14" s="116" t="s">
        <v>148</v>
      </c>
      <c r="C14" s="117">
        <v>-80177</v>
      </c>
      <c r="D14" s="117">
        <v>-171736</v>
      </c>
      <c r="E14" s="117">
        <v>-217455.23200333328</v>
      </c>
      <c r="F14" s="134"/>
      <c r="G14" s="118">
        <f>D14/C14-1</f>
        <v>1.1419609114833431</v>
      </c>
      <c r="H14" s="118">
        <f>E14/D14-1</f>
        <v>0.26621810222279119</v>
      </c>
      <c r="I14" s="306"/>
      <c r="J14" s="117">
        <v>-34390</v>
      </c>
      <c r="K14" s="117">
        <v>-38970</v>
      </c>
      <c r="L14" s="117">
        <v>-41640</v>
      </c>
      <c r="M14" s="117">
        <v>-56736</v>
      </c>
      <c r="N14" s="243">
        <v>-62061</v>
      </c>
      <c r="O14" s="117">
        <v>-45905</v>
      </c>
      <c r="P14" s="117">
        <v>-46771</v>
      </c>
      <c r="Q14" s="243">
        <f>SUM(Q15:Q17)</f>
        <v>-62718.564003333297</v>
      </c>
      <c r="R14" s="243">
        <f>SUM(R15:R17)</f>
        <v>-80337.742665066573</v>
      </c>
      <c r="S14" s="243">
        <f>SUM(S15:S17)</f>
        <v>-50190.79019</v>
      </c>
      <c r="U14" s="255">
        <f t="shared" si="2"/>
        <v>0.80500000000000005</v>
      </c>
      <c r="V14" s="255">
        <f t="shared" si="2"/>
        <v>0.17799999999999999</v>
      </c>
      <c r="W14" s="255">
        <f t="shared" si="2"/>
        <v>0.123</v>
      </c>
      <c r="X14" s="255">
        <f t="shared" si="2"/>
        <v>0.105</v>
      </c>
      <c r="Y14" s="255">
        <f t="shared" si="2"/>
        <v>0.29399999999999998</v>
      </c>
      <c r="Z14" s="255">
        <f t="shared" si="2"/>
        <v>9.2999999999999999E-2</v>
      </c>
    </row>
    <row r="15" spans="1:26">
      <c r="A15" s="124"/>
      <c r="B15" s="126" t="s">
        <v>113</v>
      </c>
      <c r="C15" s="121">
        <v>-60618</v>
      </c>
      <c r="D15" s="121">
        <v>-145692</v>
      </c>
      <c r="E15" s="121">
        <v>-164265.95813000001</v>
      </c>
      <c r="F15" s="308"/>
      <c r="G15" s="122">
        <v>1.403</v>
      </c>
      <c r="H15" s="70">
        <f>E15/D15-1</f>
        <v>0.12748783824781063</v>
      </c>
      <c r="I15" s="306"/>
      <c r="J15" s="121">
        <v>-28579</v>
      </c>
      <c r="K15" s="121">
        <v>-30988.968267591215</v>
      </c>
      <c r="L15" s="121">
        <v>-35184</v>
      </c>
      <c r="M15" s="121">
        <v>-50940</v>
      </c>
      <c r="N15" s="244">
        <v>-53560</v>
      </c>
      <c r="O15" s="121">
        <v>-30694.168050000011</v>
      </c>
      <c r="P15" s="121">
        <v>-32112</v>
      </c>
      <c r="Q15" s="121">
        <v>-47901.065680000014</v>
      </c>
      <c r="R15" s="121">
        <v>-61102.582845066579</v>
      </c>
      <c r="S15" s="244">
        <v>-31505.151150000002</v>
      </c>
      <c r="U15" s="233">
        <f t="shared" si="2"/>
        <v>0.874</v>
      </c>
      <c r="V15" s="233">
        <f t="shared" si="2"/>
        <v>-0.01</v>
      </c>
      <c r="W15" s="233">
        <f t="shared" si="2"/>
        <v>-8.6999999999999994E-2</v>
      </c>
      <c r="X15" s="233">
        <f t="shared" si="2"/>
        <v>-0.06</v>
      </c>
      <c r="Y15" s="233">
        <f t="shared" si="2"/>
        <v>0.14099999999999999</v>
      </c>
      <c r="Z15" s="233">
        <f t="shared" si="2"/>
        <v>2.5999999999999999E-2</v>
      </c>
    </row>
    <row r="16" spans="1:26">
      <c r="A16" s="124" t="s">
        <v>114</v>
      </c>
      <c r="B16" s="126" t="s">
        <v>108</v>
      </c>
      <c r="C16" s="121">
        <v>-2200</v>
      </c>
      <c r="D16" s="121">
        <v>-6592</v>
      </c>
      <c r="E16" s="121">
        <v>-9870.694830000004</v>
      </c>
      <c r="F16" s="308"/>
      <c r="G16" s="70">
        <f t="shared" ref="G16:H17" si="5">D16/C16-1</f>
        <v>1.9963636363636366</v>
      </c>
      <c r="H16" s="70">
        <f t="shared" si="5"/>
        <v>0.49737482251213661</v>
      </c>
      <c r="I16" s="306"/>
      <c r="J16" s="121">
        <v>-798</v>
      </c>
      <c r="K16" s="121">
        <v>-2251.9375399999994</v>
      </c>
      <c r="L16" s="121">
        <v>-1668</v>
      </c>
      <c r="M16" s="121">
        <v>-1874</v>
      </c>
      <c r="N16" s="244">
        <v>-2093</v>
      </c>
      <c r="O16" s="121">
        <v>-3712.8422800000035</v>
      </c>
      <c r="P16" s="121">
        <v>-2287</v>
      </c>
      <c r="Q16" s="121">
        <v>-1777.2106800000008</v>
      </c>
      <c r="R16" s="121">
        <v>-1696.6010299999987</v>
      </c>
      <c r="S16" s="244">
        <v>-2501.1010300000012</v>
      </c>
      <c r="U16" s="233">
        <f t="shared" si="2"/>
        <v>1.623</v>
      </c>
      <c r="V16" s="233">
        <f t="shared" si="2"/>
        <v>0.64900000000000002</v>
      </c>
      <c r="W16" s="233">
        <f t="shared" si="2"/>
        <v>0.371</v>
      </c>
      <c r="X16" s="233">
        <f t="shared" si="2"/>
        <v>-5.1999999999999998E-2</v>
      </c>
      <c r="Y16" s="233">
        <f t="shared" si="2"/>
        <v>-0.189</v>
      </c>
      <c r="Z16" s="233">
        <f t="shared" si="2"/>
        <v>-0.32600000000000001</v>
      </c>
    </row>
    <row r="17" spans="1:26">
      <c r="A17" s="124" t="s">
        <v>115</v>
      </c>
      <c r="B17" s="126" t="s">
        <v>262</v>
      </c>
      <c r="C17" s="121">
        <v>-17359</v>
      </c>
      <c r="D17" s="121">
        <v>-19452</v>
      </c>
      <c r="E17" s="121">
        <v>-43318.579043333273</v>
      </c>
      <c r="F17" s="308"/>
      <c r="G17" s="70">
        <f t="shared" si="5"/>
        <v>0.12057146148971709</v>
      </c>
      <c r="H17" s="70">
        <f t="shared" si="5"/>
        <v>1.2269473084172975</v>
      </c>
      <c r="I17" s="306"/>
      <c r="J17" s="121">
        <v>-5013</v>
      </c>
      <c r="K17" s="121">
        <v>-5728.6757099999668</v>
      </c>
      <c r="L17" s="121">
        <v>-4789</v>
      </c>
      <c r="M17" s="121">
        <v>-3921</v>
      </c>
      <c r="N17" s="244">
        <v>-6408</v>
      </c>
      <c r="O17" s="121">
        <v>-11498.157089999993</v>
      </c>
      <c r="P17" s="121">
        <v>-12373</v>
      </c>
      <c r="Q17" s="121">
        <v>-13040.287643333277</v>
      </c>
      <c r="R17" s="121">
        <v>-17538.558789999999</v>
      </c>
      <c r="S17" s="244">
        <v>-16184.53801</v>
      </c>
      <c r="U17" s="254">
        <f t="shared" si="2"/>
        <v>0.27800000000000002</v>
      </c>
      <c r="V17" s="254">
        <f t="shared" si="2"/>
        <v>1.0069999999999999</v>
      </c>
      <c r="W17" s="254">
        <f t="shared" si="2"/>
        <v>1.5840000000000001</v>
      </c>
      <c r="X17" s="254">
        <f t="shared" si="2"/>
        <v>2.3260000000000001</v>
      </c>
      <c r="Y17" s="254">
        <f t="shared" si="2"/>
        <v>1.7370000000000001</v>
      </c>
      <c r="Z17" s="254">
        <f t="shared" si="2"/>
        <v>0.40799999999999997</v>
      </c>
    </row>
    <row r="18" spans="1:26">
      <c r="A18" s="124"/>
      <c r="B18" s="120" t="s">
        <v>201</v>
      </c>
      <c r="C18" s="121">
        <v>0</v>
      </c>
      <c r="D18" s="121">
        <v>0</v>
      </c>
      <c r="E18" s="121">
        <v>-977.71758909090897</v>
      </c>
      <c r="F18" s="307"/>
      <c r="G18" s="121">
        <v>0</v>
      </c>
      <c r="H18" s="122" t="s">
        <v>202</v>
      </c>
      <c r="I18" s="306"/>
      <c r="J18" s="122" t="s">
        <v>202</v>
      </c>
      <c r="K18" s="122" t="s">
        <v>202</v>
      </c>
      <c r="L18" s="122" t="s">
        <v>202</v>
      </c>
      <c r="M18" s="122" t="s">
        <v>202</v>
      </c>
      <c r="N18" s="249" t="s">
        <v>202</v>
      </c>
      <c r="O18" s="122" t="s">
        <v>202</v>
      </c>
      <c r="P18" s="122" t="s">
        <v>202</v>
      </c>
      <c r="Q18" s="121">
        <v>-977.71758909090897</v>
      </c>
      <c r="R18" s="121">
        <v>-1166.2677900000001</v>
      </c>
      <c r="S18" s="244">
        <v>-3342.7639199999999</v>
      </c>
      <c r="U18" s="122" t="s">
        <v>202</v>
      </c>
      <c r="V18" s="122" t="s">
        <v>202</v>
      </c>
      <c r="W18" s="122" t="s">
        <v>202</v>
      </c>
      <c r="X18" s="122" t="s">
        <v>153</v>
      </c>
      <c r="Y18" s="122" t="s">
        <v>153</v>
      </c>
      <c r="Z18" s="122" t="s">
        <v>153</v>
      </c>
    </row>
    <row r="19" spans="1:26">
      <c r="A19" s="119"/>
      <c r="B19" s="120" t="s">
        <v>15</v>
      </c>
      <c r="C19" s="121">
        <v>-37012</v>
      </c>
      <c r="D19" s="121">
        <v>-46986</v>
      </c>
      <c r="E19" s="121">
        <v>-75489.438315596999</v>
      </c>
      <c r="F19" s="307"/>
      <c r="G19" s="70">
        <f t="shared" ref="G19:H22" si="6">D19/C19-1</f>
        <v>0.26948016859396962</v>
      </c>
      <c r="H19" s="70">
        <f t="shared" si="6"/>
        <v>0.606636834708147</v>
      </c>
      <c r="I19" s="306"/>
      <c r="J19" s="121">
        <v>-10969</v>
      </c>
      <c r="K19" s="121">
        <v>-11897.66936</v>
      </c>
      <c r="L19" s="121">
        <v>-10483</v>
      </c>
      <c r="M19" s="121">
        <v>-13637</v>
      </c>
      <c r="N19" s="244">
        <v>-17274</v>
      </c>
      <c r="O19" s="121">
        <v>-13930.093449999998</v>
      </c>
      <c r="P19" s="121">
        <v>-18195</v>
      </c>
      <c r="Q19" s="121">
        <v>-26088.958885596989</v>
      </c>
      <c r="R19" s="121">
        <v>-30959.244320000002</v>
      </c>
      <c r="S19" s="244">
        <v>-60457.957829999999</v>
      </c>
      <c r="U19" s="254">
        <f t="shared" ref="U19:X20" si="7">ROUND(N19/J19-1,3)</f>
        <v>0.57499999999999996</v>
      </c>
      <c r="V19" s="254">
        <f t="shared" si="7"/>
        <v>0.17100000000000001</v>
      </c>
      <c r="W19" s="254">
        <f t="shared" si="7"/>
        <v>0.73599999999999999</v>
      </c>
      <c r="X19" s="254">
        <f t="shared" si="7"/>
        <v>0.91300000000000003</v>
      </c>
      <c r="Y19" s="254">
        <f>ROUND(R19/N19-1,3)</f>
        <v>0.79200000000000004</v>
      </c>
      <c r="Z19" s="254">
        <f>ROUND(S19/O19-1,3)</f>
        <v>3.34</v>
      </c>
    </row>
    <row r="20" spans="1:26">
      <c r="A20" s="124"/>
      <c r="B20" s="116" t="s">
        <v>116</v>
      </c>
      <c r="C20" s="117">
        <v>64860</v>
      </c>
      <c r="D20" s="117">
        <v>113489</v>
      </c>
      <c r="E20" s="117">
        <v>184043.31511000093</v>
      </c>
      <c r="F20" s="134"/>
      <c r="G20" s="118">
        <f t="shared" si="6"/>
        <v>0.74975331483194574</v>
      </c>
      <c r="H20" s="118">
        <f t="shared" si="6"/>
        <v>0.62168417300355916</v>
      </c>
      <c r="I20" s="306"/>
      <c r="J20" s="117">
        <v>8878</v>
      </c>
      <c r="K20" s="117">
        <v>22403.729622408853</v>
      </c>
      <c r="L20" s="117">
        <v>37885</v>
      </c>
      <c r="M20" s="117">
        <v>44323</v>
      </c>
      <c r="N20" s="243">
        <v>20943</v>
      </c>
      <c r="O20" s="117">
        <v>47894.840950000769</v>
      </c>
      <c r="P20" s="117">
        <v>56209</v>
      </c>
      <c r="Q20" s="117">
        <v>58994.457150000075</v>
      </c>
      <c r="R20" s="243">
        <f t="shared" ref="R20" si="8">SUM(R7,R9,R15:R15)</f>
        <v>38421.479284933339</v>
      </c>
      <c r="S20" s="243">
        <f>SUM(S7,S9,S15:S15)</f>
        <v>75801.799600000013</v>
      </c>
      <c r="U20" s="255">
        <f t="shared" si="7"/>
        <v>1.359</v>
      </c>
      <c r="V20" s="255">
        <f t="shared" si="7"/>
        <v>1.1379999999999999</v>
      </c>
      <c r="W20" s="255">
        <f t="shared" si="7"/>
        <v>0.48399999999999999</v>
      </c>
      <c r="X20" s="255">
        <f t="shared" si="7"/>
        <v>0.33100000000000002</v>
      </c>
      <c r="Y20" s="255">
        <f t="shared" si="2"/>
        <v>0.83499999999999996</v>
      </c>
      <c r="Z20" s="255">
        <f t="shared" si="2"/>
        <v>0.58299999999999996</v>
      </c>
    </row>
    <row r="21" spans="1:26">
      <c r="A21" s="115"/>
      <c r="B21" s="128" t="s">
        <v>117</v>
      </c>
      <c r="C21" s="117">
        <v>-12578</v>
      </c>
      <c r="D21" s="117">
        <v>-3292</v>
      </c>
      <c r="E21" s="117">
        <v>-27507.11063344331</v>
      </c>
      <c r="F21" s="309"/>
      <c r="G21" s="118">
        <f t="shared" si="6"/>
        <v>-0.73827317538559389</v>
      </c>
      <c r="H21" s="118">
        <f t="shared" si="6"/>
        <v>7.3557444208515523</v>
      </c>
      <c r="I21" s="306"/>
      <c r="J21" s="117">
        <v>-14545</v>
      </c>
      <c r="K21" s="117">
        <v>-6866</v>
      </c>
      <c r="L21" s="117">
        <v>10795</v>
      </c>
      <c r="M21" s="117">
        <v>7324</v>
      </c>
      <c r="N21" s="243">
        <v>-24239</v>
      </c>
      <c r="O21" s="117">
        <v>-1749.0934499999985</v>
      </c>
      <c r="P21" s="117">
        <v>2508</v>
      </c>
      <c r="Q21" s="117">
        <v>-4027.3972234442331</v>
      </c>
      <c r="R21" s="243">
        <f t="shared" ref="R21" si="9">R13+R14+R18+R19</f>
        <v>-30938.638455066663</v>
      </c>
      <c r="S21" s="243">
        <f>S13+S14+S18+S19</f>
        <v>-23772.487520000024</v>
      </c>
      <c r="U21" s="129">
        <v>0.66600000000000004</v>
      </c>
      <c r="V21" s="129">
        <v>-0.745</v>
      </c>
      <c r="W21" s="130">
        <v>-0.76800000000000002</v>
      </c>
      <c r="X21" s="131" t="s">
        <v>153</v>
      </c>
      <c r="Y21" s="252">
        <f t="shared" si="2"/>
        <v>0.27600000000000002</v>
      </c>
      <c r="Z21" s="252" t="s">
        <v>153</v>
      </c>
    </row>
    <row r="22" spans="1:26">
      <c r="A22" s="119"/>
      <c r="B22" s="120" t="s">
        <v>118</v>
      </c>
      <c r="C22" s="121">
        <v>5432</v>
      </c>
      <c r="D22" s="121">
        <v>10320</v>
      </c>
      <c r="E22" s="121">
        <v>9645.2193202241724</v>
      </c>
      <c r="F22" s="307"/>
      <c r="G22" s="70">
        <f t="shared" si="6"/>
        <v>0.89985272459499255</v>
      </c>
      <c r="H22" s="70">
        <f t="shared" si="6"/>
        <v>-6.538572478447946E-2</v>
      </c>
      <c r="I22" s="306"/>
      <c r="J22" s="121">
        <v>4696</v>
      </c>
      <c r="K22" s="121">
        <v>-1125.8602190190113</v>
      </c>
      <c r="L22" s="121">
        <v>-3637</v>
      </c>
      <c r="M22" s="121">
        <v>10387</v>
      </c>
      <c r="N22" s="244">
        <v>5647</v>
      </c>
      <c r="O22" s="121">
        <v>4774.7634300000009</v>
      </c>
      <c r="P22" s="121">
        <v>-2830</v>
      </c>
      <c r="Q22" s="121">
        <v>2053.257330224169</v>
      </c>
      <c r="R22" s="121">
        <v>1142.1325099999999</v>
      </c>
      <c r="S22" s="244">
        <v>-1997</v>
      </c>
      <c r="U22" s="122">
        <v>0.20300000000000001</v>
      </c>
      <c r="V22" s="132" t="s">
        <v>153</v>
      </c>
      <c r="W22" s="127">
        <v>-0.222</v>
      </c>
      <c r="X22" s="132">
        <v>-0.80231988998338499</v>
      </c>
      <c r="Y22" s="251">
        <f t="shared" si="2"/>
        <v>-0.79800000000000004</v>
      </c>
      <c r="Z22" s="251">
        <f t="shared" si="2"/>
        <v>-1.4179999999999999</v>
      </c>
    </row>
    <row r="23" spans="1:26">
      <c r="A23" s="115"/>
      <c r="B23" s="116" t="s">
        <v>149</v>
      </c>
      <c r="C23" s="117">
        <v>-7146</v>
      </c>
      <c r="D23" s="117">
        <v>7028</v>
      </c>
      <c r="E23" s="117">
        <v>-17861.891313219137</v>
      </c>
      <c r="F23" s="134"/>
      <c r="G23" s="133" t="s">
        <v>153</v>
      </c>
      <c r="H23" s="133" t="s">
        <v>153</v>
      </c>
      <c r="I23" s="306"/>
      <c r="J23" s="117">
        <v>-9849</v>
      </c>
      <c r="K23" s="117">
        <v>-7991.8602190190113</v>
      </c>
      <c r="L23" s="117">
        <v>7158</v>
      </c>
      <c r="M23" s="117">
        <v>17711</v>
      </c>
      <c r="N23" s="243">
        <v>-18592</v>
      </c>
      <c r="O23" s="117">
        <v>3025.6699800000024</v>
      </c>
      <c r="P23" s="117">
        <v>-322</v>
      </c>
      <c r="Q23" s="117">
        <v>-1974.1398932200641</v>
      </c>
      <c r="R23" s="243">
        <f t="shared" ref="R23" si="10">R21+R22</f>
        <v>-29796.505945066663</v>
      </c>
      <c r="S23" s="243">
        <f>S21+S22</f>
        <v>-25769.487520000024</v>
      </c>
      <c r="U23" s="129">
        <v>-0.88800000000000001</v>
      </c>
      <c r="V23" s="131" t="s">
        <v>153</v>
      </c>
      <c r="W23" s="130">
        <v>-1.0449999999999999</v>
      </c>
      <c r="X23" s="131" t="s">
        <v>153</v>
      </c>
      <c r="Y23" s="252">
        <f t="shared" si="2"/>
        <v>0.60299999999999998</v>
      </c>
      <c r="Z23" s="252">
        <f t="shared" si="2"/>
        <v>-9.5169999999999995</v>
      </c>
    </row>
    <row r="24" spans="1:26">
      <c r="A24" s="134"/>
      <c r="B24" s="134"/>
      <c r="C24" s="135"/>
      <c r="D24" s="135"/>
      <c r="E24" s="135"/>
      <c r="F24" s="134"/>
      <c r="G24" s="134"/>
      <c r="H24" s="134"/>
      <c r="I24" s="134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U24" s="134"/>
      <c r="V24" s="134"/>
      <c r="W24" s="134"/>
      <c r="X24" s="134"/>
      <c r="Y24" s="134"/>
      <c r="Z24" s="134"/>
    </row>
    <row r="25" spans="1:26">
      <c r="A25" s="113"/>
      <c r="B25" s="113"/>
      <c r="C25" s="136"/>
      <c r="D25" s="136"/>
      <c r="E25" s="136"/>
      <c r="F25" s="113"/>
      <c r="G25" s="113"/>
      <c r="H25" s="113"/>
      <c r="I25" s="113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U25" s="3" t="s">
        <v>0</v>
      </c>
      <c r="V25" s="3" t="s">
        <v>0</v>
      </c>
      <c r="W25" s="3" t="s">
        <v>0</v>
      </c>
      <c r="X25" s="3" t="s">
        <v>0</v>
      </c>
      <c r="Y25" s="3" t="s">
        <v>0</v>
      </c>
      <c r="Z25" s="3" t="s">
        <v>0</v>
      </c>
    </row>
    <row r="26" spans="1:26">
      <c r="A26" s="112"/>
      <c r="B26" s="112" t="s">
        <v>119</v>
      </c>
      <c r="C26" s="8">
        <v>2019</v>
      </c>
      <c r="D26" s="8">
        <v>2020</v>
      </c>
      <c r="E26" s="5">
        <v>2021</v>
      </c>
      <c r="F26" s="304"/>
      <c r="G26" s="5">
        <v>2020</v>
      </c>
      <c r="H26" s="5">
        <v>2021</v>
      </c>
      <c r="I26" s="305"/>
      <c r="J26" s="8" t="s">
        <v>1</v>
      </c>
      <c r="K26" s="5" t="s">
        <v>2</v>
      </c>
      <c r="L26" s="5" t="s">
        <v>3</v>
      </c>
      <c r="M26" s="5" t="s">
        <v>4</v>
      </c>
      <c r="N26" s="229" t="s">
        <v>5</v>
      </c>
      <c r="O26" s="5" t="s">
        <v>25</v>
      </c>
      <c r="P26" s="5" t="s">
        <v>176</v>
      </c>
      <c r="Q26" s="5" t="s">
        <v>181</v>
      </c>
      <c r="R26" s="229" t="s">
        <v>206</v>
      </c>
      <c r="S26" s="229" t="s">
        <v>264</v>
      </c>
      <c r="U26" s="5" t="s">
        <v>5</v>
      </c>
      <c r="V26" s="5" t="s">
        <v>25</v>
      </c>
      <c r="W26" s="5" t="s">
        <v>176</v>
      </c>
      <c r="X26" s="5" t="s">
        <v>181</v>
      </c>
      <c r="Y26" s="229" t="s">
        <v>206</v>
      </c>
      <c r="Z26" s="229" t="s">
        <v>264</v>
      </c>
    </row>
    <row r="27" spans="1:26">
      <c r="A27" s="113"/>
      <c r="B27" s="113"/>
      <c r="C27" s="136"/>
      <c r="D27" s="136"/>
      <c r="E27" s="136"/>
      <c r="F27" s="113"/>
      <c r="G27" s="113"/>
      <c r="H27" s="113"/>
      <c r="I27" s="113"/>
      <c r="J27" s="136"/>
      <c r="K27" s="136"/>
      <c r="L27" s="136"/>
      <c r="M27" s="136"/>
      <c r="N27" s="245"/>
      <c r="O27" s="136"/>
      <c r="P27" s="136"/>
      <c r="Q27" s="136"/>
      <c r="R27" s="245"/>
      <c r="S27" s="245"/>
      <c r="U27" s="113"/>
      <c r="V27" s="113"/>
      <c r="W27" s="113"/>
      <c r="X27" s="113"/>
      <c r="Y27" s="247"/>
      <c r="Z27" s="247"/>
    </row>
    <row r="28" spans="1:26">
      <c r="A28" s="115"/>
      <c r="B28" s="116" t="s">
        <v>120</v>
      </c>
      <c r="C28" s="117">
        <v>607898</v>
      </c>
      <c r="D28" s="117">
        <v>1180036</v>
      </c>
      <c r="E28" s="117">
        <v>1808895.7625000007</v>
      </c>
      <c r="F28" s="134"/>
      <c r="G28" s="118">
        <f t="shared" ref="G28:G38" si="11">D28/C28-1</f>
        <v>0.9411743417481222</v>
      </c>
      <c r="H28" s="118">
        <f t="shared" ref="H28:H38" si="12">E28/D28-1</f>
        <v>0.5329157436722276</v>
      </c>
      <c r="I28" s="310"/>
      <c r="J28" s="117">
        <v>192794</v>
      </c>
      <c r="K28" s="117">
        <v>248390.13623999892</v>
      </c>
      <c r="L28" s="117">
        <v>329296</v>
      </c>
      <c r="M28" s="117">
        <v>409556</v>
      </c>
      <c r="N28" s="243">
        <v>387168</v>
      </c>
      <c r="O28" s="117">
        <v>436654.8017700006</v>
      </c>
      <c r="P28" s="117">
        <v>445887</v>
      </c>
      <c r="Q28" s="117">
        <v>539185.93213000009</v>
      </c>
      <c r="R28" s="243">
        <f>R6</f>
        <v>538051.52520999999</v>
      </c>
      <c r="S28" s="243">
        <f>S6</f>
        <v>594959.20210999984</v>
      </c>
      <c r="U28" s="248">
        <f t="shared" ref="U28:Z51" si="13">ROUND(N28/J28-1,3)</f>
        <v>1.008</v>
      </c>
      <c r="V28" s="248">
        <f t="shared" si="13"/>
        <v>0.75800000000000001</v>
      </c>
      <c r="W28" s="248">
        <f t="shared" si="13"/>
        <v>0.35399999999999998</v>
      </c>
      <c r="X28" s="248">
        <f t="shared" si="13"/>
        <v>0.317</v>
      </c>
      <c r="Y28" s="248">
        <f t="shared" si="13"/>
        <v>0.39</v>
      </c>
      <c r="Z28" s="248">
        <f t="shared" si="13"/>
        <v>0.36299999999999999</v>
      </c>
    </row>
    <row r="29" spans="1:26">
      <c r="A29" s="124"/>
      <c r="B29" s="120" t="s">
        <v>121</v>
      </c>
      <c r="C29" s="121">
        <v>527263</v>
      </c>
      <c r="D29" s="121">
        <v>998109</v>
      </c>
      <c r="E29" s="121">
        <v>1520356.6511874257</v>
      </c>
      <c r="F29" s="307"/>
      <c r="G29" s="122">
        <f t="shared" si="11"/>
        <v>0.89300026741872651</v>
      </c>
      <c r="H29" s="122">
        <f t="shared" si="12"/>
        <v>0.52323709252939876</v>
      </c>
      <c r="I29" s="310"/>
      <c r="J29" s="121">
        <v>165286</v>
      </c>
      <c r="K29" s="121">
        <v>211214.77965882403</v>
      </c>
      <c r="L29" s="121">
        <v>277543</v>
      </c>
      <c r="M29" s="121">
        <v>344066</v>
      </c>
      <c r="N29" s="244">
        <v>326440</v>
      </c>
      <c r="O29" s="121">
        <v>368885.8958174006</v>
      </c>
      <c r="P29" s="121">
        <v>374167</v>
      </c>
      <c r="Q29" s="121">
        <v>450864.33318447508</v>
      </c>
      <c r="R29" s="244">
        <f>R7</f>
        <v>449139.6932808999</v>
      </c>
      <c r="S29" s="244">
        <f>S7</f>
        <v>496445.83783147502</v>
      </c>
      <c r="U29" s="249">
        <f t="shared" si="13"/>
        <v>0.97499999999999998</v>
      </c>
      <c r="V29" s="249">
        <f t="shared" si="13"/>
        <v>0.746</v>
      </c>
      <c r="W29" s="249">
        <f t="shared" si="13"/>
        <v>0.34799999999999998</v>
      </c>
      <c r="X29" s="249">
        <f t="shared" si="13"/>
        <v>0.31</v>
      </c>
      <c r="Y29" s="249">
        <f t="shared" si="13"/>
        <v>0.376</v>
      </c>
      <c r="Z29" s="249">
        <f t="shared" si="13"/>
        <v>0.34599999999999997</v>
      </c>
    </row>
    <row r="30" spans="1:26">
      <c r="A30" s="115"/>
      <c r="B30" s="116" t="s">
        <v>122</v>
      </c>
      <c r="C30" s="117">
        <v>-426474</v>
      </c>
      <c r="D30" s="117">
        <v>-779632</v>
      </c>
      <c r="E30" s="117">
        <v>-1233673.995964569</v>
      </c>
      <c r="F30" s="134"/>
      <c r="G30" s="118">
        <f t="shared" si="11"/>
        <v>0.82808799598568728</v>
      </c>
      <c r="H30" s="118">
        <f t="shared" si="12"/>
        <v>0.58237988687556319</v>
      </c>
      <c r="I30" s="310"/>
      <c r="J30" s="243">
        <f t="shared" ref="J30:S30" si="14">SUM(J31:J33)</f>
        <v>-135963</v>
      </c>
      <c r="K30" s="243">
        <f t="shared" si="14"/>
        <v>-167225.55702000001</v>
      </c>
      <c r="L30" s="243">
        <f t="shared" si="14"/>
        <v>-215136</v>
      </c>
      <c r="M30" s="243">
        <f t="shared" si="14"/>
        <v>-261307</v>
      </c>
      <c r="N30" s="243">
        <f t="shared" si="14"/>
        <v>-266685</v>
      </c>
      <c r="O30" s="243">
        <f t="shared" si="14"/>
        <v>-306300.7692538944</v>
      </c>
      <c r="P30" s="243">
        <f t="shared" si="14"/>
        <v>-301982</v>
      </c>
      <c r="Q30" s="243">
        <f t="shared" si="14"/>
        <v>-358708.17023404519</v>
      </c>
      <c r="R30" s="243">
        <f t="shared" si="14"/>
        <v>-364781.24909966771</v>
      </c>
      <c r="S30" s="243">
        <f t="shared" si="14"/>
        <v>-408225.88708147506</v>
      </c>
      <c r="U30" s="248">
        <f t="shared" si="13"/>
        <v>0.96099999999999997</v>
      </c>
      <c r="V30" s="248">
        <f t="shared" si="13"/>
        <v>0.83199999999999996</v>
      </c>
      <c r="W30" s="248">
        <f t="shared" si="13"/>
        <v>0.40400000000000003</v>
      </c>
      <c r="X30" s="248">
        <f t="shared" si="13"/>
        <v>0.373</v>
      </c>
      <c r="Y30" s="248">
        <f t="shared" si="13"/>
        <v>0.36799999999999999</v>
      </c>
      <c r="Z30" s="248">
        <f t="shared" si="13"/>
        <v>0.33300000000000002</v>
      </c>
    </row>
    <row r="31" spans="1:26">
      <c r="A31" s="124" t="s">
        <v>91</v>
      </c>
      <c r="B31" s="126" t="s">
        <v>105</v>
      </c>
      <c r="C31" s="121">
        <f>C8</f>
        <v>-422652</v>
      </c>
      <c r="D31" s="121">
        <f>D8</f>
        <v>-782679</v>
      </c>
      <c r="E31" s="121">
        <f>E8</f>
        <v>-1253941.3739128478</v>
      </c>
      <c r="F31" s="308"/>
      <c r="G31" s="122">
        <f t="shared" si="11"/>
        <v>0.85182845461514445</v>
      </c>
      <c r="H31" s="122">
        <f t="shared" si="12"/>
        <v>0.6021144989361511</v>
      </c>
      <c r="I31" s="310"/>
      <c r="J31" s="121">
        <f t="shared" ref="J31:R31" si="15">J8</f>
        <v>-134472</v>
      </c>
      <c r="K31" s="121">
        <f t="shared" si="15"/>
        <v>-167213</v>
      </c>
      <c r="L31" s="121">
        <f t="shared" si="15"/>
        <v>-214625</v>
      </c>
      <c r="M31" s="121">
        <f t="shared" si="15"/>
        <v>-266369</v>
      </c>
      <c r="N31" s="121">
        <f t="shared" si="15"/>
        <v>-271344</v>
      </c>
      <c r="O31" s="121">
        <f t="shared" si="15"/>
        <v>-310800.40829739982</v>
      </c>
      <c r="P31" s="121">
        <f t="shared" si="15"/>
        <v>-306692</v>
      </c>
      <c r="Q31" s="121">
        <f t="shared" si="15"/>
        <v>-365106.48992989812</v>
      </c>
      <c r="R31" s="121">
        <f t="shared" si="15"/>
        <v>-367615.07696089998</v>
      </c>
      <c r="S31" s="121">
        <f t="shared" ref="S31" si="16">S8</f>
        <v>-406226.81341147504</v>
      </c>
      <c r="U31" s="249">
        <f t="shared" si="13"/>
        <v>1.018</v>
      </c>
      <c r="V31" s="249">
        <f t="shared" si="13"/>
        <v>0.85899999999999999</v>
      </c>
      <c r="W31" s="249">
        <f t="shared" si="13"/>
        <v>0.42899999999999999</v>
      </c>
      <c r="X31" s="249">
        <f t="shared" si="13"/>
        <v>0.371</v>
      </c>
      <c r="Y31" s="249">
        <f t="shared" si="13"/>
        <v>0.35499999999999998</v>
      </c>
      <c r="Z31" s="249">
        <f t="shared" si="13"/>
        <v>0.307</v>
      </c>
    </row>
    <row r="32" spans="1:26">
      <c r="A32" s="124" t="s">
        <v>123</v>
      </c>
      <c r="B32" s="126" t="s">
        <v>219</v>
      </c>
      <c r="C32" s="244">
        <f>-(C10+C11+C12)</f>
        <v>20867</v>
      </c>
      <c r="D32" s="244">
        <f>-(D10+D11+D12)</f>
        <v>43751</v>
      </c>
      <c r="E32" s="244">
        <f>-(E10+E11+E12)</f>
        <v>81893.995965423092</v>
      </c>
      <c r="F32" s="308"/>
      <c r="G32" s="122">
        <f t="shared" si="11"/>
        <v>1.0966597977668089</v>
      </c>
      <c r="H32" s="122">
        <f t="shared" si="12"/>
        <v>0.87181998046725995</v>
      </c>
      <c r="I32" s="310"/>
      <c r="J32" s="244">
        <f t="shared" ref="J32:R32" si="17">-(J10+J11+J12)</f>
        <v>6644</v>
      </c>
      <c r="K32" s="244">
        <f t="shared" si="17"/>
        <v>9390.4429799999907</v>
      </c>
      <c r="L32" s="244">
        <f t="shared" si="17"/>
        <v>10151</v>
      </c>
      <c r="M32" s="244">
        <f t="shared" si="17"/>
        <v>17566</v>
      </c>
      <c r="N32" s="244">
        <f t="shared" si="17"/>
        <v>19407</v>
      </c>
      <c r="O32" s="244">
        <f t="shared" si="17"/>
        <v>20503.521479999996</v>
      </c>
      <c r="P32" s="244">
        <f t="shared" si="17"/>
        <v>20846</v>
      </c>
      <c r="Q32" s="244">
        <f t="shared" si="17"/>
        <v>21137.679575423081</v>
      </c>
      <c r="R32" s="244">
        <f t="shared" si="17"/>
        <v>17999.445810000001</v>
      </c>
      <c r="S32" s="244">
        <f t="shared" ref="S32" si="18">-(S10+S11+S12)</f>
        <v>17087.926329999998</v>
      </c>
      <c r="U32" s="249">
        <f t="shared" si="13"/>
        <v>1.921</v>
      </c>
      <c r="V32" s="249">
        <f t="shared" si="13"/>
        <v>1.1830000000000001</v>
      </c>
      <c r="W32" s="249">
        <f t="shared" si="13"/>
        <v>1.054</v>
      </c>
      <c r="X32" s="249">
        <f t="shared" si="13"/>
        <v>0.20300000000000001</v>
      </c>
      <c r="Y32" s="249">
        <f t="shared" si="13"/>
        <v>-7.2999999999999995E-2</v>
      </c>
      <c r="Z32" s="249">
        <f t="shared" si="13"/>
        <v>-0.16700000000000001</v>
      </c>
    </row>
    <row r="33" spans="1:26">
      <c r="A33" s="124" t="s">
        <v>259</v>
      </c>
      <c r="B33" s="126" t="s">
        <v>124</v>
      </c>
      <c r="C33" s="121">
        <v>-24688</v>
      </c>
      <c r="D33" s="121">
        <v>-40705</v>
      </c>
      <c r="E33" s="121">
        <v>-61626.618017144385</v>
      </c>
      <c r="F33" s="308"/>
      <c r="G33" s="122">
        <f t="shared" si="11"/>
        <v>0.64877673363577437</v>
      </c>
      <c r="H33" s="122">
        <f t="shared" si="12"/>
        <v>0.51398152603229041</v>
      </c>
      <c r="I33" s="310"/>
      <c r="J33" s="121">
        <v>-8135</v>
      </c>
      <c r="K33" s="121">
        <v>-9403</v>
      </c>
      <c r="L33" s="121">
        <v>-10662</v>
      </c>
      <c r="M33" s="121">
        <v>-12504</v>
      </c>
      <c r="N33" s="121">
        <v>-14748</v>
      </c>
      <c r="O33" s="121">
        <v>-16003.882436494559</v>
      </c>
      <c r="P33" s="121">
        <v>-16136</v>
      </c>
      <c r="Q33" s="121">
        <v>-14739.359879570155</v>
      </c>
      <c r="R33" s="121">
        <v>-15165.617948767735</v>
      </c>
      <c r="S33" s="244">
        <v>-19087</v>
      </c>
      <c r="U33" s="249">
        <f t="shared" si="13"/>
        <v>0.81299999999999994</v>
      </c>
      <c r="V33" s="249">
        <f t="shared" si="13"/>
        <v>0.70199999999999996</v>
      </c>
      <c r="W33" s="249">
        <f t="shared" si="13"/>
        <v>0.51300000000000001</v>
      </c>
      <c r="X33" s="249">
        <f t="shared" si="13"/>
        <v>0.17899999999999999</v>
      </c>
      <c r="Y33" s="249">
        <f t="shared" si="13"/>
        <v>2.8000000000000001E-2</v>
      </c>
      <c r="Z33" s="249">
        <f t="shared" si="13"/>
        <v>0.193</v>
      </c>
    </row>
    <row r="34" spans="1:26">
      <c r="A34" s="115"/>
      <c r="B34" s="116" t="s">
        <v>263</v>
      </c>
      <c r="C34" s="243">
        <f t="shared" ref="C34:E34" si="19">C29+C30</f>
        <v>100789</v>
      </c>
      <c r="D34" s="243">
        <f t="shared" si="19"/>
        <v>218477</v>
      </c>
      <c r="E34" s="243">
        <f t="shared" si="19"/>
        <v>286682.65522285667</v>
      </c>
      <c r="F34" s="134"/>
      <c r="G34" s="118">
        <f t="shared" si="11"/>
        <v>1.1676671065294824</v>
      </c>
      <c r="H34" s="118">
        <f t="shared" si="12"/>
        <v>0.3121868902578151</v>
      </c>
      <c r="I34" s="310"/>
      <c r="J34" s="243">
        <f t="shared" ref="J34:Q34" si="20">J29+J30</f>
        <v>29323</v>
      </c>
      <c r="K34" s="243">
        <f t="shared" si="20"/>
        <v>43989.222638824023</v>
      </c>
      <c r="L34" s="243">
        <f t="shared" si="20"/>
        <v>62407</v>
      </c>
      <c r="M34" s="243">
        <f t="shared" si="20"/>
        <v>82759</v>
      </c>
      <c r="N34" s="243">
        <f t="shared" si="20"/>
        <v>59755</v>
      </c>
      <c r="O34" s="243">
        <f t="shared" si="20"/>
        <v>62585.126563506201</v>
      </c>
      <c r="P34" s="243">
        <f t="shared" si="20"/>
        <v>72185</v>
      </c>
      <c r="Q34" s="243">
        <f t="shared" si="20"/>
        <v>92156.162950429891</v>
      </c>
      <c r="R34" s="243">
        <f>R29+R30</f>
        <v>84358.444181232189</v>
      </c>
      <c r="S34" s="243">
        <f>S29+S30</f>
        <v>88219.95074999996</v>
      </c>
      <c r="U34" s="248">
        <f t="shared" si="13"/>
        <v>1.038</v>
      </c>
      <c r="V34" s="248">
        <f t="shared" si="13"/>
        <v>0.42299999999999999</v>
      </c>
      <c r="W34" s="248">
        <f t="shared" si="13"/>
        <v>0.157</v>
      </c>
      <c r="X34" s="248">
        <f t="shared" si="13"/>
        <v>0.114</v>
      </c>
      <c r="Y34" s="248">
        <f t="shared" si="13"/>
        <v>0.41199999999999998</v>
      </c>
      <c r="Z34" s="248">
        <f t="shared" si="13"/>
        <v>0.41</v>
      </c>
    </row>
    <row r="35" spans="1:26">
      <c r="A35" s="311" t="s">
        <v>260</v>
      </c>
      <c r="B35" s="116" t="s">
        <v>125</v>
      </c>
      <c r="C35" s="117">
        <v>-53177</v>
      </c>
      <c r="D35" s="117">
        <v>-128644</v>
      </c>
      <c r="E35" s="117">
        <v>-146018.44884014453</v>
      </c>
      <c r="F35" s="134"/>
      <c r="G35" s="118">
        <f t="shared" si="11"/>
        <v>1.4191661808676685</v>
      </c>
      <c r="H35" s="118">
        <f t="shared" si="12"/>
        <v>0.13505836914387404</v>
      </c>
      <c r="I35" s="310"/>
      <c r="J35" s="117">
        <v>-25018</v>
      </c>
      <c r="K35" s="117">
        <v>-26570</v>
      </c>
      <c r="L35" s="117">
        <v>-32283</v>
      </c>
      <c r="M35" s="117">
        <v>-44774</v>
      </c>
      <c r="N35" s="243">
        <v>-43863</v>
      </c>
      <c r="O35" s="117">
        <v>-32440</v>
      </c>
      <c r="P35" s="117">
        <v>-30532</v>
      </c>
      <c r="Q35" s="117">
        <f>-39184.13767</f>
        <v>-39184.137669999996</v>
      </c>
      <c r="R35" s="243">
        <f>SUM(R36:R38)</f>
        <v>-52832.997455437871</v>
      </c>
      <c r="S35" s="243">
        <f>SUM(S36:S39)</f>
        <v>-45616.151149999998</v>
      </c>
      <c r="U35" s="250">
        <f t="shared" si="13"/>
        <v>0.753</v>
      </c>
      <c r="V35" s="250">
        <f t="shared" si="13"/>
        <v>0.221</v>
      </c>
      <c r="W35" s="250">
        <f t="shared" si="13"/>
        <v>-5.3999999999999999E-2</v>
      </c>
      <c r="X35" s="250">
        <f t="shared" si="13"/>
        <v>-0.125</v>
      </c>
      <c r="Y35" s="250">
        <f t="shared" si="13"/>
        <v>0.20499999999999999</v>
      </c>
      <c r="Z35" s="250">
        <f t="shared" si="13"/>
        <v>0.40600000000000003</v>
      </c>
    </row>
    <row r="36" spans="1:26">
      <c r="A36" s="124" t="s">
        <v>92</v>
      </c>
      <c r="B36" s="126" t="s">
        <v>150</v>
      </c>
      <c r="C36" s="244">
        <f>C14</f>
        <v>-80177</v>
      </c>
      <c r="D36" s="244">
        <f>D14</f>
        <v>-171736</v>
      </c>
      <c r="E36" s="244">
        <f>E14</f>
        <v>-217455.23200333328</v>
      </c>
      <c r="F36" s="308"/>
      <c r="G36" s="122">
        <f t="shared" si="11"/>
        <v>1.1419609114833431</v>
      </c>
      <c r="H36" s="122">
        <f t="shared" si="12"/>
        <v>0.26621810222279119</v>
      </c>
      <c r="I36" s="310"/>
      <c r="J36" s="244">
        <f t="shared" ref="J36:R36" si="21">J14</f>
        <v>-34390</v>
      </c>
      <c r="K36" s="244">
        <f t="shared" si="21"/>
        <v>-38970</v>
      </c>
      <c r="L36" s="244">
        <f t="shared" si="21"/>
        <v>-41640</v>
      </c>
      <c r="M36" s="244">
        <f t="shared" si="21"/>
        <v>-56736</v>
      </c>
      <c r="N36" s="244">
        <f t="shared" si="21"/>
        <v>-62061</v>
      </c>
      <c r="O36" s="244">
        <f t="shared" si="21"/>
        <v>-45905</v>
      </c>
      <c r="P36" s="244">
        <f t="shared" si="21"/>
        <v>-46771</v>
      </c>
      <c r="Q36" s="244">
        <f t="shared" si="21"/>
        <v>-62718.564003333297</v>
      </c>
      <c r="R36" s="244">
        <f t="shared" si="21"/>
        <v>-80337.742665066573</v>
      </c>
      <c r="S36" s="244">
        <f t="shared" ref="S36" si="22">S14</f>
        <v>-50190.79019</v>
      </c>
      <c r="U36" s="249">
        <f t="shared" si="13"/>
        <v>0.80500000000000005</v>
      </c>
      <c r="V36" s="249">
        <f t="shared" si="13"/>
        <v>0.17799999999999999</v>
      </c>
      <c r="W36" s="249">
        <f t="shared" si="13"/>
        <v>0.123</v>
      </c>
      <c r="X36" s="249">
        <f t="shared" si="13"/>
        <v>0.105</v>
      </c>
      <c r="Y36" s="249">
        <f t="shared" si="13"/>
        <v>0.29399999999999998</v>
      </c>
      <c r="Z36" s="249">
        <f t="shared" si="13"/>
        <v>9.2999999999999999E-2</v>
      </c>
    </row>
    <row r="37" spans="1:26">
      <c r="A37" s="124" t="s">
        <v>126</v>
      </c>
      <c r="B37" s="126" t="s">
        <v>108</v>
      </c>
      <c r="C37" s="121">
        <f>-(C16+C17)</f>
        <v>19559</v>
      </c>
      <c r="D37" s="121">
        <f>-(D16+D17)</f>
        <v>26044</v>
      </c>
      <c r="E37" s="121">
        <f>-(E16+E17)</f>
        <v>53189.273873333281</v>
      </c>
      <c r="F37" s="308"/>
      <c r="G37" s="122">
        <f t="shared" si="11"/>
        <v>0.33156091824735423</v>
      </c>
      <c r="H37" s="122">
        <f t="shared" si="12"/>
        <v>1.0422851279885301</v>
      </c>
      <c r="I37" s="310"/>
      <c r="J37" s="121">
        <f t="shared" ref="J37:O37" si="23">-(J16+J17)</f>
        <v>5811</v>
      </c>
      <c r="K37" s="121">
        <f t="shared" si="23"/>
        <v>7980.6132499999658</v>
      </c>
      <c r="L37" s="121">
        <f t="shared" si="23"/>
        <v>6457</v>
      </c>
      <c r="M37" s="121">
        <f t="shared" si="23"/>
        <v>5795</v>
      </c>
      <c r="N37" s="121">
        <f t="shared" si="23"/>
        <v>8501</v>
      </c>
      <c r="O37" s="121">
        <f t="shared" si="23"/>
        <v>15210.999369999998</v>
      </c>
      <c r="P37" s="121">
        <v>14660</v>
      </c>
      <c r="Q37" s="121">
        <v>14817.498323333277</v>
      </c>
      <c r="R37" s="244">
        <f>-(R16+R17)</f>
        <v>19235.159819999997</v>
      </c>
      <c r="S37" s="244">
        <f>-(S16+S17)</f>
        <v>18685.639040000002</v>
      </c>
      <c r="U37" s="249">
        <f t="shared" si="13"/>
        <v>0.46300000000000002</v>
      </c>
      <c r="V37" s="249">
        <f t="shared" si="13"/>
        <v>0.90600000000000003</v>
      </c>
      <c r="W37" s="249">
        <f t="shared" si="13"/>
        <v>1.27</v>
      </c>
      <c r="X37" s="249">
        <f t="shared" si="13"/>
        <v>1.5569999999999999</v>
      </c>
      <c r="Y37" s="249">
        <f t="shared" si="13"/>
        <v>1.2629999999999999</v>
      </c>
      <c r="Z37" s="249">
        <f t="shared" si="13"/>
        <v>0.22800000000000001</v>
      </c>
    </row>
    <row r="38" spans="1:26" s="322" customFormat="1">
      <c r="A38" s="324" t="s">
        <v>93</v>
      </c>
      <c r="B38" s="325" t="s">
        <v>151</v>
      </c>
      <c r="C38" s="121">
        <v>7440</v>
      </c>
      <c r="D38" s="121">
        <v>17049</v>
      </c>
      <c r="E38" s="121">
        <v>18247.509289855469</v>
      </c>
      <c r="F38" s="308"/>
      <c r="G38" s="122">
        <f t="shared" si="11"/>
        <v>1.2915322580645161</v>
      </c>
      <c r="H38" s="122">
        <f t="shared" si="12"/>
        <v>7.0297923036862553E-2</v>
      </c>
      <c r="I38" s="310"/>
      <c r="J38" s="121">
        <v>3562</v>
      </c>
      <c r="K38" s="121">
        <v>4419.6051349999998</v>
      </c>
      <c r="L38" s="121">
        <v>2901</v>
      </c>
      <c r="M38" s="121">
        <v>6167</v>
      </c>
      <c r="N38" s="121">
        <v>9697</v>
      </c>
      <c r="O38" s="121">
        <v>-1746.3036722646234</v>
      </c>
      <c r="P38" s="121">
        <v>1580</v>
      </c>
      <c r="Q38" s="121">
        <v>8716.9280100000051</v>
      </c>
      <c r="R38" s="244">
        <v>8269.585389628699</v>
      </c>
      <c r="S38" s="244">
        <v>0</v>
      </c>
      <c r="U38" s="249">
        <f t="shared" si="13"/>
        <v>1.722</v>
      </c>
      <c r="V38" s="249" t="s">
        <v>153</v>
      </c>
      <c r="W38" s="249">
        <f t="shared" si="13"/>
        <v>-0.45500000000000002</v>
      </c>
      <c r="X38" s="249">
        <f t="shared" si="13"/>
        <v>0.41299999999999998</v>
      </c>
      <c r="Y38" s="249">
        <f t="shared" si="13"/>
        <v>-0.14699999999999999</v>
      </c>
      <c r="Z38" s="249">
        <f>ROUND(S39/O38-1,3)</f>
        <v>7.08</v>
      </c>
    </row>
    <row r="39" spans="1:26" s="322" customFormat="1">
      <c r="A39" s="324" t="s">
        <v>271</v>
      </c>
      <c r="B39" s="325" t="s">
        <v>270</v>
      </c>
      <c r="C39" s="121">
        <v>0</v>
      </c>
      <c r="D39" s="121">
        <v>0</v>
      </c>
      <c r="E39" s="121">
        <v>0</v>
      </c>
      <c r="F39" s="308"/>
      <c r="G39" s="122">
        <v>0</v>
      </c>
      <c r="H39" s="122">
        <v>0</v>
      </c>
      <c r="I39" s="310"/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244">
        <v>0</v>
      </c>
      <c r="S39" s="244">
        <v>-14111</v>
      </c>
      <c r="U39" s="249" t="s">
        <v>153</v>
      </c>
      <c r="V39" s="249" t="s">
        <v>153</v>
      </c>
      <c r="W39" s="249" t="s">
        <v>153</v>
      </c>
      <c r="X39" s="249" t="s">
        <v>153</v>
      </c>
      <c r="Y39" s="249" t="s">
        <v>153</v>
      </c>
      <c r="Z39" s="249" t="s">
        <v>153</v>
      </c>
    </row>
    <row r="40" spans="1:26">
      <c r="A40" s="115"/>
      <c r="B40" s="116" t="s">
        <v>261</v>
      </c>
      <c r="C40" s="117">
        <v>47612</v>
      </c>
      <c r="D40" s="117">
        <v>89833</v>
      </c>
      <c r="E40" s="117">
        <v>140664.20638271215</v>
      </c>
      <c r="F40" s="134"/>
      <c r="G40" s="125">
        <v>0.88700000000000001</v>
      </c>
      <c r="H40" s="125">
        <v>0.56583622426032099</v>
      </c>
      <c r="I40" s="310"/>
      <c r="J40" s="243">
        <f t="shared" ref="J40:R40" si="24">J34+J35</f>
        <v>4305</v>
      </c>
      <c r="K40" s="243">
        <f t="shared" si="24"/>
        <v>17419.222638824023</v>
      </c>
      <c r="L40" s="243">
        <f t="shared" si="24"/>
        <v>30124</v>
      </c>
      <c r="M40" s="243">
        <f t="shared" si="24"/>
        <v>37985</v>
      </c>
      <c r="N40" s="243">
        <f t="shared" si="24"/>
        <v>15892</v>
      </c>
      <c r="O40" s="243">
        <f t="shared" si="24"/>
        <v>30145.126563506201</v>
      </c>
      <c r="P40" s="243">
        <f t="shared" si="24"/>
        <v>41653</v>
      </c>
      <c r="Q40" s="243">
        <f t="shared" si="24"/>
        <v>52972.025280429894</v>
      </c>
      <c r="R40" s="243">
        <f t="shared" si="24"/>
        <v>31525.446725794318</v>
      </c>
      <c r="S40" s="243">
        <f t="shared" ref="S40" si="25">S34+S35</f>
        <v>42603.799599999962</v>
      </c>
      <c r="U40" s="125">
        <v>2.6920000000000002</v>
      </c>
      <c r="V40" s="125">
        <v>0.73099999999999998</v>
      </c>
      <c r="W40" s="118">
        <v>0.38300000000000001</v>
      </c>
      <c r="X40" s="118">
        <v>0.39452886134799137</v>
      </c>
      <c r="Y40" s="248">
        <f t="shared" si="13"/>
        <v>0.98399999999999999</v>
      </c>
      <c r="Z40" s="248">
        <f t="shared" si="13"/>
        <v>0.41299999999999998</v>
      </c>
    </row>
    <row r="41" spans="1:26">
      <c r="A41" s="124" t="s">
        <v>259</v>
      </c>
      <c r="B41" s="120" t="s">
        <v>128</v>
      </c>
      <c r="C41" s="121">
        <v>24688</v>
      </c>
      <c r="D41" s="121">
        <v>40705</v>
      </c>
      <c r="E41" s="121">
        <v>61626.618017144385</v>
      </c>
      <c r="F41" s="307"/>
      <c r="G41" s="122">
        <f>D41/C41-1</f>
        <v>0.64877673363577437</v>
      </c>
      <c r="H41" s="122">
        <f>E41/D41-1</f>
        <v>0.51398152603229041</v>
      </c>
      <c r="I41" s="310"/>
      <c r="J41" s="121">
        <v>8135</v>
      </c>
      <c r="K41" s="121">
        <v>9403</v>
      </c>
      <c r="L41" s="121">
        <v>10662</v>
      </c>
      <c r="M41" s="121">
        <v>12504</v>
      </c>
      <c r="N41" s="121">
        <v>14748</v>
      </c>
      <c r="O41" s="121">
        <v>16003.882436494559</v>
      </c>
      <c r="P41" s="121">
        <v>16136</v>
      </c>
      <c r="Q41" s="121">
        <v>14739.359879570155</v>
      </c>
      <c r="R41" s="244">
        <f>-R33</f>
        <v>15165.617948767735</v>
      </c>
      <c r="S41" s="244">
        <v>19087</v>
      </c>
      <c r="U41" s="251">
        <f t="shared" ref="U41:Z41" si="26">ROUND(N41/J41-1,3)</f>
        <v>0.81299999999999994</v>
      </c>
      <c r="V41" s="251">
        <f t="shared" si="26"/>
        <v>0.70199999999999996</v>
      </c>
      <c r="W41" s="251">
        <f t="shared" si="26"/>
        <v>0.51300000000000001</v>
      </c>
      <c r="X41" s="251">
        <f t="shared" si="26"/>
        <v>0.17899999999999999</v>
      </c>
      <c r="Y41" s="251">
        <f t="shared" si="26"/>
        <v>2.8000000000000001E-2</v>
      </c>
      <c r="Z41" s="251">
        <f t="shared" si="26"/>
        <v>0.193</v>
      </c>
    </row>
    <row r="42" spans="1:26">
      <c r="A42" s="115"/>
      <c r="B42" s="116" t="s">
        <v>253</v>
      </c>
      <c r="C42" s="243">
        <f>C40+C41</f>
        <v>72300</v>
      </c>
      <c r="D42" s="243">
        <f>D40+D41</f>
        <v>130538</v>
      </c>
      <c r="E42" s="243">
        <f>E40+E41</f>
        <v>202290.82439985653</v>
      </c>
      <c r="F42" s="134"/>
      <c r="G42" s="125">
        <v>0.88700000000000001</v>
      </c>
      <c r="H42" s="125">
        <v>0.56583622426032099</v>
      </c>
      <c r="I42" s="310"/>
      <c r="J42" s="243">
        <f t="shared" ref="J42:S42" si="27">J40+J41</f>
        <v>12440</v>
      </c>
      <c r="K42" s="243">
        <f t="shared" si="27"/>
        <v>26822.222638824023</v>
      </c>
      <c r="L42" s="243">
        <f t="shared" si="27"/>
        <v>40786</v>
      </c>
      <c r="M42" s="243">
        <f t="shared" si="27"/>
        <v>50489</v>
      </c>
      <c r="N42" s="243">
        <f t="shared" si="27"/>
        <v>30640</v>
      </c>
      <c r="O42" s="243">
        <f t="shared" si="27"/>
        <v>46149.009000000762</v>
      </c>
      <c r="P42" s="243">
        <f t="shared" si="27"/>
        <v>57789</v>
      </c>
      <c r="Q42" s="243">
        <f t="shared" si="27"/>
        <v>67711.385160000049</v>
      </c>
      <c r="R42" s="243">
        <f t="shared" si="27"/>
        <v>46691.064674562054</v>
      </c>
      <c r="S42" s="243">
        <f t="shared" si="27"/>
        <v>61690.799599999962</v>
      </c>
      <c r="U42" s="125">
        <v>2.6920000000000002</v>
      </c>
      <c r="V42" s="125">
        <v>0.73099999999999998</v>
      </c>
      <c r="W42" s="118">
        <v>0.38300000000000001</v>
      </c>
      <c r="X42" s="118">
        <v>0.39452886134799137</v>
      </c>
      <c r="Y42" s="248">
        <f t="shared" ref="Y42:Z42" si="28">ROUND(R42/N42-1,3)</f>
        <v>0.52400000000000002</v>
      </c>
      <c r="Z42" s="248">
        <f t="shared" si="28"/>
        <v>0.33700000000000002</v>
      </c>
    </row>
    <row r="43" spans="1:26">
      <c r="A43" s="124" t="s">
        <v>127</v>
      </c>
      <c r="B43" s="120" t="s">
        <v>70</v>
      </c>
      <c r="C43" s="244">
        <f>-(C32+C37)</f>
        <v>-40426</v>
      </c>
      <c r="D43" s="244">
        <f>-(D32+D37)</f>
        <v>-69795</v>
      </c>
      <c r="E43" s="244">
        <f>-(E32+E37)</f>
        <v>-135083.26983875636</v>
      </c>
      <c r="F43" s="307"/>
      <c r="G43" s="122">
        <f>D43/C43-1</f>
        <v>0.72648790382427153</v>
      </c>
      <c r="H43" s="122">
        <f>E43/D43-1</f>
        <v>0.93542903988475334</v>
      </c>
      <c r="I43" s="310"/>
      <c r="J43" s="244">
        <f t="shared" ref="J43:R43" si="29">-(J32+J37)</f>
        <v>-12455</v>
      </c>
      <c r="K43" s="244">
        <f t="shared" si="29"/>
        <v>-17371.056229999958</v>
      </c>
      <c r="L43" s="244">
        <f t="shared" si="29"/>
        <v>-16608</v>
      </c>
      <c r="M43" s="244">
        <f t="shared" si="29"/>
        <v>-23361</v>
      </c>
      <c r="N43" s="244">
        <f t="shared" si="29"/>
        <v>-27908</v>
      </c>
      <c r="O43" s="244">
        <f t="shared" si="29"/>
        <v>-35714.520849999994</v>
      </c>
      <c r="P43" s="244">
        <f t="shared" si="29"/>
        <v>-35506</v>
      </c>
      <c r="Q43" s="244">
        <f t="shared" si="29"/>
        <v>-35955.177898756359</v>
      </c>
      <c r="R43" s="244">
        <f t="shared" si="29"/>
        <v>-37234.605629999998</v>
      </c>
      <c r="S43" s="244">
        <f t="shared" ref="S43" si="30">-(S32+S37)</f>
        <v>-35773.565369999997</v>
      </c>
      <c r="U43" s="249">
        <f t="shared" si="13"/>
        <v>1.2410000000000001</v>
      </c>
      <c r="V43" s="249">
        <f t="shared" si="13"/>
        <v>1.056</v>
      </c>
      <c r="W43" s="249">
        <f t="shared" si="13"/>
        <v>1.1379999999999999</v>
      </c>
      <c r="X43" s="249">
        <f t="shared" si="13"/>
        <v>0.53900000000000003</v>
      </c>
      <c r="Y43" s="249">
        <f t="shared" si="13"/>
        <v>0.33400000000000002</v>
      </c>
      <c r="Z43" s="249">
        <f t="shared" si="13"/>
        <v>2E-3</v>
      </c>
    </row>
    <row r="44" spans="1:26">
      <c r="A44" s="124"/>
      <c r="B44" s="120" t="s">
        <v>209</v>
      </c>
      <c r="C44" s="121">
        <v>0</v>
      </c>
      <c r="D44" s="121">
        <v>0</v>
      </c>
      <c r="E44" s="121">
        <v>0</v>
      </c>
      <c r="F44" s="307"/>
      <c r="G44" s="122" t="s">
        <v>153</v>
      </c>
      <c r="H44" s="122" t="s">
        <v>153</v>
      </c>
      <c r="I44" s="310"/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-978</v>
      </c>
      <c r="R44" s="121">
        <f>R18</f>
        <v>-1166.2677900000001</v>
      </c>
      <c r="S44" s="121">
        <f>S18</f>
        <v>-3342.7639199999999</v>
      </c>
      <c r="U44" s="249" t="s">
        <v>153</v>
      </c>
      <c r="V44" s="249" t="s">
        <v>153</v>
      </c>
      <c r="W44" s="249" t="s">
        <v>153</v>
      </c>
      <c r="X44" s="249" t="s">
        <v>153</v>
      </c>
      <c r="Y44" s="249" t="s">
        <v>153</v>
      </c>
      <c r="Z44" s="249" t="s">
        <v>153</v>
      </c>
    </row>
    <row r="45" spans="1:26">
      <c r="A45" s="119"/>
      <c r="B45" s="120" t="s">
        <v>129</v>
      </c>
      <c r="C45" s="121">
        <v>-37012</v>
      </c>
      <c r="D45" s="121">
        <v>-46986</v>
      </c>
      <c r="E45" s="121">
        <v>-75489.438315596999</v>
      </c>
      <c r="F45" s="307"/>
      <c r="G45" s="122">
        <f t="shared" ref="G45:H50" si="31">D45/C45-1</f>
        <v>0.26948016859396962</v>
      </c>
      <c r="H45" s="122">
        <f t="shared" si="31"/>
        <v>0.606636834708147</v>
      </c>
      <c r="I45" s="310"/>
      <c r="J45" s="121">
        <v>-10969</v>
      </c>
      <c r="K45" s="121">
        <v>-11897.66936</v>
      </c>
      <c r="L45" s="121">
        <v>-10483</v>
      </c>
      <c r="M45" s="121">
        <v>-13637</v>
      </c>
      <c r="N45" s="244">
        <v>-17274</v>
      </c>
      <c r="O45" s="121">
        <v>-13930.093449999998</v>
      </c>
      <c r="P45" s="121">
        <v>-18195</v>
      </c>
      <c r="Q45" s="121">
        <v>-26088.958885596989</v>
      </c>
      <c r="R45" s="244">
        <f>R19</f>
        <v>-30959.244320000002</v>
      </c>
      <c r="S45" s="244">
        <f>S19</f>
        <v>-60457.957829999999</v>
      </c>
      <c r="U45" s="249">
        <f t="shared" si="13"/>
        <v>0.57499999999999996</v>
      </c>
      <c r="V45" s="249">
        <f t="shared" si="13"/>
        <v>0.17100000000000001</v>
      </c>
      <c r="W45" s="249">
        <f t="shared" si="13"/>
        <v>0.73599999999999999</v>
      </c>
      <c r="X45" s="249">
        <f t="shared" si="13"/>
        <v>0.91300000000000003</v>
      </c>
      <c r="Y45" s="249">
        <f t="shared" si="13"/>
        <v>0.79200000000000004</v>
      </c>
      <c r="Z45" s="249">
        <f t="shared" si="13"/>
        <v>3.34</v>
      </c>
    </row>
    <row r="46" spans="1:26">
      <c r="A46" s="119"/>
      <c r="B46" s="120" t="s">
        <v>130</v>
      </c>
      <c r="C46" s="121">
        <v>5432</v>
      </c>
      <c r="D46" s="121">
        <v>10320</v>
      </c>
      <c r="E46" s="121">
        <v>9645.2193202241724</v>
      </c>
      <c r="F46" s="307"/>
      <c r="G46" s="122">
        <f t="shared" si="31"/>
        <v>0.89985272459499255</v>
      </c>
      <c r="H46" s="122">
        <f t="shared" si="31"/>
        <v>-6.538572478447946E-2</v>
      </c>
      <c r="I46" s="310"/>
      <c r="J46" s="121">
        <v>4696</v>
      </c>
      <c r="K46" s="121">
        <v>-1125.8602190190113</v>
      </c>
      <c r="L46" s="121">
        <v>-3637</v>
      </c>
      <c r="M46" s="121">
        <v>10387</v>
      </c>
      <c r="N46" s="244">
        <v>5647</v>
      </c>
      <c r="O46" s="121">
        <v>4774.7634300000009</v>
      </c>
      <c r="P46" s="121">
        <v>-2830</v>
      </c>
      <c r="Q46" s="121">
        <v>2053.257330224169</v>
      </c>
      <c r="R46" s="244">
        <f>R22</f>
        <v>1142.1325099999999</v>
      </c>
      <c r="S46" s="244">
        <f>S22</f>
        <v>-1997</v>
      </c>
      <c r="U46" s="251">
        <f t="shared" si="13"/>
        <v>0.20300000000000001</v>
      </c>
      <c r="V46" s="251" t="s">
        <v>153</v>
      </c>
      <c r="W46" s="251">
        <f t="shared" si="13"/>
        <v>-0.222</v>
      </c>
      <c r="X46" s="251">
        <f t="shared" si="13"/>
        <v>-0.80200000000000005</v>
      </c>
      <c r="Y46" s="251">
        <f t="shared" si="13"/>
        <v>-0.79800000000000004</v>
      </c>
      <c r="Z46" s="251">
        <f t="shared" si="13"/>
        <v>-1.4179999999999999</v>
      </c>
    </row>
    <row r="47" spans="1:26">
      <c r="A47" s="124" t="s">
        <v>131</v>
      </c>
      <c r="B47" s="120" t="s">
        <v>262</v>
      </c>
      <c r="C47" s="121">
        <v>17359</v>
      </c>
      <c r="D47" s="121">
        <v>24427</v>
      </c>
      <c r="E47" s="121">
        <v>57545.142908756352</v>
      </c>
      <c r="F47" s="307"/>
      <c r="G47" s="122">
        <f t="shared" si="31"/>
        <v>0.40716631142346915</v>
      </c>
      <c r="H47" s="122">
        <f t="shared" si="31"/>
        <v>1.3558006676528578</v>
      </c>
      <c r="I47" s="310"/>
      <c r="J47" s="121">
        <v>5013</v>
      </c>
      <c r="K47" s="121">
        <v>5728.6757099999668</v>
      </c>
      <c r="L47" s="121">
        <v>4789</v>
      </c>
      <c r="M47" s="121">
        <v>8897</v>
      </c>
      <c r="N47" s="244">
        <v>8505</v>
      </c>
      <c r="O47" s="121">
        <v>15708.205689999992</v>
      </c>
      <c r="P47" s="121">
        <v>16408</v>
      </c>
      <c r="Q47" s="121">
        <v>16923.384418756355</v>
      </c>
      <c r="R47" s="244">
        <f>-(R11+R17)</f>
        <v>17538.558789999999</v>
      </c>
      <c r="S47" s="244">
        <f>-(S11+S17)</f>
        <v>16184.53801</v>
      </c>
      <c r="U47" s="249">
        <f t="shared" si="13"/>
        <v>0.69699999999999995</v>
      </c>
      <c r="V47" s="249">
        <f t="shared" si="13"/>
        <v>1.742</v>
      </c>
      <c r="W47" s="249">
        <f t="shared" si="13"/>
        <v>2.4260000000000002</v>
      </c>
      <c r="X47" s="249">
        <f t="shared" si="13"/>
        <v>0.90200000000000002</v>
      </c>
      <c r="Y47" s="249">
        <f t="shared" si="13"/>
        <v>1.0620000000000001</v>
      </c>
      <c r="Z47" s="249">
        <f t="shared" si="13"/>
        <v>0.03</v>
      </c>
    </row>
    <row r="48" spans="1:26" s="322" customFormat="1">
      <c r="A48" s="324"/>
      <c r="B48" s="329" t="s">
        <v>227</v>
      </c>
      <c r="C48" s="121">
        <v>0</v>
      </c>
      <c r="D48" s="121">
        <v>0</v>
      </c>
      <c r="E48" s="121">
        <v>0</v>
      </c>
      <c r="F48" s="307"/>
      <c r="G48" s="70">
        <v>0</v>
      </c>
      <c r="H48" s="70">
        <v>0</v>
      </c>
      <c r="I48" s="310"/>
      <c r="J48" s="121">
        <v>0</v>
      </c>
      <c r="K48" s="121">
        <v>0</v>
      </c>
      <c r="L48" s="121">
        <v>0</v>
      </c>
      <c r="M48" s="121">
        <v>0</v>
      </c>
      <c r="N48" s="244">
        <v>0</v>
      </c>
      <c r="O48" s="121">
        <v>0</v>
      </c>
      <c r="P48" s="121">
        <v>0</v>
      </c>
      <c r="Q48" s="121">
        <v>0</v>
      </c>
      <c r="R48" s="244">
        <v>2220.8769700000003</v>
      </c>
      <c r="S48" s="244"/>
      <c r="U48" s="257">
        <v>0</v>
      </c>
      <c r="V48" s="258">
        <v>0</v>
      </c>
      <c r="W48" s="258">
        <v>0</v>
      </c>
      <c r="X48" s="258">
        <v>0</v>
      </c>
      <c r="Y48" s="259">
        <v>0</v>
      </c>
      <c r="Z48" s="259">
        <v>0</v>
      </c>
    </row>
    <row r="49" spans="1:26 16383:16383" s="322" customFormat="1">
      <c r="A49" s="324"/>
      <c r="B49" s="328" t="s">
        <v>272</v>
      </c>
      <c r="C49" s="121">
        <v>0</v>
      </c>
      <c r="D49" s="121">
        <v>0</v>
      </c>
      <c r="E49" s="121">
        <v>0</v>
      </c>
      <c r="F49" s="307"/>
      <c r="G49" s="70">
        <v>0</v>
      </c>
      <c r="H49" s="70">
        <v>0</v>
      </c>
      <c r="I49" s="310"/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244">
        <v>-3697</v>
      </c>
      <c r="S49" s="244">
        <v>26664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XFC49" s="257"/>
    </row>
    <row r="50" spans="1:26 16383:16383">
      <c r="A50" s="124"/>
      <c r="B50" s="120" t="s">
        <v>274</v>
      </c>
      <c r="C50" s="244">
        <f t="shared" ref="C50:E50" si="32">-C38*0.34</f>
        <v>-2529.6000000000004</v>
      </c>
      <c r="D50" s="244">
        <f t="shared" si="32"/>
        <v>-5796.6600000000008</v>
      </c>
      <c r="E50" s="244">
        <f t="shared" si="32"/>
        <v>-6204.1531585508601</v>
      </c>
      <c r="F50" s="307"/>
      <c r="G50" s="122">
        <f t="shared" si="31"/>
        <v>1.2915322580645161</v>
      </c>
      <c r="H50" s="122">
        <f t="shared" si="31"/>
        <v>7.0297923036862553E-2</v>
      </c>
      <c r="I50" s="310"/>
      <c r="J50" s="244">
        <f t="shared" ref="J50:R50" si="33">-J38*0.34</f>
        <v>-1211.0800000000002</v>
      </c>
      <c r="K50" s="244">
        <f t="shared" si="33"/>
        <v>-1502.6657459</v>
      </c>
      <c r="L50" s="244">
        <f t="shared" si="33"/>
        <v>-986.34</v>
      </c>
      <c r="M50" s="244">
        <f t="shared" si="33"/>
        <v>-2096.7800000000002</v>
      </c>
      <c r="N50" s="244">
        <f t="shared" si="33"/>
        <v>-3296.98</v>
      </c>
      <c r="O50" s="244">
        <f t="shared" si="33"/>
        <v>593.74324856997202</v>
      </c>
      <c r="P50" s="244">
        <f t="shared" si="33"/>
        <v>-537.20000000000005</v>
      </c>
      <c r="Q50" s="244">
        <f t="shared" si="33"/>
        <v>-2963.7555234000019</v>
      </c>
      <c r="R50" s="244">
        <f t="shared" si="33"/>
        <v>-2811.6590324737576</v>
      </c>
      <c r="S50" s="244">
        <f>-S39*0.34</f>
        <v>4797.7400000000007</v>
      </c>
      <c r="T50" s="303"/>
      <c r="U50" s="123">
        <v>1.7230000000000001</v>
      </c>
      <c r="V50" s="132" t="s">
        <v>153</v>
      </c>
      <c r="W50" s="132">
        <v>-0.45400000000000001</v>
      </c>
      <c r="X50" s="132">
        <v>0.41404222289968629</v>
      </c>
      <c r="Y50" s="251">
        <f t="shared" si="13"/>
        <v>-0.14699999999999999</v>
      </c>
      <c r="Z50" s="251">
        <f t="shared" si="13"/>
        <v>7.08</v>
      </c>
    </row>
    <row r="51" spans="1:26 16383:16383">
      <c r="A51" s="124"/>
      <c r="B51" s="138" t="s">
        <v>152</v>
      </c>
      <c r="C51" s="246">
        <f>SUM(C42:C50)</f>
        <v>15123.4</v>
      </c>
      <c r="D51" s="246">
        <f>SUM(D42:D50)</f>
        <v>42707.34</v>
      </c>
      <c r="E51" s="246">
        <f>SUM(E42:E50)</f>
        <v>52704.325315932831</v>
      </c>
      <c r="F51" s="312"/>
      <c r="G51" s="139">
        <f>D51/C51-1</f>
        <v>1.8239245143287883</v>
      </c>
      <c r="H51" s="139">
        <f>E51/D51-1</f>
        <v>0.2340811981250257</v>
      </c>
      <c r="I51" s="310"/>
      <c r="J51" s="246">
        <f t="shared" ref="J51:S51" si="34">SUM(J42:J50)</f>
        <v>-2486.08</v>
      </c>
      <c r="K51" s="246">
        <f t="shared" si="34"/>
        <v>653.64679390502056</v>
      </c>
      <c r="L51" s="246">
        <f t="shared" si="34"/>
        <v>13860.66</v>
      </c>
      <c r="M51" s="246">
        <f t="shared" si="34"/>
        <v>30678.22</v>
      </c>
      <c r="N51" s="246">
        <f t="shared" si="34"/>
        <v>-3686.98</v>
      </c>
      <c r="O51" s="246">
        <f t="shared" si="34"/>
        <v>17581.107068570735</v>
      </c>
      <c r="P51" s="246">
        <f t="shared" si="34"/>
        <v>17128.8</v>
      </c>
      <c r="Q51" s="246">
        <f t="shared" si="34"/>
        <v>20702.134601227222</v>
      </c>
      <c r="R51" s="246">
        <f t="shared" si="34"/>
        <v>-8276.1438279117065</v>
      </c>
      <c r="S51" s="246">
        <f t="shared" si="34"/>
        <v>7765.7904899999621</v>
      </c>
      <c r="U51" s="253">
        <f t="shared" si="13"/>
        <v>0.48299999999999998</v>
      </c>
      <c r="V51" s="253">
        <f t="shared" si="13"/>
        <v>25.896999999999998</v>
      </c>
      <c r="W51" s="253">
        <f t="shared" si="13"/>
        <v>0.23599999999999999</v>
      </c>
      <c r="X51" s="253">
        <f t="shared" si="13"/>
        <v>-0.32500000000000001</v>
      </c>
      <c r="Y51" s="253">
        <f t="shared" si="13"/>
        <v>1.2450000000000001</v>
      </c>
      <c r="Z51" s="253">
        <f t="shared" si="13"/>
        <v>-0.55800000000000005</v>
      </c>
    </row>
    <row r="52" spans="1:26 16383:16383">
      <c r="R52" s="303"/>
      <c r="S52" s="303"/>
    </row>
    <row r="53" spans="1:26 16383:16383">
      <c r="A53" s="2" t="s">
        <v>210</v>
      </c>
    </row>
    <row r="54" spans="1:26 16383:16383">
      <c r="Q54" s="303"/>
      <c r="R54" s="303"/>
      <c r="S54" s="303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P14:S1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3548-49C7-487F-BB70-BF869534E4E6}">
  <dimension ref="A1:AB60"/>
  <sheetViews>
    <sheetView showGridLines="0" zoomScaleNormal="100" workbookViewId="0">
      <pane xSplit="1" ySplit="4" topLeftCell="N29" activePane="bottomRight" state="frozen"/>
      <selection pane="topRight" activeCell="B1" sqref="B1"/>
      <selection pane="bottomLeft" activeCell="A5" sqref="A5"/>
      <selection pane="bottomRight" activeCell="T40" sqref="T40"/>
    </sheetView>
  </sheetViews>
  <sheetFormatPr defaultColWidth="9.1796875" defaultRowHeight="10"/>
  <cols>
    <col min="1" max="1" width="69.81640625" style="144" bestFit="1" customWidth="1"/>
    <col min="2" max="5" width="11.54296875" style="144" customWidth="1"/>
    <col min="6" max="6" width="2.54296875" style="146" customWidth="1"/>
    <col min="7" max="9" width="11.54296875" style="144" customWidth="1"/>
    <col min="10" max="10" width="9.1796875" style="144"/>
    <col min="11" max="20" width="11.54296875" style="144" customWidth="1"/>
    <col min="21" max="21" width="2.54296875" style="146" customWidth="1"/>
    <col min="22" max="22" width="10.81640625" style="144" customWidth="1"/>
    <col min="23" max="23" width="11.54296875" style="144" bestFit="1" customWidth="1"/>
    <col min="24" max="26" width="10.81640625" style="144" customWidth="1"/>
    <col min="27" max="27" width="10.81640625" style="326" customWidth="1"/>
    <col min="28" max="16384" width="9.1796875" style="144"/>
  </cols>
  <sheetData>
    <row r="1" spans="1:27" ht="55.5" customHeight="1"/>
    <row r="2" spans="1:27">
      <c r="A2" s="148"/>
      <c r="B2" s="145"/>
      <c r="C2" s="145"/>
      <c r="D2" s="150"/>
      <c r="G2" s="149" t="s">
        <v>0</v>
      </c>
      <c r="H2" s="149" t="s">
        <v>0</v>
      </c>
      <c r="I2" s="149" t="s">
        <v>0</v>
      </c>
      <c r="V2" s="149" t="s">
        <v>0</v>
      </c>
      <c r="W2" s="149" t="s">
        <v>0</v>
      </c>
      <c r="X2" s="149" t="s">
        <v>0</v>
      </c>
      <c r="Y2" s="193" t="s">
        <v>0</v>
      </c>
      <c r="Z2" s="266" t="s">
        <v>0</v>
      </c>
      <c r="AA2" s="266" t="s">
        <v>0</v>
      </c>
    </row>
    <row r="3" spans="1:27">
      <c r="A3" s="4" t="s">
        <v>46</v>
      </c>
      <c r="B3" s="5">
        <v>2018</v>
      </c>
      <c r="C3" s="5">
        <v>2019</v>
      </c>
      <c r="D3" s="5">
        <v>2020</v>
      </c>
      <c r="E3" s="5">
        <v>2021</v>
      </c>
      <c r="F3" s="6"/>
      <c r="G3" s="5">
        <v>2019</v>
      </c>
      <c r="H3" s="5">
        <v>2020</v>
      </c>
      <c r="I3" s="5">
        <v>2021</v>
      </c>
      <c r="J3" s="151"/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25</v>
      </c>
      <c r="Q3" s="5" t="s">
        <v>176</v>
      </c>
      <c r="R3" s="5" t="s">
        <v>181</v>
      </c>
      <c r="S3" s="229" t="s">
        <v>206</v>
      </c>
      <c r="T3" s="229" t="s">
        <v>264</v>
      </c>
      <c r="V3" s="5" t="s">
        <v>5</v>
      </c>
      <c r="W3" s="5" t="s">
        <v>25</v>
      </c>
      <c r="X3" s="5" t="s">
        <v>176</v>
      </c>
      <c r="Y3" s="5" t="s">
        <v>181</v>
      </c>
      <c r="Z3" s="229" t="s">
        <v>206</v>
      </c>
      <c r="AA3" s="229" t="s">
        <v>264</v>
      </c>
    </row>
    <row r="4" spans="1:27" ht="5.15" customHeight="1">
      <c r="K4" s="152"/>
      <c r="O4" s="152"/>
      <c r="P4" s="194"/>
      <c r="Q4" s="194"/>
      <c r="R4" s="194"/>
      <c r="S4" s="260"/>
      <c r="T4" s="260"/>
      <c r="Z4" s="260"/>
      <c r="AA4" s="260"/>
    </row>
    <row r="5" spans="1:27">
      <c r="A5" s="146" t="s">
        <v>26</v>
      </c>
      <c r="B5" s="166">
        <v>362433</v>
      </c>
      <c r="C5" s="166">
        <v>527263</v>
      </c>
      <c r="D5" s="166">
        <v>998109</v>
      </c>
      <c r="E5" s="166">
        <v>1520357</v>
      </c>
      <c r="G5" s="195">
        <v>0.45500000000000002</v>
      </c>
      <c r="H5" s="195">
        <v>0.89300000000000002</v>
      </c>
      <c r="I5" s="195">
        <v>0.52300000000000002</v>
      </c>
      <c r="K5" s="159">
        <v>165286</v>
      </c>
      <c r="L5" s="145">
        <v>211215</v>
      </c>
      <c r="M5" s="145">
        <v>277543</v>
      </c>
      <c r="N5" s="145">
        <v>344066</v>
      </c>
      <c r="O5" s="159">
        <v>326440</v>
      </c>
      <c r="P5" s="180">
        <v>368886</v>
      </c>
      <c r="Q5" s="180">
        <v>374167</v>
      </c>
      <c r="R5" s="180">
        <v>450864</v>
      </c>
      <c r="S5" s="261">
        <v>449139.6932808999</v>
      </c>
      <c r="T5" s="261">
        <v>496445.83783147502</v>
      </c>
      <c r="V5" s="158">
        <v>0.97499999999999998</v>
      </c>
      <c r="W5" s="158">
        <v>0.746</v>
      </c>
      <c r="X5" s="158">
        <v>0.34799999999999998</v>
      </c>
      <c r="Y5" s="158">
        <v>0.31</v>
      </c>
      <c r="Z5" s="267">
        <f>ROUND(S5/O5-1,3)</f>
        <v>0.376</v>
      </c>
      <c r="AA5" s="267">
        <f>ROUND(T5/P5-1,3)</f>
        <v>0.34599999999999997</v>
      </c>
    </row>
    <row r="6" spans="1:27">
      <c r="A6" s="146" t="s">
        <v>27</v>
      </c>
      <c r="B6" s="166">
        <v>-290318</v>
      </c>
      <c r="C6" s="166">
        <v>-422652</v>
      </c>
      <c r="D6" s="166">
        <v>-782679</v>
      </c>
      <c r="E6" s="166">
        <v>-1253942</v>
      </c>
      <c r="G6" s="195">
        <v>0.45600000000000002</v>
      </c>
      <c r="H6" s="195">
        <v>0.85199999999999998</v>
      </c>
      <c r="I6" s="195">
        <v>0.60199999999999998</v>
      </c>
      <c r="K6" s="159">
        <v>-134473</v>
      </c>
      <c r="L6" s="145">
        <v>-167213</v>
      </c>
      <c r="M6" s="145">
        <v>-214624</v>
      </c>
      <c r="N6" s="145">
        <v>-266369</v>
      </c>
      <c r="O6" s="159">
        <v>-271344</v>
      </c>
      <c r="P6" s="180">
        <v>-310800</v>
      </c>
      <c r="Q6" s="180">
        <v>-306692</v>
      </c>
      <c r="R6" s="180">
        <v>-365106</v>
      </c>
      <c r="S6" s="261">
        <v>-367615</v>
      </c>
      <c r="T6" s="261">
        <v>-406227</v>
      </c>
      <c r="V6" s="158">
        <v>1.018</v>
      </c>
      <c r="W6" s="158">
        <v>0.85899999999999999</v>
      </c>
      <c r="X6" s="158">
        <v>0.42899999999999999</v>
      </c>
      <c r="Y6" s="158">
        <v>0.371</v>
      </c>
      <c r="Z6" s="267">
        <f>ROUND(S6/O6-1,3)</f>
        <v>0.35499999999999998</v>
      </c>
      <c r="AA6" s="267">
        <f>ROUND(T6/P6-1,3)</f>
        <v>0.307</v>
      </c>
    </row>
    <row r="7" spans="1:27" ht="5.15" customHeight="1">
      <c r="B7" s="145"/>
      <c r="C7" s="145"/>
      <c r="D7" s="145"/>
      <c r="E7" s="145"/>
      <c r="G7" s="158"/>
      <c r="H7" s="158"/>
      <c r="I7" s="158"/>
      <c r="K7" s="159"/>
      <c r="L7" s="145"/>
      <c r="M7" s="145"/>
      <c r="N7" s="145"/>
      <c r="O7" s="159"/>
      <c r="P7" s="180"/>
      <c r="Q7" s="180"/>
      <c r="R7" s="180"/>
      <c r="S7" s="261"/>
      <c r="T7" s="261"/>
      <c r="V7" s="158"/>
      <c r="W7" s="158"/>
      <c r="X7" s="158"/>
      <c r="Y7" s="158"/>
      <c r="Z7" s="267"/>
      <c r="AA7" s="267"/>
    </row>
    <row r="8" spans="1:27">
      <c r="A8" s="161" t="s">
        <v>14</v>
      </c>
      <c r="B8" s="162">
        <v>72115</v>
      </c>
      <c r="C8" s="162">
        <v>104611</v>
      </c>
      <c r="D8" s="162">
        <v>215430</v>
      </c>
      <c r="E8" s="162">
        <v>266415</v>
      </c>
      <c r="G8" s="163">
        <v>0.45100000000000001</v>
      </c>
      <c r="H8" s="163">
        <v>1.0589999999999999</v>
      </c>
      <c r="I8" s="163">
        <v>0.23699999999999999</v>
      </c>
      <c r="K8" s="164">
        <v>30813</v>
      </c>
      <c r="L8" s="162">
        <v>44002</v>
      </c>
      <c r="M8" s="162">
        <v>62919</v>
      </c>
      <c r="N8" s="162">
        <v>77696</v>
      </c>
      <c r="O8" s="164">
        <v>55096</v>
      </c>
      <c r="P8" s="196">
        <v>58086</v>
      </c>
      <c r="Q8" s="196">
        <v>67475</v>
      </c>
      <c r="R8" s="196">
        <v>85758</v>
      </c>
      <c r="S8" s="262">
        <f>SUM(S5:S6)</f>
        <v>81524.693280899897</v>
      </c>
      <c r="T8" s="262">
        <f>SUM(T5:T6)</f>
        <v>90218.837831475015</v>
      </c>
      <c r="V8" s="163">
        <v>0.78800000000000003</v>
      </c>
      <c r="W8" s="163">
        <v>0.32</v>
      </c>
      <c r="X8" s="163">
        <v>7.1999999999999995E-2</v>
      </c>
      <c r="Y8" s="163">
        <v>0.104</v>
      </c>
      <c r="Z8" s="268">
        <f>ROUND(S8/O8-1,3)</f>
        <v>0.48</v>
      </c>
      <c r="AA8" s="268">
        <f>ROUND(T8/P8-1,3)</f>
        <v>0.55300000000000005</v>
      </c>
    </row>
    <row r="9" spans="1:27" ht="5.15" customHeight="1">
      <c r="B9" s="145"/>
      <c r="C9" s="145"/>
      <c r="D9" s="145"/>
      <c r="E9" s="145"/>
      <c r="G9" s="158"/>
      <c r="H9" s="158"/>
      <c r="I9" s="158"/>
      <c r="K9" s="159"/>
      <c r="L9" s="145"/>
      <c r="M9" s="145"/>
      <c r="N9" s="145"/>
      <c r="O9" s="159"/>
      <c r="P9" s="180"/>
      <c r="Q9" s="180"/>
      <c r="R9" s="180"/>
      <c r="S9" s="261"/>
      <c r="T9" s="261"/>
      <c r="V9" s="158"/>
      <c r="W9" s="158"/>
      <c r="X9" s="158"/>
      <c r="Y9" s="158"/>
      <c r="Z9" s="267"/>
      <c r="AA9" s="267"/>
    </row>
    <row r="10" spans="1:27">
      <c r="A10" s="197" t="s">
        <v>28</v>
      </c>
      <c r="B10" s="198">
        <v>-55631</v>
      </c>
      <c r="C10" s="198">
        <v>-80177</v>
      </c>
      <c r="D10" s="198">
        <v>-171736</v>
      </c>
      <c r="E10" s="198">
        <v>-218432</v>
      </c>
      <c r="G10" s="199">
        <v>0.441</v>
      </c>
      <c r="H10" s="199">
        <v>1.1419999999999999</v>
      </c>
      <c r="I10" s="199">
        <v>0.27200000000000002</v>
      </c>
      <c r="K10" s="200">
        <v>-34389</v>
      </c>
      <c r="L10" s="198">
        <v>-38970</v>
      </c>
      <c r="M10" s="198">
        <v>-41642</v>
      </c>
      <c r="N10" s="198">
        <v>-56735</v>
      </c>
      <c r="O10" s="200">
        <v>-62060</v>
      </c>
      <c r="P10" s="201">
        <v>-45905</v>
      </c>
      <c r="Q10" s="201">
        <v>-46772</v>
      </c>
      <c r="R10" s="201">
        <v>-63695</v>
      </c>
      <c r="S10" s="263">
        <f>SUM(S11:S13)</f>
        <v>-81504</v>
      </c>
      <c r="T10" s="263">
        <f>SUM(T11:T13)</f>
        <v>-53533</v>
      </c>
      <c r="V10" s="199">
        <v>0.80500000000000005</v>
      </c>
      <c r="W10" s="199">
        <v>0.17799999999999999</v>
      </c>
      <c r="X10" s="199">
        <v>0.123</v>
      </c>
      <c r="Y10" s="199">
        <v>0.123</v>
      </c>
      <c r="Z10" s="269">
        <f t="shared" ref="Z10:AA11" si="0">ROUND(S10/O10-1,3)</f>
        <v>0.313</v>
      </c>
      <c r="AA10" s="269">
        <f t="shared" si="0"/>
        <v>0.16600000000000001</v>
      </c>
    </row>
    <row r="11" spans="1:27">
      <c r="A11" s="167" t="s">
        <v>29</v>
      </c>
      <c r="B11" s="145">
        <v>-59386</v>
      </c>
      <c r="C11" s="145">
        <v>-83202</v>
      </c>
      <c r="D11" s="145">
        <v>-178387</v>
      </c>
      <c r="E11" s="145">
        <v>-252279</v>
      </c>
      <c r="G11" s="158">
        <v>0.40100000000000002</v>
      </c>
      <c r="H11" s="158">
        <v>1.1439999999999999</v>
      </c>
      <c r="I11" s="158">
        <v>0.41399999999999998</v>
      </c>
      <c r="K11" s="169">
        <v>-35552</v>
      </c>
      <c r="L11" s="166">
        <v>-43091</v>
      </c>
      <c r="M11" s="166">
        <v>-42488</v>
      </c>
      <c r="N11" s="166">
        <v>-57256</v>
      </c>
      <c r="O11" s="169">
        <v>-58077</v>
      </c>
      <c r="P11" s="180">
        <v>-75062</v>
      </c>
      <c r="Q11" s="180">
        <v>-50315</v>
      </c>
      <c r="R11" s="180">
        <v>-68825</v>
      </c>
      <c r="S11" s="261">
        <v>-93184</v>
      </c>
      <c r="T11" s="261">
        <v>-77096</v>
      </c>
      <c r="V11" s="158">
        <v>0.63400000000000001</v>
      </c>
      <c r="W11" s="158">
        <v>0.74199999999999999</v>
      </c>
      <c r="X11" s="158">
        <v>0.184</v>
      </c>
      <c r="Y11" s="158">
        <v>0.20200000000000001</v>
      </c>
      <c r="Z11" s="267">
        <f t="shared" si="0"/>
        <v>0.60399999999999998</v>
      </c>
      <c r="AA11" s="267">
        <f t="shared" si="0"/>
        <v>2.7E-2</v>
      </c>
    </row>
    <row r="12" spans="1:27">
      <c r="A12" s="167" t="s">
        <v>30</v>
      </c>
      <c r="B12" s="145">
        <v>3755</v>
      </c>
      <c r="C12" s="145">
        <v>3025</v>
      </c>
      <c r="D12" s="145">
        <v>6651</v>
      </c>
      <c r="E12" s="145">
        <v>34824</v>
      </c>
      <c r="G12" s="158">
        <v>-0.19400000000000001</v>
      </c>
      <c r="H12" s="158">
        <v>1.1990000000000001</v>
      </c>
      <c r="I12" s="158">
        <v>4.2359999999999998</v>
      </c>
      <c r="K12" s="169">
        <v>1163</v>
      </c>
      <c r="L12" s="166">
        <v>4121</v>
      </c>
      <c r="M12" s="166">
        <v>846</v>
      </c>
      <c r="N12" s="166">
        <v>521</v>
      </c>
      <c r="O12" s="169">
        <v>-3983</v>
      </c>
      <c r="P12" s="180">
        <v>29157</v>
      </c>
      <c r="Q12" s="180">
        <v>3543</v>
      </c>
      <c r="R12" s="180">
        <v>6107</v>
      </c>
      <c r="S12" s="261">
        <v>12846</v>
      </c>
      <c r="T12" s="261">
        <v>26906</v>
      </c>
      <c r="V12" s="158">
        <v>-4.4249999999999998</v>
      </c>
      <c r="W12" s="176" t="s">
        <v>153</v>
      </c>
      <c r="X12" s="158">
        <v>3.1880000000000002</v>
      </c>
      <c r="Y12" s="158">
        <v>10.722</v>
      </c>
      <c r="Z12" s="270" t="s">
        <v>153</v>
      </c>
      <c r="AA12" s="270" t="s">
        <v>153</v>
      </c>
    </row>
    <row r="13" spans="1:27">
      <c r="A13" s="167" t="s">
        <v>190</v>
      </c>
      <c r="B13" s="145">
        <v>0</v>
      </c>
      <c r="C13" s="145">
        <v>0</v>
      </c>
      <c r="D13" s="145">
        <v>0</v>
      </c>
      <c r="E13" s="145">
        <v>-977</v>
      </c>
      <c r="G13" s="158">
        <v>0</v>
      </c>
      <c r="H13" s="158">
        <v>0</v>
      </c>
      <c r="I13" s="176" t="s">
        <v>153</v>
      </c>
      <c r="K13" s="169">
        <v>0</v>
      </c>
      <c r="L13" s="166">
        <v>0</v>
      </c>
      <c r="M13" s="166">
        <v>0</v>
      </c>
      <c r="N13" s="166">
        <v>0</v>
      </c>
      <c r="O13" s="169">
        <v>0</v>
      </c>
      <c r="P13" s="180">
        <v>0</v>
      </c>
      <c r="Q13" s="180">
        <v>0</v>
      </c>
      <c r="R13" s="180">
        <v>-977</v>
      </c>
      <c r="S13" s="261">
        <v>-1166</v>
      </c>
      <c r="T13" s="261">
        <v>-3343</v>
      </c>
      <c r="V13" s="158">
        <v>0</v>
      </c>
      <c r="W13" s="202">
        <v>0</v>
      </c>
      <c r="X13" s="158">
        <v>0</v>
      </c>
      <c r="Y13" s="176" t="s">
        <v>153</v>
      </c>
      <c r="Z13" s="270" t="s">
        <v>153</v>
      </c>
      <c r="AA13" s="270" t="s">
        <v>153</v>
      </c>
    </row>
    <row r="14" spans="1:27" ht="5.15" customHeight="1">
      <c r="B14" s="145"/>
      <c r="C14" s="145"/>
      <c r="D14" s="145"/>
      <c r="E14" s="145"/>
      <c r="G14" s="158"/>
      <c r="H14" s="158"/>
      <c r="I14" s="158"/>
      <c r="K14" s="159"/>
      <c r="L14" s="145"/>
      <c r="M14" s="145"/>
      <c r="N14" s="145"/>
      <c r="O14" s="159"/>
      <c r="P14" s="180"/>
      <c r="Q14" s="180"/>
      <c r="R14" s="180"/>
      <c r="S14" s="261"/>
      <c r="T14" s="261"/>
      <c r="V14" s="158"/>
      <c r="W14" s="158"/>
      <c r="X14" s="158"/>
      <c r="Y14" s="158"/>
      <c r="Z14" s="267"/>
      <c r="AA14" s="267"/>
    </row>
    <row r="15" spans="1:27">
      <c r="A15" s="161" t="s">
        <v>31</v>
      </c>
      <c r="B15" s="162">
        <v>16484</v>
      </c>
      <c r="C15" s="162">
        <v>24434</v>
      </c>
      <c r="D15" s="162">
        <v>43694</v>
      </c>
      <c r="E15" s="162">
        <v>47983</v>
      </c>
      <c r="G15" s="163">
        <v>0.48199999999999998</v>
      </c>
      <c r="H15" s="163">
        <v>0.78800000000000003</v>
      </c>
      <c r="I15" s="163">
        <v>9.8000000000000004E-2</v>
      </c>
      <c r="K15" s="164">
        <v>-3576</v>
      </c>
      <c r="L15" s="162">
        <v>5032</v>
      </c>
      <c r="M15" s="162">
        <v>21277</v>
      </c>
      <c r="N15" s="162">
        <v>20961</v>
      </c>
      <c r="O15" s="164">
        <v>-6964</v>
      </c>
      <c r="P15" s="196">
        <v>12181</v>
      </c>
      <c r="Q15" s="196">
        <v>20703</v>
      </c>
      <c r="R15" s="196">
        <v>22063</v>
      </c>
      <c r="S15" s="262">
        <f>SUM(S8,S10)</f>
        <v>20.693280899897218</v>
      </c>
      <c r="T15" s="262">
        <f>SUM(T8,T10)</f>
        <v>36685.837831475015</v>
      </c>
      <c r="V15" s="163">
        <v>0.94699999999999995</v>
      </c>
      <c r="W15" s="163">
        <v>1.421</v>
      </c>
      <c r="X15" s="163">
        <v>-2.7E-2</v>
      </c>
      <c r="Y15" s="163">
        <v>5.2999999999999999E-2</v>
      </c>
      <c r="Z15" s="268">
        <f>ROUND(S15/O15-1,3)</f>
        <v>-1.0029999999999999</v>
      </c>
      <c r="AA15" s="268">
        <f>ROUND(T15/P15-1,3)</f>
        <v>2.012</v>
      </c>
    </row>
    <row r="16" spans="1:27" ht="5.15" customHeight="1">
      <c r="B16" s="145"/>
      <c r="C16" s="145"/>
      <c r="D16" s="145"/>
      <c r="E16" s="145"/>
      <c r="G16" s="158"/>
      <c r="H16" s="158"/>
      <c r="I16" s="158"/>
      <c r="K16" s="159"/>
      <c r="L16" s="145"/>
      <c r="M16" s="145"/>
      <c r="N16" s="145"/>
      <c r="O16" s="159"/>
      <c r="P16" s="180"/>
      <c r="Q16" s="180"/>
      <c r="R16" s="180"/>
      <c r="S16" s="261"/>
      <c r="T16" s="261"/>
      <c r="V16" s="158"/>
      <c r="W16" s="158"/>
      <c r="X16" s="158"/>
      <c r="Y16" s="158"/>
      <c r="Z16" s="267"/>
      <c r="AA16" s="267"/>
    </row>
    <row r="17" spans="1:28">
      <c r="A17" s="197" t="s">
        <v>15</v>
      </c>
      <c r="B17" s="198">
        <v>-17035</v>
      </c>
      <c r="C17" s="198">
        <v>-37012</v>
      </c>
      <c r="D17" s="198">
        <v>-46986</v>
      </c>
      <c r="E17" s="198">
        <v>-75489</v>
      </c>
      <c r="G17" s="199">
        <v>1.173</v>
      </c>
      <c r="H17" s="199">
        <v>0.26900000000000002</v>
      </c>
      <c r="I17" s="199">
        <v>0.60699999999999998</v>
      </c>
      <c r="K17" s="200">
        <v>-10969</v>
      </c>
      <c r="L17" s="198">
        <v>-11899</v>
      </c>
      <c r="M17" s="198">
        <v>-10482</v>
      </c>
      <c r="N17" s="198">
        <v>-13636</v>
      </c>
      <c r="O17" s="200">
        <v>-17275</v>
      </c>
      <c r="P17" s="263">
        <f>SUM(P18:P19)</f>
        <v>-13930</v>
      </c>
      <c r="Q17" s="263">
        <f>SUM(Q18:Q19)</f>
        <v>-18195</v>
      </c>
      <c r="R17" s="263">
        <f>SUM(R18:R19)</f>
        <v>-26089</v>
      </c>
      <c r="S17" s="263">
        <f>SUM(S18:S19)</f>
        <v>-30960</v>
      </c>
      <c r="T17" s="263">
        <f>SUM(T18:T19)</f>
        <v>-60457</v>
      </c>
      <c r="V17" s="199">
        <v>0.57499999999999996</v>
      </c>
      <c r="W17" s="199">
        <v>0.17100000000000001</v>
      </c>
      <c r="X17" s="199">
        <v>0.73599999999999999</v>
      </c>
      <c r="Y17" s="199">
        <v>0.91300000000000003</v>
      </c>
      <c r="Z17" s="269">
        <f t="shared" ref="Z17:AA19" si="1">ROUND(S17/O17-1,3)</f>
        <v>0.79200000000000004</v>
      </c>
      <c r="AA17" s="269">
        <f t="shared" si="1"/>
        <v>3.34</v>
      </c>
    </row>
    <row r="18" spans="1:28">
      <c r="A18" s="167" t="s">
        <v>16</v>
      </c>
      <c r="B18" s="145">
        <v>-17908</v>
      </c>
      <c r="C18" s="145">
        <v>-40090</v>
      </c>
      <c r="D18" s="145">
        <v>-55163</v>
      </c>
      <c r="E18" s="145">
        <v>-93741</v>
      </c>
      <c r="G18" s="158">
        <v>1.2390000000000001</v>
      </c>
      <c r="H18" s="158">
        <v>0.376</v>
      </c>
      <c r="I18" s="158">
        <v>0.69899999999999995</v>
      </c>
      <c r="K18" s="169">
        <v>-11802</v>
      </c>
      <c r="L18" s="166">
        <v>-11898</v>
      </c>
      <c r="M18" s="166">
        <v>-12539</v>
      </c>
      <c r="N18" s="166">
        <v>-18924</v>
      </c>
      <c r="O18" s="169">
        <v>-20224</v>
      </c>
      <c r="P18" s="180">
        <v>-19958</v>
      </c>
      <c r="Q18" s="180">
        <v>-22792</v>
      </c>
      <c r="R18" s="180">
        <v>-30767</v>
      </c>
      <c r="S18" s="261">
        <v>-35279</v>
      </c>
      <c r="T18" s="261">
        <v>-64732</v>
      </c>
      <c r="V18" s="158">
        <v>0.71399999999999997</v>
      </c>
      <c r="W18" s="158">
        <v>0.67700000000000005</v>
      </c>
      <c r="X18" s="158">
        <v>0.81799999999999995</v>
      </c>
      <c r="Y18" s="158">
        <v>0.626</v>
      </c>
      <c r="Z18" s="267">
        <f t="shared" si="1"/>
        <v>0.74399999999999999</v>
      </c>
      <c r="AA18" s="267">
        <f t="shared" si="1"/>
        <v>2.2429999999999999</v>
      </c>
      <c r="AB18" s="203"/>
    </row>
    <row r="19" spans="1:28">
      <c r="A19" s="167" t="s">
        <v>17</v>
      </c>
      <c r="B19" s="145">
        <v>873</v>
      </c>
      <c r="C19" s="145">
        <v>3078</v>
      </c>
      <c r="D19" s="145">
        <v>8177</v>
      </c>
      <c r="E19" s="145">
        <v>18252</v>
      </c>
      <c r="G19" s="158">
        <v>2.5259999999999998</v>
      </c>
      <c r="H19" s="158">
        <v>1.657</v>
      </c>
      <c r="I19" s="158">
        <v>1.232</v>
      </c>
      <c r="K19" s="169">
        <v>833</v>
      </c>
      <c r="L19" s="166">
        <v>1740</v>
      </c>
      <c r="M19" s="166">
        <v>2057</v>
      </c>
      <c r="N19" s="166">
        <v>3547</v>
      </c>
      <c r="O19" s="169">
        <v>2949</v>
      </c>
      <c r="P19" s="180">
        <v>6028</v>
      </c>
      <c r="Q19" s="180">
        <v>4597</v>
      </c>
      <c r="R19" s="180">
        <v>4678</v>
      </c>
      <c r="S19" s="261">
        <v>4319</v>
      </c>
      <c r="T19" s="261">
        <v>4275</v>
      </c>
      <c r="V19" s="158">
        <v>2.54</v>
      </c>
      <c r="W19" s="158">
        <v>2.464</v>
      </c>
      <c r="X19" s="158">
        <v>1.2350000000000001</v>
      </c>
      <c r="Y19" s="158">
        <v>0.31900000000000001</v>
      </c>
      <c r="Z19" s="267">
        <f t="shared" si="1"/>
        <v>0.46500000000000002</v>
      </c>
      <c r="AA19" s="267">
        <f t="shared" si="1"/>
        <v>-0.29099999999999998</v>
      </c>
      <c r="AB19" s="203"/>
    </row>
    <row r="20" spans="1:28" ht="5.15" customHeight="1">
      <c r="B20" s="145"/>
      <c r="C20" s="145"/>
      <c r="D20" s="145"/>
      <c r="E20" s="145"/>
      <c r="G20" s="158"/>
      <c r="H20" s="158"/>
      <c r="I20" s="158"/>
      <c r="K20" s="159"/>
      <c r="L20" s="145"/>
      <c r="M20" s="145"/>
      <c r="N20" s="145"/>
      <c r="O20" s="159"/>
      <c r="P20" s="180"/>
      <c r="Q20" s="180"/>
      <c r="R20" s="180"/>
      <c r="S20" s="261"/>
      <c r="T20" s="261"/>
      <c r="V20" s="158"/>
      <c r="W20" s="158"/>
      <c r="X20" s="158"/>
      <c r="Y20" s="158"/>
      <c r="Z20" s="267"/>
      <c r="AA20" s="267"/>
    </row>
    <row r="21" spans="1:28">
      <c r="A21" s="161" t="s">
        <v>32</v>
      </c>
      <c r="B21" s="262">
        <f>SUM(B15,B17)</f>
        <v>-551</v>
      </c>
      <c r="C21" s="262">
        <f>SUM(C15,C17)</f>
        <v>-12578</v>
      </c>
      <c r="D21" s="262">
        <f>SUM(D15,D17)</f>
        <v>-3292</v>
      </c>
      <c r="E21" s="262">
        <f>SUM(E15,E17)</f>
        <v>-27506</v>
      </c>
      <c r="G21" s="163">
        <v>21.827999999999999</v>
      </c>
      <c r="H21" s="163">
        <v>-0.73799999999999999</v>
      </c>
      <c r="I21" s="163">
        <v>7.3550000000000004</v>
      </c>
      <c r="K21" s="262">
        <f t="shared" ref="K21:S21" si="2">SUM(K15,K17)</f>
        <v>-14545</v>
      </c>
      <c r="L21" s="262">
        <f t="shared" si="2"/>
        <v>-6867</v>
      </c>
      <c r="M21" s="262">
        <f t="shared" si="2"/>
        <v>10795</v>
      </c>
      <c r="N21" s="262">
        <f t="shared" si="2"/>
        <v>7325</v>
      </c>
      <c r="O21" s="262">
        <f t="shared" si="2"/>
        <v>-24239</v>
      </c>
      <c r="P21" s="262">
        <f t="shared" si="2"/>
        <v>-1749</v>
      </c>
      <c r="Q21" s="262">
        <f t="shared" si="2"/>
        <v>2508</v>
      </c>
      <c r="R21" s="262">
        <f t="shared" si="2"/>
        <v>-4026</v>
      </c>
      <c r="S21" s="262">
        <f t="shared" si="2"/>
        <v>-30939.306719100103</v>
      </c>
      <c r="T21" s="262">
        <f t="shared" ref="T21" si="3">SUM(T15,T17)</f>
        <v>-23771.162168524985</v>
      </c>
      <c r="V21" s="163">
        <v>0.66600000000000004</v>
      </c>
      <c r="W21" s="163">
        <v>-0.745</v>
      </c>
      <c r="X21" s="163">
        <v>-0.76800000000000002</v>
      </c>
      <c r="Y21" s="163">
        <v>-1.55</v>
      </c>
      <c r="Z21" s="268">
        <f>ROUND(S21/O21-1,3)</f>
        <v>0.27600000000000002</v>
      </c>
      <c r="AA21" s="268">
        <f>ROUND(T21/P21-1,3)</f>
        <v>12.590999999999999</v>
      </c>
    </row>
    <row r="22" spans="1:28" ht="5.15" customHeight="1">
      <c r="B22" s="145"/>
      <c r="C22" s="145"/>
      <c r="D22" s="145"/>
      <c r="E22" s="145"/>
      <c r="G22" s="158"/>
      <c r="H22" s="158"/>
      <c r="I22" s="158"/>
      <c r="K22" s="159"/>
      <c r="L22" s="145"/>
      <c r="M22" s="145"/>
      <c r="N22" s="145"/>
      <c r="O22" s="159"/>
      <c r="P22" s="180"/>
      <c r="Q22" s="180"/>
      <c r="R22" s="180"/>
      <c r="S22" s="261"/>
      <c r="T22" s="261"/>
      <c r="V22" s="158"/>
      <c r="W22" s="158"/>
      <c r="X22" s="158"/>
      <c r="Y22" s="158"/>
      <c r="Z22" s="267"/>
      <c r="AA22" s="267"/>
    </row>
    <row r="23" spans="1:28">
      <c r="A23" s="144" t="s">
        <v>33</v>
      </c>
      <c r="B23" s="145">
        <v>-60</v>
      </c>
      <c r="C23" s="145">
        <v>-4952</v>
      </c>
      <c r="D23" s="145">
        <v>-3624</v>
      </c>
      <c r="E23" s="145">
        <v>-2116</v>
      </c>
      <c r="G23" s="158">
        <v>81.533000000000001</v>
      </c>
      <c r="H23" s="158">
        <v>-0.26800000000000002</v>
      </c>
      <c r="I23" s="158">
        <v>-0.41599999999999998</v>
      </c>
      <c r="K23" s="169">
        <v>0</v>
      </c>
      <c r="L23" s="166">
        <v>0</v>
      </c>
      <c r="M23" s="166">
        <v>-900</v>
      </c>
      <c r="N23" s="166">
        <v>-2724</v>
      </c>
      <c r="O23" s="169">
        <v>-573</v>
      </c>
      <c r="P23" s="180">
        <v>-154</v>
      </c>
      <c r="Q23" s="180">
        <v>-2941</v>
      </c>
      <c r="R23" s="180">
        <v>1552</v>
      </c>
      <c r="S23" s="261">
        <v>-2057</v>
      </c>
      <c r="T23" s="261">
        <v>-7785</v>
      </c>
      <c r="V23" s="158">
        <v>0</v>
      </c>
      <c r="W23" s="158">
        <v>0</v>
      </c>
      <c r="X23" s="158">
        <v>2.2679999999999998</v>
      </c>
      <c r="Y23" s="158">
        <v>-1.57</v>
      </c>
      <c r="Z23" s="267">
        <f t="shared" ref="Z23:AA24" si="4">ROUND(S23/O23-1,3)</f>
        <v>2.59</v>
      </c>
      <c r="AA23" s="267">
        <f t="shared" si="4"/>
        <v>49.552</v>
      </c>
    </row>
    <row r="24" spans="1:28">
      <c r="A24" s="144" t="s">
        <v>34</v>
      </c>
      <c r="B24" s="145">
        <v>-25</v>
      </c>
      <c r="C24" s="145">
        <v>10384</v>
      </c>
      <c r="D24" s="145">
        <v>13944</v>
      </c>
      <c r="E24" s="145">
        <v>11761</v>
      </c>
      <c r="G24" s="158">
        <v>-416.36</v>
      </c>
      <c r="H24" s="158">
        <v>0.34300000000000003</v>
      </c>
      <c r="I24" s="158">
        <v>-0.157</v>
      </c>
      <c r="K24" s="169">
        <v>4696</v>
      </c>
      <c r="L24" s="166">
        <v>-1126</v>
      </c>
      <c r="M24" s="166">
        <v>-2737</v>
      </c>
      <c r="N24" s="166">
        <v>13111</v>
      </c>
      <c r="O24" s="169">
        <v>6220</v>
      </c>
      <c r="P24" s="180">
        <v>4929</v>
      </c>
      <c r="Q24" s="180">
        <v>111</v>
      </c>
      <c r="R24" s="180">
        <v>501</v>
      </c>
      <c r="S24" s="261">
        <v>3199</v>
      </c>
      <c r="T24" s="261">
        <v>5788</v>
      </c>
      <c r="V24" s="158">
        <v>0.32500000000000001</v>
      </c>
      <c r="W24" s="176" t="s">
        <v>153</v>
      </c>
      <c r="X24" s="176" t="s">
        <v>153</v>
      </c>
      <c r="Y24" s="158">
        <v>-0.96199999999999997</v>
      </c>
      <c r="Z24" s="267">
        <f t="shared" si="4"/>
        <v>-0.48599999999999999</v>
      </c>
      <c r="AA24" s="267">
        <f t="shared" si="4"/>
        <v>0.17399999999999999</v>
      </c>
    </row>
    <row r="25" spans="1:28" ht="5.15" customHeight="1">
      <c r="B25" s="145"/>
      <c r="C25" s="145"/>
      <c r="D25" s="145"/>
      <c r="E25" s="145"/>
      <c r="G25" s="158"/>
      <c r="H25" s="158"/>
      <c r="I25" s="158"/>
      <c r="K25" s="159"/>
      <c r="L25" s="145"/>
      <c r="M25" s="145"/>
      <c r="N25" s="145"/>
      <c r="O25" s="159"/>
      <c r="P25" s="180"/>
      <c r="Q25" s="180"/>
      <c r="R25" s="180"/>
      <c r="S25" s="261"/>
      <c r="T25" s="261"/>
      <c r="V25" s="158"/>
      <c r="W25" s="158"/>
      <c r="X25" s="158"/>
      <c r="Y25" s="158"/>
      <c r="Z25" s="267"/>
      <c r="AA25" s="267"/>
    </row>
    <row r="26" spans="1:28">
      <c r="A26" s="161" t="s">
        <v>40</v>
      </c>
      <c r="B26" s="262">
        <f>SUM(B21,B23:B24)</f>
        <v>-636</v>
      </c>
      <c r="C26" s="262">
        <f>SUM(C21,C23:C24)</f>
        <v>-7146</v>
      </c>
      <c r="D26" s="262">
        <f>SUM(D21,D23:D24)</f>
        <v>7028</v>
      </c>
      <c r="E26" s="262">
        <f>SUM(E21,E23:E24)</f>
        <v>-17861</v>
      </c>
      <c r="G26" s="163">
        <v>10.236000000000001</v>
      </c>
      <c r="H26" s="163">
        <v>1.9830000000000001</v>
      </c>
      <c r="I26" s="163">
        <v>-3.5409999999999999</v>
      </c>
      <c r="K26" s="262">
        <f t="shared" ref="K26:S26" si="5">SUM(K21,K23:K24)</f>
        <v>-9849</v>
      </c>
      <c r="L26" s="262">
        <f t="shared" si="5"/>
        <v>-7993</v>
      </c>
      <c r="M26" s="262">
        <f t="shared" si="5"/>
        <v>7158</v>
      </c>
      <c r="N26" s="262">
        <f t="shared" si="5"/>
        <v>17712</v>
      </c>
      <c r="O26" s="262">
        <f t="shared" si="5"/>
        <v>-18592</v>
      </c>
      <c r="P26" s="262">
        <f t="shared" si="5"/>
        <v>3026</v>
      </c>
      <c r="Q26" s="262">
        <f t="shared" si="5"/>
        <v>-322</v>
      </c>
      <c r="R26" s="262">
        <f t="shared" si="5"/>
        <v>-1973</v>
      </c>
      <c r="S26" s="262">
        <f t="shared" si="5"/>
        <v>-29797.306719100103</v>
      </c>
      <c r="T26" s="262">
        <f t="shared" ref="T26" si="6">SUM(T21,T23:T24)</f>
        <v>-25768.162168524985</v>
      </c>
      <c r="V26" s="163">
        <v>0.88800000000000001</v>
      </c>
      <c r="W26" s="218" t="s">
        <v>153</v>
      </c>
      <c r="X26" s="218" t="s">
        <v>153</v>
      </c>
      <c r="Y26" s="163">
        <v>-1.111</v>
      </c>
      <c r="Z26" s="268">
        <f>-ROUND(S26/O26-1,3)</f>
        <v>-0.60299999999999998</v>
      </c>
      <c r="AA26" s="268">
        <f>-ROUND(T26/P26-1,3)</f>
        <v>9.516</v>
      </c>
    </row>
    <row r="27" spans="1:28">
      <c r="D27" s="145"/>
      <c r="G27" s="147"/>
      <c r="H27" s="147"/>
      <c r="I27" s="147"/>
      <c r="K27" s="194"/>
      <c r="L27" s="194"/>
      <c r="M27" s="194"/>
      <c r="N27" s="194"/>
      <c r="O27" s="194"/>
      <c r="P27" s="194"/>
      <c r="Q27" s="194"/>
      <c r="R27" s="180"/>
      <c r="S27" s="180"/>
      <c r="T27" s="180"/>
      <c r="U27" s="282"/>
      <c r="V27" s="283"/>
      <c r="W27" s="283"/>
      <c r="X27" s="283"/>
      <c r="Y27" s="283"/>
      <c r="Z27" s="283"/>
      <c r="AA27" s="283"/>
    </row>
    <row r="28" spans="1:28">
      <c r="A28" s="204" t="s">
        <v>18</v>
      </c>
      <c r="E28" s="145"/>
      <c r="G28" s="147"/>
      <c r="H28" s="147"/>
      <c r="I28" s="147"/>
      <c r="K28" s="194"/>
      <c r="L28" s="194"/>
      <c r="M28" s="194"/>
      <c r="N28" s="194"/>
      <c r="O28" s="180"/>
      <c r="P28" s="194"/>
      <c r="Q28" s="194"/>
      <c r="R28" s="194"/>
      <c r="S28" s="194"/>
      <c r="T28" s="180"/>
      <c r="U28" s="282"/>
      <c r="V28" s="283"/>
      <c r="W28" s="283"/>
      <c r="X28" s="283"/>
      <c r="Y28" s="283"/>
      <c r="Z28" s="283"/>
      <c r="AA28" s="283"/>
    </row>
    <row r="29" spans="1:28">
      <c r="A29" s="148" t="s">
        <v>39</v>
      </c>
      <c r="B29" s="264">
        <f t="shared" ref="B29:E29" si="7">B26</f>
        <v>-636</v>
      </c>
      <c r="C29" s="264">
        <f t="shared" si="7"/>
        <v>-7146</v>
      </c>
      <c r="D29" s="264">
        <f t="shared" si="7"/>
        <v>7028</v>
      </c>
      <c r="E29" s="264">
        <f t="shared" si="7"/>
        <v>-17861</v>
      </c>
      <c r="G29" s="184">
        <v>-10.236000000000001</v>
      </c>
      <c r="H29" s="184">
        <v>-1.9830000000000001</v>
      </c>
      <c r="I29" s="184">
        <v>-3.5409999999999999</v>
      </c>
      <c r="K29" s="264">
        <f t="shared" ref="K29:R29" si="8">K26</f>
        <v>-9849</v>
      </c>
      <c r="L29" s="264">
        <f t="shared" si="8"/>
        <v>-7993</v>
      </c>
      <c r="M29" s="264">
        <f t="shared" si="8"/>
        <v>7158</v>
      </c>
      <c r="N29" s="264">
        <f t="shared" si="8"/>
        <v>17712</v>
      </c>
      <c r="O29" s="264">
        <f t="shared" si="8"/>
        <v>-18592</v>
      </c>
      <c r="P29" s="264">
        <f t="shared" si="8"/>
        <v>3026</v>
      </c>
      <c r="Q29" s="264">
        <f t="shared" si="8"/>
        <v>-322</v>
      </c>
      <c r="R29" s="264">
        <f t="shared" si="8"/>
        <v>-1973</v>
      </c>
      <c r="S29" s="264">
        <f>S26</f>
        <v>-29797.306719100103</v>
      </c>
      <c r="T29" s="264">
        <f>T26</f>
        <v>-25768.162168524985</v>
      </c>
      <c r="V29" s="184">
        <v>0.88800000000000001</v>
      </c>
      <c r="W29" s="219" t="s">
        <v>153</v>
      </c>
      <c r="X29" s="219" t="s">
        <v>153</v>
      </c>
      <c r="Y29" s="184">
        <v>-1.111</v>
      </c>
      <c r="Z29" s="271">
        <f>-ROUND(S29/O29-1,3)</f>
        <v>-0.60299999999999998</v>
      </c>
      <c r="AA29" s="271">
        <f>-ROUND(T29/P29-1,3)</f>
        <v>9.516</v>
      </c>
    </row>
    <row r="30" spans="1:28">
      <c r="A30" s="320" t="s">
        <v>200</v>
      </c>
      <c r="B30" s="177"/>
      <c r="C30" s="177"/>
      <c r="D30" s="177"/>
      <c r="E30" s="145">
        <f>SUM(O30:R30)</f>
        <v>978</v>
      </c>
      <c r="G30" s="158" t="s">
        <v>153</v>
      </c>
      <c r="H30" s="158" t="s">
        <v>153</v>
      </c>
      <c r="I30" s="158" t="s">
        <v>153</v>
      </c>
      <c r="K30" s="179"/>
      <c r="L30" s="177"/>
      <c r="M30" s="177"/>
      <c r="N30" s="177"/>
      <c r="O30" s="179"/>
      <c r="P30" s="205"/>
      <c r="Q30" s="205"/>
      <c r="R30" s="180">
        <v>978</v>
      </c>
      <c r="S30" s="261">
        <v>1166</v>
      </c>
      <c r="T30" s="261">
        <v>3343</v>
      </c>
      <c r="V30" s="158" t="s">
        <v>153</v>
      </c>
      <c r="W30" s="176" t="s">
        <v>153</v>
      </c>
      <c r="X30" s="176" t="s">
        <v>153</v>
      </c>
      <c r="Y30" s="158" t="s">
        <v>153</v>
      </c>
      <c r="Z30" s="267" t="s">
        <v>153</v>
      </c>
      <c r="AA30" s="267" t="s">
        <v>153</v>
      </c>
    </row>
    <row r="31" spans="1:28">
      <c r="A31" s="167" t="s">
        <v>19</v>
      </c>
      <c r="B31" s="145">
        <v>85</v>
      </c>
      <c r="C31" s="145">
        <v>-5432</v>
      </c>
      <c r="D31" s="145">
        <v>-10320</v>
      </c>
      <c r="E31" s="145">
        <v>-9645</v>
      </c>
      <c r="G31" s="158">
        <v>-64.906000000000006</v>
      </c>
      <c r="H31" s="158">
        <v>0.9</v>
      </c>
      <c r="I31" s="158">
        <v>-6.5000000000000002E-2</v>
      </c>
      <c r="K31" s="159">
        <v>-4696</v>
      </c>
      <c r="L31" s="145">
        <v>1126</v>
      </c>
      <c r="M31" s="145">
        <v>3637</v>
      </c>
      <c r="N31" s="145">
        <v>-10387</v>
      </c>
      <c r="O31" s="159">
        <v>-5647</v>
      </c>
      <c r="P31" s="180">
        <v>-4775</v>
      </c>
      <c r="Q31" s="180">
        <v>2830</v>
      </c>
      <c r="R31" s="180">
        <v>-2053</v>
      </c>
      <c r="S31" s="261">
        <f>-SUM(S23:S24)</f>
        <v>-1142</v>
      </c>
      <c r="T31" s="261">
        <f>-SUM(T23:T24)</f>
        <v>1997</v>
      </c>
      <c r="V31" s="158">
        <v>0.20300000000000001</v>
      </c>
      <c r="W31" s="176" t="s">
        <v>153</v>
      </c>
      <c r="X31" s="158">
        <v>-0.222</v>
      </c>
      <c r="Y31" s="158">
        <v>-0.80200000000000005</v>
      </c>
      <c r="Z31" s="267">
        <f t="shared" ref="Z31:AA41" si="9">ROUND(S31/O31-1,3)</f>
        <v>-0.79800000000000004</v>
      </c>
      <c r="AA31" s="267">
        <f t="shared" si="9"/>
        <v>-1.4179999999999999</v>
      </c>
    </row>
    <row r="32" spans="1:28">
      <c r="A32" s="167" t="s">
        <v>20</v>
      </c>
      <c r="B32" s="145">
        <v>17035</v>
      </c>
      <c r="C32" s="145">
        <v>37012</v>
      </c>
      <c r="D32" s="145">
        <v>46986</v>
      </c>
      <c r="E32" s="145">
        <v>75489</v>
      </c>
      <c r="G32" s="158">
        <v>1.173</v>
      </c>
      <c r="H32" s="158">
        <v>0.26900000000000002</v>
      </c>
      <c r="I32" s="158">
        <v>0.60699999999999998</v>
      </c>
      <c r="K32" s="159">
        <v>10969</v>
      </c>
      <c r="L32" s="145">
        <v>11898</v>
      </c>
      <c r="M32" s="145">
        <v>10482</v>
      </c>
      <c r="N32" s="145">
        <v>13636</v>
      </c>
      <c r="O32" s="159">
        <v>17275</v>
      </c>
      <c r="P32" s="180">
        <v>13930</v>
      </c>
      <c r="Q32" s="180">
        <v>18195</v>
      </c>
      <c r="R32" s="180">
        <v>26089</v>
      </c>
      <c r="S32" s="261">
        <f>-S17</f>
        <v>30960</v>
      </c>
      <c r="T32" s="261">
        <f>-T17</f>
        <v>60457</v>
      </c>
      <c r="V32" s="158">
        <v>0.57499999999999996</v>
      </c>
      <c r="W32" s="158">
        <v>0.17100000000000001</v>
      </c>
      <c r="X32" s="158">
        <v>0.73599999999999999</v>
      </c>
      <c r="Y32" s="158">
        <v>0.91300000000000003</v>
      </c>
      <c r="Z32" s="267">
        <f t="shared" si="9"/>
        <v>0.79200000000000004</v>
      </c>
      <c r="AA32" s="267">
        <f t="shared" si="9"/>
        <v>3.34</v>
      </c>
    </row>
    <row r="33" spans="1:27">
      <c r="A33" s="167" t="s">
        <v>21</v>
      </c>
      <c r="B33" s="145">
        <v>22367</v>
      </c>
      <c r="C33" s="145">
        <v>40426</v>
      </c>
      <c r="D33" s="145">
        <v>69796</v>
      </c>
      <c r="E33" s="145">
        <v>135084</v>
      </c>
      <c r="G33" s="158">
        <v>0.80700000000000005</v>
      </c>
      <c r="H33" s="158">
        <v>0.84799999999999998</v>
      </c>
      <c r="I33" s="158">
        <v>0.93500000000000005</v>
      </c>
      <c r="K33" s="159">
        <v>12455</v>
      </c>
      <c r="L33" s="145">
        <v>17372</v>
      </c>
      <c r="M33" s="145">
        <v>16606</v>
      </c>
      <c r="N33" s="145">
        <v>23362</v>
      </c>
      <c r="O33" s="159">
        <v>27908</v>
      </c>
      <c r="P33" s="180">
        <v>35714</v>
      </c>
      <c r="Q33" s="180">
        <v>35506</v>
      </c>
      <c r="R33" s="180">
        <v>35956</v>
      </c>
      <c r="S33" s="261">
        <v>37234</v>
      </c>
      <c r="T33" s="261">
        <v>35774</v>
      </c>
      <c r="V33" s="158">
        <v>1.2410000000000001</v>
      </c>
      <c r="W33" s="158">
        <v>1.056</v>
      </c>
      <c r="X33" s="158">
        <v>1.1379999999999999</v>
      </c>
      <c r="Y33" s="158">
        <v>0.53900000000000003</v>
      </c>
      <c r="Z33" s="267">
        <f t="shared" si="9"/>
        <v>0.33400000000000002</v>
      </c>
      <c r="AA33" s="267">
        <f t="shared" si="9"/>
        <v>2E-3</v>
      </c>
    </row>
    <row r="34" spans="1:27">
      <c r="A34" s="197" t="s">
        <v>22</v>
      </c>
      <c r="B34" s="198">
        <f>SUM(B29:B33)</f>
        <v>38851</v>
      </c>
      <c r="C34" s="198">
        <f t="shared" ref="C34:E34" si="10">SUM(C29:C33)</f>
        <v>64860</v>
      </c>
      <c r="D34" s="198">
        <f t="shared" si="10"/>
        <v>113490</v>
      </c>
      <c r="E34" s="198">
        <f t="shared" si="10"/>
        <v>184045</v>
      </c>
      <c r="G34" s="199">
        <v>0.66900000000000004</v>
      </c>
      <c r="H34" s="199">
        <v>0.81200000000000006</v>
      </c>
      <c r="I34" s="199">
        <v>0.61299999999999999</v>
      </c>
      <c r="K34" s="198">
        <f t="shared" ref="K34" si="11">SUM(K29:K33)</f>
        <v>8879</v>
      </c>
      <c r="L34" s="198">
        <f t="shared" ref="L34" si="12">SUM(L29:L33)</f>
        <v>22403</v>
      </c>
      <c r="M34" s="198">
        <f t="shared" ref="M34" si="13">SUM(M29:M33)</f>
        <v>37883</v>
      </c>
      <c r="N34" s="198">
        <f t="shared" ref="N34" si="14">SUM(N29:N33)</f>
        <v>44323</v>
      </c>
      <c r="O34" s="198">
        <f t="shared" ref="O34" si="15">SUM(O29:O33)</f>
        <v>20944</v>
      </c>
      <c r="P34" s="198">
        <f t="shared" ref="P34" si="16">SUM(P29:P33)</f>
        <v>47895</v>
      </c>
      <c r="Q34" s="198">
        <f t="shared" ref="Q34" si="17">SUM(Q29:Q33)</f>
        <v>56209</v>
      </c>
      <c r="R34" s="198">
        <f t="shared" ref="R34" si="18">SUM(R29:R33)</f>
        <v>58997</v>
      </c>
      <c r="S34" s="198">
        <f t="shared" ref="S34:T34" si="19">SUM(S29:S33)</f>
        <v>38420.693280899897</v>
      </c>
      <c r="T34" s="198">
        <f t="shared" si="19"/>
        <v>75802.837831475015</v>
      </c>
      <c r="V34" s="199">
        <v>1.359</v>
      </c>
      <c r="W34" s="199">
        <v>1.1379999999999999</v>
      </c>
      <c r="X34" s="199">
        <v>0.48399999999999999</v>
      </c>
      <c r="Y34" s="199">
        <v>0.309</v>
      </c>
      <c r="Z34" s="269">
        <f t="shared" si="9"/>
        <v>0.83399999999999996</v>
      </c>
      <c r="AA34" s="269">
        <f t="shared" si="9"/>
        <v>0.58299999999999996</v>
      </c>
    </row>
    <row r="35" spans="1:27">
      <c r="A35" s="206" t="s">
        <v>23</v>
      </c>
      <c r="B35" s="207">
        <f>B34/B5</f>
        <v>0.1071949850041249</v>
      </c>
      <c r="C35" s="207">
        <f t="shared" ref="C35:E35" si="20">C34/C5</f>
        <v>0.12301261419822745</v>
      </c>
      <c r="D35" s="207">
        <f t="shared" si="20"/>
        <v>0.11370501618560698</v>
      </c>
      <c r="E35" s="207">
        <f t="shared" si="20"/>
        <v>0.12105380512603289</v>
      </c>
      <c r="G35" s="208">
        <v>1.6</v>
      </c>
      <c r="H35" s="208">
        <v>-0.30000000000000027</v>
      </c>
      <c r="I35" s="208">
        <v>0.6</v>
      </c>
      <c r="K35" s="207">
        <f t="shared" ref="K35" si="21">K34/K5</f>
        <v>5.3719008264462811E-2</v>
      </c>
      <c r="L35" s="207">
        <f t="shared" ref="L35" si="22">L34/L5</f>
        <v>0.10606727741874393</v>
      </c>
      <c r="M35" s="207">
        <f t="shared" ref="M35" si="23">M34/M5</f>
        <v>0.13649416486814656</v>
      </c>
      <c r="N35" s="207">
        <f t="shared" ref="N35" si="24">N34/N5</f>
        <v>0.12882121453442072</v>
      </c>
      <c r="O35" s="207">
        <f t="shared" ref="O35" si="25">O34/O5</f>
        <v>6.4158804068128905E-2</v>
      </c>
      <c r="P35" s="207">
        <f t="shared" ref="P35" si="26">P34/P5</f>
        <v>0.12983686016818205</v>
      </c>
      <c r="Q35" s="207">
        <f t="shared" ref="Q35" si="27">Q34/Q5</f>
        <v>0.15022436505624495</v>
      </c>
      <c r="R35" s="207">
        <f t="shared" ref="R35" si="28">R34/R5</f>
        <v>0.13085320628837077</v>
      </c>
      <c r="S35" s="207">
        <f t="shared" ref="S35:T35" si="29">S34/S5</f>
        <v>8.5542858615417272E-2</v>
      </c>
      <c r="T35" s="207">
        <f t="shared" si="29"/>
        <v>0.15269105319240742</v>
      </c>
      <c r="V35" s="208">
        <v>1.0000000000000002</v>
      </c>
      <c r="W35" s="208">
        <v>2.4000000000000008</v>
      </c>
      <c r="X35" s="208">
        <v>1.4</v>
      </c>
      <c r="Y35" s="216" t="s">
        <v>202</v>
      </c>
      <c r="Z35" s="272">
        <f>(S35-O35)*100</f>
        <v>2.1384054547288365</v>
      </c>
      <c r="AA35" s="272">
        <f>(T35-P35)*100</f>
        <v>2.2854193024225369</v>
      </c>
    </row>
    <row r="36" spans="1:27">
      <c r="A36" s="167" t="s">
        <v>35</v>
      </c>
      <c r="B36" s="145">
        <v>0</v>
      </c>
      <c r="C36" s="145">
        <v>0</v>
      </c>
      <c r="D36" s="145">
        <v>2011</v>
      </c>
      <c r="E36" s="145">
        <v>0</v>
      </c>
      <c r="G36" s="158">
        <v>0</v>
      </c>
      <c r="H36" s="158">
        <v>0</v>
      </c>
      <c r="I36" s="158">
        <v>-1</v>
      </c>
      <c r="K36" s="159">
        <v>0</v>
      </c>
      <c r="L36" s="145">
        <v>2011</v>
      </c>
      <c r="M36" s="145">
        <v>0</v>
      </c>
      <c r="N36" s="145">
        <v>0</v>
      </c>
      <c r="O36" s="159">
        <v>0</v>
      </c>
      <c r="P36" s="180">
        <v>0</v>
      </c>
      <c r="Q36" s="180">
        <v>0</v>
      </c>
      <c r="R36" s="180">
        <v>0</v>
      </c>
      <c r="S36" s="261">
        <v>0</v>
      </c>
      <c r="T36" s="261">
        <v>0</v>
      </c>
      <c r="V36" s="158">
        <v>0</v>
      </c>
      <c r="W36" s="158">
        <v>0</v>
      </c>
      <c r="X36" s="158">
        <v>0</v>
      </c>
      <c r="Y36" s="216" t="s">
        <v>202</v>
      </c>
      <c r="Z36" s="272">
        <v>0</v>
      </c>
      <c r="AA36" s="272">
        <v>0</v>
      </c>
    </row>
    <row r="37" spans="1:27">
      <c r="A37" s="167" t="s">
        <v>36</v>
      </c>
      <c r="B37" s="145">
        <v>1710</v>
      </c>
      <c r="C37" s="145">
        <v>7440</v>
      </c>
      <c r="D37" s="145">
        <v>15038</v>
      </c>
      <c r="E37" s="145">
        <v>39425</v>
      </c>
      <c r="G37" s="158">
        <v>-6.6000000000000003E-2</v>
      </c>
      <c r="H37" s="158">
        <v>-0.73899999999999999</v>
      </c>
      <c r="I37" s="158">
        <v>1.6220000000000001</v>
      </c>
      <c r="K37" s="159">
        <v>3562</v>
      </c>
      <c r="L37" s="145">
        <v>2408</v>
      </c>
      <c r="M37" s="145">
        <v>2901</v>
      </c>
      <c r="N37" s="145">
        <v>6167</v>
      </c>
      <c r="O37" s="159">
        <v>9697</v>
      </c>
      <c r="P37" s="180">
        <v>8621</v>
      </c>
      <c r="Q37" s="180">
        <v>-10811</v>
      </c>
      <c r="R37" s="180">
        <v>31918</v>
      </c>
      <c r="S37" s="261">
        <v>8269.585389628699</v>
      </c>
      <c r="T37" s="261">
        <v>0</v>
      </c>
      <c r="V37" s="158">
        <v>-6.6000000000000003E-2</v>
      </c>
      <c r="W37" s="158">
        <v>-6.6000000000000003E-2</v>
      </c>
      <c r="X37" s="176" t="s">
        <v>153</v>
      </c>
      <c r="Y37" s="158">
        <v>4.1760000000000002</v>
      </c>
      <c r="Z37" s="267">
        <f t="shared" si="9"/>
        <v>-0.14699999999999999</v>
      </c>
      <c r="AA37" s="267">
        <f t="shared" si="9"/>
        <v>-1</v>
      </c>
    </row>
    <row r="38" spans="1:27">
      <c r="A38" s="167" t="s">
        <v>154</v>
      </c>
      <c r="B38" s="145">
        <v>0</v>
      </c>
      <c r="C38" s="145">
        <v>0</v>
      </c>
      <c r="D38" s="145">
        <v>0</v>
      </c>
      <c r="E38" s="145">
        <v>-21178</v>
      </c>
      <c r="G38" s="145">
        <v>0</v>
      </c>
      <c r="H38" s="145">
        <v>0</v>
      </c>
      <c r="I38" s="217" t="s">
        <v>153</v>
      </c>
      <c r="K38" s="159">
        <v>0</v>
      </c>
      <c r="L38" s="145">
        <v>0</v>
      </c>
      <c r="M38" s="145">
        <v>0</v>
      </c>
      <c r="N38" s="145">
        <v>0</v>
      </c>
      <c r="O38" s="159">
        <v>0</v>
      </c>
      <c r="P38" s="180">
        <v>-10367</v>
      </c>
      <c r="Q38" s="180">
        <v>12391</v>
      </c>
      <c r="R38" s="180">
        <v>-23202</v>
      </c>
      <c r="S38" s="261">
        <v>0</v>
      </c>
      <c r="T38" s="261">
        <v>0</v>
      </c>
      <c r="V38" s="158">
        <v>0</v>
      </c>
      <c r="W38" s="158">
        <v>0</v>
      </c>
      <c r="X38" s="158">
        <v>0</v>
      </c>
      <c r="Y38" s="176" t="s">
        <v>153</v>
      </c>
      <c r="Z38" s="270">
        <v>0</v>
      </c>
      <c r="AA38" s="270">
        <v>0</v>
      </c>
    </row>
    <row r="39" spans="1:27">
      <c r="A39" s="167" t="s">
        <v>269</v>
      </c>
      <c r="B39" s="145">
        <v>0</v>
      </c>
      <c r="C39" s="145">
        <v>0</v>
      </c>
      <c r="D39" s="145">
        <v>0</v>
      </c>
      <c r="E39" s="145">
        <v>0</v>
      </c>
      <c r="G39" s="145">
        <v>0</v>
      </c>
      <c r="H39" s="145">
        <v>0</v>
      </c>
      <c r="I39" s="145">
        <v>0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261">
        <v>-14111</v>
      </c>
      <c r="V39" s="158"/>
      <c r="W39" s="158"/>
      <c r="X39" s="158"/>
      <c r="Y39" s="176"/>
      <c r="Z39" s="270"/>
      <c r="AA39" s="270"/>
    </row>
    <row r="40" spans="1:27">
      <c r="A40" s="211" t="s">
        <v>24</v>
      </c>
      <c r="B40" s="262">
        <f>SUM(B34,B37:B38)</f>
        <v>40561</v>
      </c>
      <c r="C40" s="262">
        <f>SUM(C34,C37:C38)</f>
        <v>72300</v>
      </c>
      <c r="D40" s="262">
        <f>SUM(D34,D37:D38)</f>
        <v>128528</v>
      </c>
      <c r="E40" s="262">
        <f>SUM(E34,E37:E38)</f>
        <v>202292</v>
      </c>
      <c r="G40" s="163">
        <v>0.27100000000000002</v>
      </c>
      <c r="H40" s="163">
        <v>0.31</v>
      </c>
      <c r="I40" s="163">
        <v>0.55000000000000004</v>
      </c>
      <c r="K40" s="262">
        <f t="shared" ref="K40:S40" si="30">SUM(K34,K37:K38)</f>
        <v>12441</v>
      </c>
      <c r="L40" s="262">
        <f t="shared" si="30"/>
        <v>24811</v>
      </c>
      <c r="M40" s="262">
        <f t="shared" si="30"/>
        <v>40784</v>
      </c>
      <c r="N40" s="262">
        <f t="shared" si="30"/>
        <v>50490</v>
      </c>
      <c r="O40" s="262">
        <f t="shared" si="30"/>
        <v>30641</v>
      </c>
      <c r="P40" s="262">
        <f t="shared" si="30"/>
        <v>46149</v>
      </c>
      <c r="Q40" s="262">
        <f t="shared" si="30"/>
        <v>57789</v>
      </c>
      <c r="R40" s="262">
        <f t="shared" si="30"/>
        <v>67713</v>
      </c>
      <c r="S40" s="262">
        <f t="shared" si="30"/>
        <v>46690.278670528598</v>
      </c>
      <c r="T40" s="262">
        <f>SUM(T34,T37:T39)</f>
        <v>61691.837831475015</v>
      </c>
      <c r="U40" s="212"/>
      <c r="V40" s="163">
        <v>1.4630000000000001</v>
      </c>
      <c r="W40" s="163">
        <v>0.72</v>
      </c>
      <c r="X40" s="163">
        <v>0.41699999999999998</v>
      </c>
      <c r="Y40" s="163">
        <v>0.34100000000000003</v>
      </c>
      <c r="Z40" s="268">
        <f t="shared" si="9"/>
        <v>0.52400000000000002</v>
      </c>
      <c r="AA40" s="268">
        <f t="shared" si="9"/>
        <v>0.33700000000000002</v>
      </c>
    </row>
    <row r="41" spans="1:27">
      <c r="A41" s="206" t="s">
        <v>37</v>
      </c>
      <c r="B41" s="207">
        <v>0.112</v>
      </c>
      <c r="C41" s="207">
        <v>0.13700000000000001</v>
      </c>
      <c r="D41" s="207">
        <v>0.13100000000000001</v>
      </c>
      <c r="E41" s="207">
        <v>0.13300000000000001</v>
      </c>
      <c r="G41" s="208">
        <v>2.5000000000000009</v>
      </c>
      <c r="H41" s="208">
        <v>0</v>
      </c>
      <c r="I41" s="208">
        <v>0.2</v>
      </c>
      <c r="K41" s="213">
        <v>7.4999999999999997E-2</v>
      </c>
      <c r="L41" s="207">
        <v>0.127</v>
      </c>
      <c r="M41" s="207">
        <v>0.14699999999999999</v>
      </c>
      <c r="N41" s="214">
        <v>0.14699999999999999</v>
      </c>
      <c r="O41" s="209">
        <v>9.4E-2</v>
      </c>
      <c r="P41" s="210">
        <v>0.125</v>
      </c>
      <c r="Q41" s="210">
        <v>0.154</v>
      </c>
      <c r="R41" s="210">
        <v>0.15</v>
      </c>
      <c r="S41" s="265">
        <f>S40/S5</f>
        <v>0.10395491507210802</v>
      </c>
      <c r="T41" s="265">
        <f>T40/T5</f>
        <v>0.12426700584488959</v>
      </c>
      <c r="V41" s="208">
        <v>1.9000000000000004</v>
      </c>
      <c r="W41" s="208">
        <v>-0.20000000000000018</v>
      </c>
      <c r="X41" s="208">
        <v>0.7</v>
      </c>
      <c r="Y41" s="208">
        <v>0.3</v>
      </c>
      <c r="Z41" s="273">
        <f t="shared" si="9"/>
        <v>0.106</v>
      </c>
      <c r="AA41" s="273">
        <f t="shared" si="9"/>
        <v>-6.0000000000000001E-3</v>
      </c>
    </row>
    <row r="43" spans="1:27">
      <c r="A43" s="204" t="s">
        <v>38</v>
      </c>
      <c r="G43" s="147"/>
      <c r="H43" s="147"/>
      <c r="I43" s="147"/>
      <c r="S43" s="194"/>
      <c r="T43" s="194"/>
      <c r="W43" s="147"/>
      <c r="X43" s="147"/>
      <c r="Y43" s="147"/>
      <c r="Z43" s="147"/>
      <c r="AA43" s="147"/>
    </row>
    <row r="44" spans="1:27">
      <c r="A44" s="197" t="s">
        <v>39</v>
      </c>
      <c r="B44" s="263">
        <f>B26</f>
        <v>-636</v>
      </c>
      <c r="C44" s="263">
        <f>C26</f>
        <v>-7146</v>
      </c>
      <c r="D44" s="263">
        <f>D26</f>
        <v>7028</v>
      </c>
      <c r="E44" s="263">
        <f>E26</f>
        <v>-17861</v>
      </c>
      <c r="G44" s="199">
        <v>10.236000000000001</v>
      </c>
      <c r="H44" s="199">
        <v>-1.9830000000000001</v>
      </c>
      <c r="I44" s="199">
        <v>-3.5409999999999999</v>
      </c>
      <c r="K44" s="263">
        <f t="shared" ref="K44:S44" si="31">K26</f>
        <v>-9849</v>
      </c>
      <c r="L44" s="263">
        <f t="shared" si="31"/>
        <v>-7993</v>
      </c>
      <c r="M44" s="263">
        <f t="shared" si="31"/>
        <v>7158</v>
      </c>
      <c r="N44" s="263">
        <f t="shared" si="31"/>
        <v>17712</v>
      </c>
      <c r="O44" s="263">
        <f t="shared" si="31"/>
        <v>-18592</v>
      </c>
      <c r="P44" s="263">
        <f t="shared" si="31"/>
        <v>3026</v>
      </c>
      <c r="Q44" s="263">
        <f t="shared" si="31"/>
        <v>-322</v>
      </c>
      <c r="R44" s="263">
        <f t="shared" si="31"/>
        <v>-1973</v>
      </c>
      <c r="S44" s="263">
        <f t="shared" si="31"/>
        <v>-29797.306719100103</v>
      </c>
      <c r="T44" s="263">
        <f t="shared" ref="T44" si="32">T26</f>
        <v>-25768.162168524985</v>
      </c>
      <c r="V44" s="199">
        <v>0.88800000000000001</v>
      </c>
      <c r="W44" s="220" t="s">
        <v>153</v>
      </c>
      <c r="X44" s="220" t="s">
        <v>153</v>
      </c>
      <c r="Y44" s="199">
        <v>-1.111</v>
      </c>
      <c r="Z44" s="269">
        <f>-ROUND(S44/O44-1,3)</f>
        <v>-0.60299999999999998</v>
      </c>
      <c r="AA44" s="269">
        <f>-ROUND(T44/P44-1,3)</f>
        <v>9.516</v>
      </c>
    </row>
    <row r="45" spans="1:27">
      <c r="A45" s="167" t="s">
        <v>41</v>
      </c>
      <c r="B45" s="166">
        <v>13190</v>
      </c>
      <c r="C45" s="145">
        <v>17359</v>
      </c>
      <c r="D45" s="145">
        <v>24427</v>
      </c>
      <c r="E45" s="145">
        <v>57545</v>
      </c>
      <c r="G45" s="158">
        <v>0</v>
      </c>
      <c r="H45" s="158">
        <v>0.40699999999999997</v>
      </c>
      <c r="I45" s="158">
        <v>1.3560000000000001</v>
      </c>
      <c r="K45" s="159">
        <v>5013</v>
      </c>
      <c r="L45" s="145">
        <v>5728</v>
      </c>
      <c r="M45" s="145">
        <v>4789</v>
      </c>
      <c r="N45" s="145">
        <v>8897</v>
      </c>
      <c r="O45" s="159">
        <v>8505</v>
      </c>
      <c r="P45" s="180">
        <v>15708</v>
      </c>
      <c r="Q45" s="180">
        <v>16408</v>
      </c>
      <c r="R45" s="180">
        <v>16924</v>
      </c>
      <c r="S45" s="261">
        <v>17539</v>
      </c>
      <c r="T45" s="261">
        <v>16185</v>
      </c>
      <c r="V45" s="158">
        <v>0.69699999999999995</v>
      </c>
      <c r="W45" s="158">
        <v>1.742</v>
      </c>
      <c r="X45" s="158">
        <v>2.4260000000000002</v>
      </c>
      <c r="Y45" s="158">
        <v>0.90200000000000002</v>
      </c>
      <c r="Z45" s="267">
        <f t="shared" ref="Z45:AA53" si="33">ROUND(S45/O45-1,3)</f>
        <v>1.0620000000000001</v>
      </c>
      <c r="AA45" s="267">
        <f t="shared" si="33"/>
        <v>0.03</v>
      </c>
    </row>
    <row r="46" spans="1:27">
      <c r="A46" s="211" t="s">
        <v>44</v>
      </c>
      <c r="B46" s="262">
        <f>SUM(B44:B45)</f>
        <v>12554</v>
      </c>
      <c r="C46" s="262">
        <f>SUM(C44:C45)</f>
        <v>10213</v>
      </c>
      <c r="D46" s="262">
        <f>SUM(D44:D45)</f>
        <v>31455</v>
      </c>
      <c r="E46" s="262">
        <f>SUM(E44:E45)</f>
        <v>39684</v>
      </c>
      <c r="G46" s="163">
        <v>-17.058</v>
      </c>
      <c r="H46" s="163">
        <v>2.08</v>
      </c>
      <c r="I46" s="163">
        <v>0.26200000000000001</v>
      </c>
      <c r="K46" s="262">
        <f t="shared" ref="K46:S46" si="34">SUM(K44:K45)</f>
        <v>-4836</v>
      </c>
      <c r="L46" s="262">
        <f t="shared" si="34"/>
        <v>-2265</v>
      </c>
      <c r="M46" s="262">
        <f t="shared" si="34"/>
        <v>11947</v>
      </c>
      <c r="N46" s="262">
        <f t="shared" si="34"/>
        <v>26609</v>
      </c>
      <c r="O46" s="262">
        <f t="shared" si="34"/>
        <v>-10087</v>
      </c>
      <c r="P46" s="262">
        <f t="shared" si="34"/>
        <v>18734</v>
      </c>
      <c r="Q46" s="262">
        <f t="shared" si="34"/>
        <v>16086</v>
      </c>
      <c r="R46" s="262">
        <f t="shared" si="34"/>
        <v>14951</v>
      </c>
      <c r="S46" s="262">
        <f t="shared" si="34"/>
        <v>-12258.306719100103</v>
      </c>
      <c r="T46" s="262">
        <f t="shared" ref="T46" si="35">SUM(T44:T45)</f>
        <v>-9583.1621685249847</v>
      </c>
      <c r="U46" s="212"/>
      <c r="V46" s="163">
        <v>1.0860000000000001</v>
      </c>
      <c r="W46" s="218" t="s">
        <v>153</v>
      </c>
      <c r="X46" s="163">
        <v>0.34699999999999998</v>
      </c>
      <c r="Y46" s="163">
        <v>-0.438</v>
      </c>
      <c r="Z46" s="268">
        <f>-ROUND(S46/O46-1,3)</f>
        <v>-0.215</v>
      </c>
      <c r="AA46" s="268">
        <f>-ROUND(T46/P46-1,3)</f>
        <v>1.512</v>
      </c>
    </row>
    <row r="47" spans="1:27">
      <c r="A47" s="167" t="s">
        <v>35</v>
      </c>
      <c r="B47" s="145">
        <v>0</v>
      </c>
      <c r="C47" s="145">
        <v>0</v>
      </c>
      <c r="D47" s="145">
        <v>2011</v>
      </c>
      <c r="E47" s="145">
        <v>0</v>
      </c>
      <c r="G47" s="158">
        <v>0</v>
      </c>
      <c r="H47" s="158">
        <v>0</v>
      </c>
      <c r="I47" s="158">
        <v>-1</v>
      </c>
      <c r="K47" s="169">
        <v>0</v>
      </c>
      <c r="L47" s="166">
        <v>2011</v>
      </c>
      <c r="M47" s="166">
        <v>0</v>
      </c>
      <c r="N47" s="166">
        <v>0</v>
      </c>
      <c r="O47" s="159">
        <v>0</v>
      </c>
      <c r="P47" s="180">
        <v>0</v>
      </c>
      <c r="Q47" s="180">
        <v>0</v>
      </c>
      <c r="R47" s="180">
        <v>0</v>
      </c>
      <c r="S47" s="261">
        <v>0</v>
      </c>
      <c r="T47" s="261">
        <v>0</v>
      </c>
      <c r="V47" s="158">
        <v>0</v>
      </c>
      <c r="W47" s="158">
        <v>0</v>
      </c>
      <c r="X47" s="158">
        <v>0</v>
      </c>
      <c r="Y47" s="158">
        <v>0</v>
      </c>
      <c r="Z47" s="267" t="s">
        <v>202</v>
      </c>
      <c r="AA47" s="267" t="s">
        <v>202</v>
      </c>
    </row>
    <row r="48" spans="1:27">
      <c r="A48" s="167" t="s">
        <v>36</v>
      </c>
      <c r="B48" s="145">
        <v>1710</v>
      </c>
      <c r="C48" s="145">
        <v>7440</v>
      </c>
      <c r="D48" s="145">
        <v>15038</v>
      </c>
      <c r="E48" s="145">
        <v>39425</v>
      </c>
      <c r="G48" s="158">
        <v>3.351</v>
      </c>
      <c r="H48" s="158">
        <v>1.0209999999999999</v>
      </c>
      <c r="I48" s="158">
        <v>1.6220000000000001</v>
      </c>
      <c r="K48" s="169">
        <v>3562</v>
      </c>
      <c r="L48" s="166">
        <v>2409</v>
      </c>
      <c r="M48" s="166">
        <v>2901</v>
      </c>
      <c r="N48" s="166">
        <v>6167</v>
      </c>
      <c r="O48" s="159">
        <v>9697</v>
      </c>
      <c r="P48" s="180">
        <v>8623</v>
      </c>
      <c r="Q48" s="180">
        <v>1580</v>
      </c>
      <c r="R48" s="180">
        <v>19525</v>
      </c>
      <c r="S48" s="261">
        <v>8270</v>
      </c>
      <c r="T48" s="261">
        <v>0</v>
      </c>
      <c r="V48" s="158">
        <v>1.7230000000000001</v>
      </c>
      <c r="W48" s="158">
        <v>2.5790000000000002</v>
      </c>
      <c r="X48" s="158">
        <v>-0.45500000000000002</v>
      </c>
      <c r="Y48" s="158">
        <v>2.1659999999999999</v>
      </c>
      <c r="Z48" s="267">
        <f t="shared" si="33"/>
        <v>-0.14699999999999999</v>
      </c>
      <c r="AA48" s="267">
        <f t="shared" si="33"/>
        <v>-1</v>
      </c>
    </row>
    <row r="49" spans="1:27">
      <c r="A49" s="167" t="s">
        <v>154</v>
      </c>
      <c r="B49" s="145">
        <v>0</v>
      </c>
      <c r="C49" s="145">
        <v>0</v>
      </c>
      <c r="D49" s="145">
        <v>0</v>
      </c>
      <c r="E49" s="145">
        <v>-21177.798350000001</v>
      </c>
      <c r="G49" s="145">
        <v>0</v>
      </c>
      <c r="H49" s="145">
        <v>0</v>
      </c>
      <c r="I49" s="217" t="s">
        <v>153</v>
      </c>
      <c r="K49" s="159">
        <v>0</v>
      </c>
      <c r="L49" s="145">
        <v>0</v>
      </c>
      <c r="M49" s="145">
        <v>0</v>
      </c>
      <c r="N49" s="145">
        <v>0</v>
      </c>
      <c r="O49" s="159">
        <v>0</v>
      </c>
      <c r="P49" s="180">
        <v>-10367</v>
      </c>
      <c r="Q49" s="180">
        <v>0</v>
      </c>
      <c r="R49" s="180">
        <v>-10810.798350000001</v>
      </c>
      <c r="S49" s="261">
        <v>0</v>
      </c>
      <c r="T49" s="261">
        <v>0</v>
      </c>
      <c r="V49" s="158">
        <v>0</v>
      </c>
      <c r="W49" s="158">
        <v>0</v>
      </c>
      <c r="X49" s="158">
        <v>0</v>
      </c>
      <c r="Y49" s="176" t="s">
        <v>153</v>
      </c>
      <c r="Z49" s="270">
        <v>0</v>
      </c>
      <c r="AA49" s="270">
        <v>0</v>
      </c>
    </row>
    <row r="50" spans="1:27">
      <c r="A50" s="320" t="s">
        <v>226</v>
      </c>
      <c r="B50" s="145">
        <v>0</v>
      </c>
      <c r="C50" s="145">
        <v>0</v>
      </c>
      <c r="D50" s="145">
        <v>0</v>
      </c>
      <c r="E50" s="145">
        <v>0</v>
      </c>
      <c r="G50" s="145">
        <v>0</v>
      </c>
      <c r="H50" s="145">
        <v>0</v>
      </c>
      <c r="I50" s="217">
        <v>0</v>
      </c>
      <c r="K50" s="159">
        <v>0</v>
      </c>
      <c r="L50" s="145">
        <v>0</v>
      </c>
      <c r="M50" s="145">
        <v>0</v>
      </c>
      <c r="N50" s="145">
        <v>0</v>
      </c>
      <c r="O50" s="159">
        <v>0</v>
      </c>
      <c r="P50" s="180">
        <v>0</v>
      </c>
      <c r="Q50" s="180">
        <v>0</v>
      </c>
      <c r="R50" s="180">
        <v>0</v>
      </c>
      <c r="S50" s="261">
        <v>2221</v>
      </c>
      <c r="T50" s="261">
        <v>0</v>
      </c>
      <c r="V50" s="158">
        <v>0</v>
      </c>
      <c r="W50" s="158">
        <v>0</v>
      </c>
      <c r="X50" s="158">
        <v>0</v>
      </c>
      <c r="Y50" s="176">
        <v>0</v>
      </c>
      <c r="Z50" s="270">
        <v>0</v>
      </c>
      <c r="AA50" s="270">
        <v>0</v>
      </c>
    </row>
    <row r="51" spans="1:27" s="326" customFormat="1">
      <c r="A51" s="321" t="s">
        <v>273</v>
      </c>
      <c r="B51" s="145">
        <v>0</v>
      </c>
      <c r="C51" s="145">
        <v>0</v>
      </c>
      <c r="D51" s="145">
        <v>0</v>
      </c>
      <c r="E51" s="145">
        <v>0</v>
      </c>
      <c r="F51" s="146">
        <v>0</v>
      </c>
      <c r="G51" s="145">
        <v>0</v>
      </c>
      <c r="H51" s="145">
        <v>0</v>
      </c>
      <c r="I51" s="217">
        <v>0</v>
      </c>
      <c r="J51" s="326">
        <v>0</v>
      </c>
      <c r="K51" s="159">
        <v>0</v>
      </c>
      <c r="L51" s="145">
        <v>0</v>
      </c>
      <c r="M51" s="145">
        <v>0</v>
      </c>
      <c r="N51" s="145">
        <v>0</v>
      </c>
      <c r="O51" s="159">
        <v>0</v>
      </c>
      <c r="P51" s="180">
        <v>0</v>
      </c>
      <c r="Q51" s="180">
        <v>0</v>
      </c>
      <c r="R51" s="180">
        <v>0</v>
      </c>
      <c r="S51" s="244">
        <v>-3697</v>
      </c>
      <c r="T51" s="261">
        <v>26664</v>
      </c>
      <c r="U51" s="146"/>
      <c r="V51" s="158"/>
      <c r="W51" s="158"/>
      <c r="X51" s="158"/>
      <c r="Y51" s="176"/>
      <c r="Z51" s="270"/>
      <c r="AA51" s="270"/>
    </row>
    <row r="52" spans="1:27" s="326" customFormat="1">
      <c r="A52" s="327" t="s">
        <v>269</v>
      </c>
      <c r="B52" s="145">
        <v>0</v>
      </c>
      <c r="C52" s="145">
        <v>0</v>
      </c>
      <c r="D52" s="145">
        <v>0</v>
      </c>
      <c r="E52" s="145">
        <v>0</v>
      </c>
      <c r="F52" s="146"/>
      <c r="G52" s="145">
        <v>0</v>
      </c>
      <c r="H52" s="145">
        <v>0</v>
      </c>
      <c r="I52" s="145">
        <v>0</v>
      </c>
      <c r="K52" s="145">
        <v>0</v>
      </c>
      <c r="L52" s="145">
        <v>0</v>
      </c>
      <c r="M52" s="145">
        <v>0</v>
      </c>
      <c r="N52" s="145">
        <v>0</v>
      </c>
      <c r="O52" s="145">
        <v>0</v>
      </c>
      <c r="P52" s="145">
        <v>0</v>
      </c>
      <c r="Q52" s="145">
        <v>0</v>
      </c>
      <c r="R52" s="145">
        <v>0</v>
      </c>
      <c r="S52" s="145">
        <v>0</v>
      </c>
      <c r="T52" s="261">
        <v>-14111</v>
      </c>
      <c r="U52" s="146"/>
      <c r="V52" s="158"/>
      <c r="W52" s="158"/>
      <c r="X52" s="158"/>
      <c r="Y52" s="176"/>
      <c r="Z52" s="270"/>
      <c r="AA52" s="270"/>
    </row>
    <row r="53" spans="1:27">
      <c r="A53" s="167" t="s">
        <v>42</v>
      </c>
      <c r="B53" s="145">
        <v>-581</v>
      </c>
      <c r="C53" s="145">
        <v>-2529</v>
      </c>
      <c r="D53" s="145">
        <v>-5797</v>
      </c>
      <c r="E53" s="145">
        <v>-6204</v>
      </c>
      <c r="G53" s="158">
        <v>3.35</v>
      </c>
      <c r="H53" s="158">
        <v>1.292</v>
      </c>
      <c r="I53" s="158">
        <v>7.0000000000000007E-2</v>
      </c>
      <c r="K53" s="159">
        <v>-1211</v>
      </c>
      <c r="L53" s="145">
        <v>-1503</v>
      </c>
      <c r="M53" s="145">
        <v>-986</v>
      </c>
      <c r="N53" s="145">
        <v>-2097</v>
      </c>
      <c r="O53" s="159">
        <v>-3297</v>
      </c>
      <c r="P53" s="180">
        <v>591</v>
      </c>
      <c r="Q53" s="180">
        <v>-538</v>
      </c>
      <c r="R53" s="180">
        <v>-2965</v>
      </c>
      <c r="S53" s="261">
        <v>-2813</v>
      </c>
      <c r="T53" s="261">
        <v>4797</v>
      </c>
      <c r="V53" s="158">
        <v>1.7230000000000001</v>
      </c>
      <c r="W53" s="176" t="s">
        <v>153</v>
      </c>
      <c r="X53" s="158">
        <v>-0.45400000000000001</v>
      </c>
      <c r="Y53" s="158">
        <v>0.41399999999999998</v>
      </c>
      <c r="Z53" s="267">
        <f t="shared" si="33"/>
        <v>-0.14699999999999999</v>
      </c>
      <c r="AA53" s="267">
        <f t="shared" si="33"/>
        <v>7.117</v>
      </c>
    </row>
    <row r="54" spans="1:27">
      <c r="A54" s="211" t="s">
        <v>45</v>
      </c>
      <c r="B54" s="262">
        <f>SUM(B46:B53)</f>
        <v>13683</v>
      </c>
      <c r="C54" s="262">
        <f>SUM(C46:C53)</f>
        <v>15124</v>
      </c>
      <c r="D54" s="262">
        <f>SUM(D46:D53)</f>
        <v>42707</v>
      </c>
      <c r="E54" s="262">
        <f>SUM(E46:E53)</f>
        <v>51727.201650000003</v>
      </c>
      <c r="G54" s="163">
        <v>29.702000000000002</v>
      </c>
      <c r="H54" s="163">
        <v>1.8240000000000001</v>
      </c>
      <c r="I54" s="163">
        <v>0.21099999999999999</v>
      </c>
      <c r="K54" s="262">
        <f t="shared" ref="K54:T54" si="36">SUM(K46:K53)</f>
        <v>-2485</v>
      </c>
      <c r="L54" s="262">
        <f t="shared" si="36"/>
        <v>652</v>
      </c>
      <c r="M54" s="262">
        <f t="shared" si="36"/>
        <v>13862</v>
      </c>
      <c r="N54" s="262">
        <f t="shared" si="36"/>
        <v>30679</v>
      </c>
      <c r="O54" s="262">
        <f t="shared" si="36"/>
        <v>-3687</v>
      </c>
      <c r="P54" s="262">
        <f t="shared" si="36"/>
        <v>17581</v>
      </c>
      <c r="Q54" s="262">
        <f t="shared" si="36"/>
        <v>17128</v>
      </c>
      <c r="R54" s="262">
        <f t="shared" si="36"/>
        <v>20700.201649999999</v>
      </c>
      <c r="S54" s="262">
        <f t="shared" si="36"/>
        <v>-8277.3067191001028</v>
      </c>
      <c r="T54" s="262">
        <f t="shared" si="36"/>
        <v>7766.8378314750153</v>
      </c>
      <c r="U54" s="212"/>
      <c r="V54" s="163">
        <v>0.48299999999999998</v>
      </c>
      <c r="W54" s="163">
        <v>25.888000000000002</v>
      </c>
      <c r="X54" s="163">
        <v>0.23599999999999999</v>
      </c>
      <c r="Y54" s="163">
        <v>-0.32500000000000001</v>
      </c>
      <c r="Z54" s="268">
        <f>-ROUND(S54/O54-1,3)</f>
        <v>-1.2450000000000001</v>
      </c>
      <c r="AA54" s="268">
        <f>-ROUND(T54/P54-1,3)</f>
        <v>0.55800000000000005</v>
      </c>
    </row>
    <row r="55" spans="1:27">
      <c r="A55" s="206" t="s">
        <v>43</v>
      </c>
      <c r="B55" s="265">
        <f>ROUND(B54/B5,3)</f>
        <v>3.7999999999999999E-2</v>
      </c>
      <c r="C55" s="265">
        <f>ROUND(C54/C5,3)</f>
        <v>2.9000000000000001E-2</v>
      </c>
      <c r="D55" s="265">
        <f>ROUND(D54/D5,3)</f>
        <v>4.2999999999999997E-2</v>
      </c>
      <c r="E55" s="265">
        <f>ROUND(E54/E5,3)</f>
        <v>3.4000000000000002E-2</v>
      </c>
      <c r="G55" s="208">
        <v>2.9</v>
      </c>
      <c r="H55" s="208">
        <v>1.4</v>
      </c>
      <c r="I55" s="208">
        <v>-0.89769372259278502</v>
      </c>
      <c r="K55" s="265">
        <f t="shared" ref="K55:T55" si="37">ROUND(K54/K5,3)</f>
        <v>-1.4999999999999999E-2</v>
      </c>
      <c r="L55" s="265">
        <f t="shared" si="37"/>
        <v>3.0000000000000001E-3</v>
      </c>
      <c r="M55" s="265">
        <f t="shared" si="37"/>
        <v>0.05</v>
      </c>
      <c r="N55" s="265">
        <f t="shared" si="37"/>
        <v>8.8999999999999996E-2</v>
      </c>
      <c r="O55" s="265">
        <f t="shared" si="37"/>
        <v>-1.0999999999999999E-2</v>
      </c>
      <c r="P55" s="265">
        <f t="shared" si="37"/>
        <v>4.8000000000000001E-2</v>
      </c>
      <c r="Q55" s="265">
        <f t="shared" si="37"/>
        <v>4.5999999999999999E-2</v>
      </c>
      <c r="R55" s="265">
        <f t="shared" si="37"/>
        <v>4.5999999999999999E-2</v>
      </c>
      <c r="S55" s="265">
        <f t="shared" si="37"/>
        <v>-1.7999999999999999E-2</v>
      </c>
      <c r="T55" s="265">
        <f t="shared" si="37"/>
        <v>1.6E-2</v>
      </c>
      <c r="V55" s="208">
        <v>0.4</v>
      </c>
      <c r="W55" s="208">
        <v>4.5</v>
      </c>
      <c r="X55" s="208">
        <v>-0.4</v>
      </c>
      <c r="Y55" s="208">
        <v>-4.308992146190425</v>
      </c>
      <c r="Z55" s="273">
        <f>-ROUND(S55/O55-1,3)</f>
        <v>-0.63600000000000001</v>
      </c>
      <c r="AA55" s="273">
        <f>-ROUND(T55/P55-1,3)</f>
        <v>0.66700000000000004</v>
      </c>
    </row>
    <row r="56" spans="1:27">
      <c r="K56" s="146"/>
      <c r="L56" s="146"/>
      <c r="M56" s="146"/>
      <c r="N56" s="146"/>
      <c r="O56" s="146"/>
      <c r="P56" s="146"/>
      <c r="Q56" s="146"/>
      <c r="R56" s="146"/>
      <c r="S56" s="146"/>
      <c r="T56" s="146"/>
    </row>
    <row r="57" spans="1:27">
      <c r="A57" s="2" t="s">
        <v>220</v>
      </c>
      <c r="C57" s="145"/>
      <c r="D57" s="145"/>
      <c r="E57" s="145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7">
      <c r="C58" s="145"/>
      <c r="D58" s="145"/>
      <c r="E58" s="145"/>
      <c r="K58" s="166"/>
      <c r="L58" s="166"/>
      <c r="M58" s="166"/>
      <c r="N58" s="166"/>
      <c r="O58" s="166"/>
      <c r="P58" s="166"/>
      <c r="Q58" s="166"/>
      <c r="R58" s="166"/>
      <c r="S58" s="166"/>
      <c r="T58" s="166"/>
    </row>
    <row r="59" spans="1:27">
      <c r="C59" s="145"/>
      <c r="D59" s="145"/>
      <c r="E59" s="145"/>
      <c r="K59" s="166"/>
      <c r="L59" s="166"/>
      <c r="M59" s="215"/>
      <c r="N59" s="166"/>
      <c r="O59" s="166"/>
      <c r="P59" s="215"/>
      <c r="Q59" s="215"/>
      <c r="R59" s="215"/>
      <c r="S59" s="215"/>
      <c r="T59" s="215"/>
    </row>
    <row r="60" spans="1:27">
      <c r="K60" s="146"/>
      <c r="L60" s="146"/>
      <c r="M60" s="146"/>
      <c r="N60" s="146"/>
      <c r="O60" s="146"/>
      <c r="P60" s="146"/>
      <c r="Q60" s="146"/>
      <c r="R60" s="146"/>
      <c r="S60" s="146"/>
      <c r="T60" s="146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E30 A40:E40 S40 K40:R40 T40" formulaRange="1"/>
    <ignoredError sqref="Z5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"/>
  <sheetViews>
    <sheetView showGridLines="0" zoomScaleNormal="100" workbookViewId="0">
      <pane xSplit="2" ySplit="4" topLeftCell="G18" activePane="bottomRight" state="frozen"/>
      <selection activeCell="B2" sqref="B2"/>
      <selection pane="topRight" activeCell="B2" sqref="B2"/>
      <selection pane="bottomLeft" activeCell="B2" sqref="B2"/>
      <selection pane="bottomRight" activeCell="G29" sqref="G29"/>
    </sheetView>
  </sheetViews>
  <sheetFormatPr defaultColWidth="9.1796875" defaultRowHeight="10"/>
  <cols>
    <col min="1" max="1" width="37.81640625" style="144" hidden="1" customWidth="1"/>
    <col min="2" max="2" width="56.1796875" style="144" bestFit="1" customWidth="1"/>
    <col min="3" max="6" width="12" style="144" customWidth="1"/>
    <col min="7" max="7" width="2.54296875" style="146" customWidth="1"/>
    <col min="8" max="10" width="11.453125" style="147" customWidth="1"/>
    <col min="11" max="11" width="9.1796875" style="144" customWidth="1"/>
    <col min="12" max="21" width="12" style="144" customWidth="1"/>
    <col min="22" max="22" width="2.54296875" style="146" customWidth="1"/>
    <col min="23" max="27" width="11.453125" style="144" customWidth="1"/>
    <col min="28" max="28" width="11.453125" style="326" customWidth="1"/>
    <col min="29" max="16384" width="9.1796875" style="144"/>
  </cols>
  <sheetData>
    <row r="1" spans="1:28" ht="54.75" customHeight="1">
      <c r="E1" s="145"/>
      <c r="S1" s="145"/>
      <c r="T1" s="145"/>
      <c r="U1" s="145"/>
    </row>
    <row r="2" spans="1:28">
      <c r="B2" s="148"/>
      <c r="H2" s="149" t="s">
        <v>0</v>
      </c>
      <c r="I2" s="149" t="s">
        <v>0</v>
      </c>
      <c r="J2" s="149" t="s">
        <v>0</v>
      </c>
      <c r="L2" s="150"/>
      <c r="M2" s="150"/>
      <c r="N2" s="150"/>
      <c r="O2" s="150"/>
      <c r="P2" s="150"/>
      <c r="Q2" s="150"/>
      <c r="R2" s="150"/>
      <c r="S2" s="150"/>
      <c r="T2" s="300" t="s">
        <v>248</v>
      </c>
      <c r="U2" s="300" t="s">
        <v>265</v>
      </c>
      <c r="W2" s="149" t="s">
        <v>0</v>
      </c>
      <c r="X2" s="149" t="s">
        <v>0</v>
      </c>
      <c r="Y2" s="149" t="s">
        <v>0</v>
      </c>
      <c r="Z2" s="149" t="s">
        <v>0</v>
      </c>
      <c r="AA2" s="149" t="s">
        <v>0</v>
      </c>
      <c r="AB2" s="149" t="s">
        <v>0</v>
      </c>
    </row>
    <row r="3" spans="1:28" ht="20">
      <c r="B3" s="4" t="s">
        <v>47</v>
      </c>
      <c r="C3" s="5">
        <v>2018</v>
      </c>
      <c r="D3" s="5">
        <v>2019</v>
      </c>
      <c r="E3" s="5">
        <v>2020</v>
      </c>
      <c r="F3" s="5">
        <v>2021</v>
      </c>
      <c r="H3" s="5">
        <v>2019</v>
      </c>
      <c r="I3" s="5">
        <v>2020</v>
      </c>
      <c r="J3" s="5">
        <v>2021</v>
      </c>
      <c r="K3" s="151"/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25</v>
      </c>
      <c r="R3" s="5" t="s">
        <v>176</v>
      </c>
      <c r="S3" s="5" t="s">
        <v>181</v>
      </c>
      <c r="T3" s="5" t="s">
        <v>206</v>
      </c>
      <c r="U3" s="5" t="s">
        <v>264</v>
      </c>
      <c r="W3" s="93" t="s">
        <v>183</v>
      </c>
      <c r="X3" s="93" t="s">
        <v>184</v>
      </c>
      <c r="Y3" s="93" t="s">
        <v>185</v>
      </c>
      <c r="Z3" s="93" t="s">
        <v>186</v>
      </c>
      <c r="AA3" s="93" t="s">
        <v>211</v>
      </c>
      <c r="AB3" s="93" t="s">
        <v>275</v>
      </c>
    </row>
    <row r="4" spans="1:28" ht="5.15" customHeight="1">
      <c r="L4" s="152"/>
      <c r="P4" s="152"/>
      <c r="T4" s="260"/>
      <c r="U4" s="260"/>
    </row>
    <row r="5" spans="1:28" ht="14.5" customHeight="1">
      <c r="B5" s="153" t="s">
        <v>48</v>
      </c>
      <c r="C5" s="154">
        <v>316842</v>
      </c>
      <c r="D5" s="154">
        <v>612994</v>
      </c>
      <c r="E5" s="154">
        <v>1375878</v>
      </c>
      <c r="F5" s="154">
        <v>1982172</v>
      </c>
      <c r="G5" s="155"/>
      <c r="H5" s="156">
        <v>0.93500000000000005</v>
      </c>
      <c r="I5" s="156">
        <v>1.2450000000000001</v>
      </c>
      <c r="J5" s="156">
        <v>0.441</v>
      </c>
      <c r="K5" s="151"/>
      <c r="L5" s="157">
        <v>760782</v>
      </c>
      <c r="M5" s="154">
        <v>804362</v>
      </c>
      <c r="N5" s="154">
        <v>910926</v>
      </c>
      <c r="O5" s="154">
        <v>1375878</v>
      </c>
      <c r="P5" s="157">
        <v>1609696</v>
      </c>
      <c r="Q5" s="154">
        <v>1918805</v>
      </c>
      <c r="R5" s="154">
        <v>1927956</v>
      </c>
      <c r="S5" s="154">
        <v>1982172</v>
      </c>
      <c r="T5" s="274">
        <f>SUM(T7,T16)</f>
        <v>1966960</v>
      </c>
      <c r="U5" s="274">
        <f>SUM(U7,U16)</f>
        <v>1982611</v>
      </c>
      <c r="V5" s="155"/>
      <c r="W5" s="156">
        <v>0.17</v>
      </c>
      <c r="X5" s="156">
        <v>0.39500000000000002</v>
      </c>
      <c r="Y5" s="156">
        <v>0.40100000000000002</v>
      </c>
      <c r="Z5" s="174">
        <v>0.441</v>
      </c>
      <c r="AA5" s="174">
        <f>ROUND(T5/S5-1,3)</f>
        <v>-8.0000000000000002E-3</v>
      </c>
      <c r="AB5" s="174">
        <f>ROUND(U5/S5-1,3)</f>
        <v>0</v>
      </c>
    </row>
    <row r="6" spans="1:28" ht="5.15" customHeight="1">
      <c r="C6" s="145"/>
      <c r="D6" s="145"/>
      <c r="E6" s="145"/>
      <c r="F6" s="145"/>
      <c r="H6" s="158"/>
      <c r="I6" s="158"/>
      <c r="J6" s="158"/>
      <c r="L6" s="159"/>
      <c r="M6" s="145"/>
      <c r="N6" s="145"/>
      <c r="O6" s="145"/>
      <c r="P6" s="159"/>
      <c r="Q6" s="145"/>
      <c r="R6" s="145"/>
      <c r="S6" s="145"/>
      <c r="T6" s="261"/>
      <c r="U6" s="261"/>
      <c r="W6" s="160"/>
      <c r="X6" s="160"/>
      <c r="Y6" s="160"/>
      <c r="Z6" s="160"/>
      <c r="AA6" s="160"/>
      <c r="AB6" s="160"/>
    </row>
    <row r="7" spans="1:28" ht="14.5" customHeight="1">
      <c r="B7" s="161" t="s">
        <v>60</v>
      </c>
      <c r="C7" s="162">
        <v>129437</v>
      </c>
      <c r="D7" s="162">
        <v>213144</v>
      </c>
      <c r="E7" s="162">
        <v>708818</v>
      </c>
      <c r="F7" s="162">
        <v>643221</v>
      </c>
      <c r="H7" s="163">
        <v>0.64700000000000002</v>
      </c>
      <c r="I7" s="163">
        <v>2.3260000000000001</v>
      </c>
      <c r="J7" s="163">
        <v>-9.2999999999999999E-2</v>
      </c>
      <c r="L7" s="164">
        <v>242506</v>
      </c>
      <c r="M7" s="162">
        <v>277037</v>
      </c>
      <c r="N7" s="162">
        <v>388109</v>
      </c>
      <c r="O7" s="162">
        <v>708818</v>
      </c>
      <c r="P7" s="164">
        <v>668158</v>
      </c>
      <c r="Q7" s="162">
        <v>666783</v>
      </c>
      <c r="R7" s="162">
        <v>605107</v>
      </c>
      <c r="S7" s="162">
        <v>643221</v>
      </c>
      <c r="T7" s="262">
        <f>SUM(T8:T14)</f>
        <v>632967</v>
      </c>
      <c r="U7" s="262">
        <f>SUM(U8:U14)</f>
        <v>650308</v>
      </c>
      <c r="W7" s="165">
        <v>-5.7000000000000002E-2</v>
      </c>
      <c r="X7" s="165">
        <v>-5.8999999999999997E-2</v>
      </c>
      <c r="Y7" s="165">
        <v>-0.14599999999999999</v>
      </c>
      <c r="Z7" s="165">
        <v>-9.2999999999999999E-2</v>
      </c>
      <c r="AA7" s="165">
        <f>ROUND(T7/S7-1,3)</f>
        <v>-1.6E-2</v>
      </c>
      <c r="AB7" s="165">
        <f>ROUND(U7/S7-1,3)</f>
        <v>1.0999999999999999E-2</v>
      </c>
    </row>
    <row r="8" spans="1:28" ht="14.5" customHeight="1">
      <c r="A8" s="298" t="s">
        <v>6</v>
      </c>
      <c r="B8" s="144" t="s">
        <v>6</v>
      </c>
      <c r="C8" s="145">
        <v>50510</v>
      </c>
      <c r="D8" s="145">
        <v>91599</v>
      </c>
      <c r="E8" s="145">
        <v>409183</v>
      </c>
      <c r="F8" s="145">
        <v>168931</v>
      </c>
      <c r="H8" s="158">
        <v>0.81299999999999994</v>
      </c>
      <c r="I8" s="158">
        <v>3.4670000000000001</v>
      </c>
      <c r="J8" s="158">
        <v>-0.58699999999999997</v>
      </c>
      <c r="L8" s="159">
        <v>64193</v>
      </c>
      <c r="M8" s="145">
        <v>72449</v>
      </c>
      <c r="N8" s="145">
        <v>114527</v>
      </c>
      <c r="O8" s="145">
        <v>409183</v>
      </c>
      <c r="P8" s="159">
        <v>323494</v>
      </c>
      <c r="Q8" s="145">
        <v>292242</v>
      </c>
      <c r="R8" s="145">
        <v>209969</v>
      </c>
      <c r="S8" s="145">
        <v>168931</v>
      </c>
      <c r="T8" s="261">
        <v>163904</v>
      </c>
      <c r="U8" s="261">
        <v>132400</v>
      </c>
      <c r="W8" s="160">
        <v>-0.20899999999999999</v>
      </c>
      <c r="X8" s="160">
        <v>-0.28599999999999998</v>
      </c>
      <c r="Y8" s="160">
        <v>-0.48699999999999999</v>
      </c>
      <c r="Z8" s="160">
        <v>-0.58699999999999997</v>
      </c>
      <c r="AA8" s="160">
        <f>ROUND(T8/S8-1,3)</f>
        <v>-0.03</v>
      </c>
      <c r="AB8" s="160">
        <f t="shared" ref="AB8:AB27" si="0">ROUND(U8/S8-1,3)</f>
        <v>-0.216</v>
      </c>
    </row>
    <row r="9" spans="1:28" ht="14.5" customHeight="1">
      <c r="A9" s="298" t="s">
        <v>49</v>
      </c>
      <c r="B9" s="144" t="s">
        <v>49</v>
      </c>
      <c r="C9" s="145">
        <v>68333</v>
      </c>
      <c r="D9" s="145">
        <v>105496</v>
      </c>
      <c r="E9" s="145">
        <v>268417</v>
      </c>
      <c r="F9" s="145">
        <v>411292</v>
      </c>
      <c r="H9" s="158">
        <v>0.54400000000000004</v>
      </c>
      <c r="I9" s="158">
        <v>1.544</v>
      </c>
      <c r="J9" s="158">
        <v>0.53200000000000003</v>
      </c>
      <c r="L9" s="159">
        <v>140101</v>
      </c>
      <c r="M9" s="145">
        <v>170535</v>
      </c>
      <c r="N9" s="145">
        <v>240025</v>
      </c>
      <c r="O9" s="145">
        <v>268417</v>
      </c>
      <c r="P9" s="159">
        <v>311091</v>
      </c>
      <c r="Q9" s="145">
        <v>314874</v>
      </c>
      <c r="R9" s="145">
        <v>333301</v>
      </c>
      <c r="S9" s="166">
        <v>411292</v>
      </c>
      <c r="T9" s="261">
        <v>408509</v>
      </c>
      <c r="U9" s="261">
        <v>428671</v>
      </c>
      <c r="W9" s="160">
        <v>0.159</v>
      </c>
      <c r="X9" s="160">
        <v>0.17299999999999999</v>
      </c>
      <c r="Y9" s="160">
        <v>0.24199999999999999</v>
      </c>
      <c r="Z9" s="160">
        <v>0.53200000000000003</v>
      </c>
      <c r="AA9" s="160">
        <f>ROUND(T9/S9-1,3)</f>
        <v>-7.0000000000000001E-3</v>
      </c>
      <c r="AB9" s="160">
        <f t="shared" si="0"/>
        <v>4.2000000000000003E-2</v>
      </c>
    </row>
    <row r="10" spans="1:28" ht="14.5" customHeight="1">
      <c r="A10" s="144">
        <v>0</v>
      </c>
      <c r="B10" s="167" t="s">
        <v>50</v>
      </c>
      <c r="C10" s="145">
        <v>0</v>
      </c>
      <c r="D10" s="145">
        <v>0</v>
      </c>
      <c r="E10" s="145">
        <v>1376</v>
      </c>
      <c r="F10" s="145">
        <v>0</v>
      </c>
      <c r="H10" s="158">
        <v>0</v>
      </c>
      <c r="I10" s="158">
        <v>0</v>
      </c>
      <c r="J10" s="158">
        <v>-1</v>
      </c>
      <c r="L10" s="159">
        <v>0</v>
      </c>
      <c r="M10" s="145">
        <v>0</v>
      </c>
      <c r="N10" s="145">
        <v>0</v>
      </c>
      <c r="O10" s="145">
        <v>1376</v>
      </c>
      <c r="P10" s="159">
        <v>0</v>
      </c>
      <c r="Q10" s="145">
        <v>0</v>
      </c>
      <c r="R10" s="145">
        <v>0</v>
      </c>
      <c r="S10" s="166">
        <v>0</v>
      </c>
      <c r="T10" s="261">
        <v>0</v>
      </c>
      <c r="U10" s="261">
        <v>0</v>
      </c>
      <c r="W10" s="168">
        <v>-1</v>
      </c>
      <c r="X10" s="168">
        <v>-1</v>
      </c>
      <c r="Y10" s="168">
        <v>-1</v>
      </c>
      <c r="Z10" s="168">
        <v>-1</v>
      </c>
      <c r="AA10" s="168">
        <v>0</v>
      </c>
      <c r="AB10" s="168">
        <v>0</v>
      </c>
    </row>
    <row r="11" spans="1:28" ht="14.5" customHeight="1">
      <c r="A11" s="298" t="s">
        <v>233</v>
      </c>
      <c r="B11" s="298" t="s">
        <v>233</v>
      </c>
      <c r="C11" s="145">
        <v>1702</v>
      </c>
      <c r="D11" s="145">
        <v>2668</v>
      </c>
      <c r="E11" s="145">
        <v>8126</v>
      </c>
      <c r="F11" s="145">
        <v>20415</v>
      </c>
      <c r="H11" s="158">
        <v>0.56799999999999995</v>
      </c>
      <c r="I11" s="158">
        <v>2.0459999999999998</v>
      </c>
      <c r="J11" s="158">
        <v>1.512</v>
      </c>
      <c r="L11" s="159">
        <v>7315</v>
      </c>
      <c r="M11" s="145">
        <v>5810</v>
      </c>
      <c r="N11" s="145">
        <v>6586</v>
      </c>
      <c r="O11" s="145">
        <v>8126</v>
      </c>
      <c r="P11" s="159">
        <v>13334</v>
      </c>
      <c r="Q11" s="145">
        <v>15820</v>
      </c>
      <c r="R11" s="145">
        <v>23940</v>
      </c>
      <c r="S11" s="166">
        <v>20415</v>
      </c>
      <c r="T11" s="261">
        <v>7809</v>
      </c>
      <c r="U11" s="261">
        <v>25272</v>
      </c>
      <c r="W11" s="160">
        <v>0.64100000000000001</v>
      </c>
      <c r="X11" s="160">
        <v>0.94699999999999995</v>
      </c>
      <c r="Y11" s="160">
        <v>1.946</v>
      </c>
      <c r="Z11" s="160">
        <v>1.512</v>
      </c>
      <c r="AA11" s="160">
        <f>ROUND(T11/S11-1,3)</f>
        <v>-0.61699999999999999</v>
      </c>
      <c r="AB11" s="160">
        <f t="shared" si="0"/>
        <v>0.23799999999999999</v>
      </c>
    </row>
    <row r="12" spans="1:28" ht="14.5" customHeight="1">
      <c r="A12" s="298" t="s">
        <v>51</v>
      </c>
      <c r="B12" s="144" t="s">
        <v>51</v>
      </c>
      <c r="C12" s="145">
        <v>3057</v>
      </c>
      <c r="D12" s="145">
        <v>4203</v>
      </c>
      <c r="E12" s="145">
        <v>9962</v>
      </c>
      <c r="F12" s="145">
        <v>24442</v>
      </c>
      <c r="H12" s="158">
        <v>0.375</v>
      </c>
      <c r="I12" s="158">
        <v>1.37</v>
      </c>
      <c r="J12" s="158">
        <v>1.454</v>
      </c>
      <c r="L12" s="159">
        <v>17937</v>
      </c>
      <c r="M12" s="145">
        <v>17482</v>
      </c>
      <c r="N12" s="145">
        <v>13130</v>
      </c>
      <c r="O12" s="145">
        <v>9962</v>
      </c>
      <c r="P12" s="159">
        <v>7457</v>
      </c>
      <c r="Q12" s="145">
        <v>19057</v>
      </c>
      <c r="R12" s="145">
        <v>19400</v>
      </c>
      <c r="S12" s="166">
        <v>24442</v>
      </c>
      <c r="T12" s="261">
        <v>32492</v>
      </c>
      <c r="U12" s="261">
        <v>43497</v>
      </c>
      <c r="W12" s="160">
        <v>-0.251</v>
      </c>
      <c r="X12" s="160">
        <v>0.91300000000000003</v>
      </c>
      <c r="Y12" s="160">
        <v>0.94699999999999995</v>
      </c>
      <c r="Z12" s="160">
        <v>1.454</v>
      </c>
      <c r="AA12" s="160">
        <f>ROUND(T12/S12-1,3)</f>
        <v>0.32900000000000001</v>
      </c>
      <c r="AB12" s="160">
        <f t="shared" si="0"/>
        <v>0.78</v>
      </c>
    </row>
    <row r="13" spans="1:28" ht="14.5" customHeight="1">
      <c r="A13" s="298" t="s">
        <v>7</v>
      </c>
      <c r="B13" s="144" t="s">
        <v>7</v>
      </c>
      <c r="C13" s="145">
        <v>901</v>
      </c>
      <c r="D13" s="145">
        <v>2078</v>
      </c>
      <c r="E13" s="145">
        <v>7374</v>
      </c>
      <c r="F13" s="145">
        <v>7444</v>
      </c>
      <c r="H13" s="158">
        <v>1.306</v>
      </c>
      <c r="I13" s="158">
        <v>2.5489999999999999</v>
      </c>
      <c r="J13" s="158">
        <v>8.9999999999999993E-3</v>
      </c>
      <c r="L13" s="159">
        <v>5176</v>
      </c>
      <c r="M13" s="145">
        <v>6899</v>
      </c>
      <c r="N13" s="145">
        <v>7605</v>
      </c>
      <c r="O13" s="145">
        <v>7374</v>
      </c>
      <c r="P13" s="159">
        <v>9461</v>
      </c>
      <c r="Q13" s="145">
        <v>10266</v>
      </c>
      <c r="R13" s="145">
        <v>9726</v>
      </c>
      <c r="S13" s="166">
        <v>7444</v>
      </c>
      <c r="T13" s="261">
        <v>9655</v>
      </c>
      <c r="U13" s="261">
        <v>9502</v>
      </c>
      <c r="W13" s="160">
        <v>0.28299999999999997</v>
      </c>
      <c r="X13" s="160">
        <v>0.39200000000000002</v>
      </c>
      <c r="Y13" s="160">
        <v>0.31900000000000001</v>
      </c>
      <c r="Z13" s="160">
        <v>8.9999999999999993E-3</v>
      </c>
      <c r="AA13" s="160">
        <f>ROUND(T13/S13-1,3)</f>
        <v>0.29699999999999999</v>
      </c>
      <c r="AB13" s="160">
        <f t="shared" si="0"/>
        <v>0.27600000000000002</v>
      </c>
    </row>
    <row r="14" spans="1:28" ht="14.5" customHeight="1">
      <c r="A14" s="298" t="s">
        <v>77</v>
      </c>
      <c r="B14" s="144" t="s">
        <v>77</v>
      </c>
      <c r="C14" s="145">
        <v>4934</v>
      </c>
      <c r="D14" s="145">
        <v>7100</v>
      </c>
      <c r="E14" s="145">
        <v>4380</v>
      </c>
      <c r="F14" s="145">
        <v>10697</v>
      </c>
      <c r="H14" s="158">
        <v>0.439</v>
      </c>
      <c r="I14" s="158">
        <v>-0.38300000000000001</v>
      </c>
      <c r="J14" s="158">
        <v>1.4419999999999999</v>
      </c>
      <c r="L14" s="159">
        <v>7784</v>
      </c>
      <c r="M14" s="145">
        <v>3862</v>
      </c>
      <c r="N14" s="145">
        <v>6236</v>
      </c>
      <c r="O14" s="145">
        <v>4380</v>
      </c>
      <c r="P14" s="159">
        <v>3321</v>
      </c>
      <c r="Q14" s="145">
        <v>14524</v>
      </c>
      <c r="R14" s="145">
        <v>8771</v>
      </c>
      <c r="S14" s="166">
        <v>10697</v>
      </c>
      <c r="T14" s="261">
        <v>10598</v>
      </c>
      <c r="U14" s="261">
        <v>10966</v>
      </c>
      <c r="W14" s="160">
        <v>-0.24199999999999999</v>
      </c>
      <c r="X14" s="160">
        <v>2.3159999999999998</v>
      </c>
      <c r="Y14" s="160">
        <v>1.0029999999999999</v>
      </c>
      <c r="Z14" s="160">
        <v>1.4419999999999999</v>
      </c>
      <c r="AA14" s="160">
        <f>ROUND(T14/S14-1,3)</f>
        <v>-8.9999999999999993E-3</v>
      </c>
      <c r="AB14" s="160">
        <f t="shared" si="0"/>
        <v>2.5000000000000001E-2</v>
      </c>
    </row>
    <row r="15" spans="1:28" ht="5.15" customHeight="1">
      <c r="C15" s="145"/>
      <c r="D15" s="145"/>
      <c r="E15" s="145"/>
      <c r="F15" s="145"/>
      <c r="H15" s="158"/>
      <c r="I15" s="158"/>
      <c r="J15" s="158"/>
      <c r="L15" s="159"/>
      <c r="M15" s="145"/>
      <c r="N15" s="145"/>
      <c r="O15" s="145">
        <v>0</v>
      </c>
      <c r="P15" s="159"/>
      <c r="Q15" s="145"/>
      <c r="R15" s="145"/>
      <c r="S15" s="145"/>
      <c r="T15" s="261"/>
      <c r="U15" s="261"/>
      <c r="W15" s="160"/>
      <c r="X15" s="160"/>
      <c r="Y15" s="160"/>
      <c r="Z15" s="160"/>
      <c r="AA15" s="160"/>
      <c r="AB15" s="160"/>
    </row>
    <row r="16" spans="1:28" ht="14.5" customHeight="1">
      <c r="B16" s="161" t="s">
        <v>61</v>
      </c>
      <c r="C16" s="162">
        <v>187405</v>
      </c>
      <c r="D16" s="162">
        <v>399850</v>
      </c>
      <c r="E16" s="162">
        <v>667060</v>
      </c>
      <c r="F16" s="162">
        <v>1338951</v>
      </c>
      <c r="H16" s="163">
        <v>1.1339999999999999</v>
      </c>
      <c r="I16" s="163">
        <v>0.66800000000000004</v>
      </c>
      <c r="J16" s="163">
        <v>1.0069999999999999</v>
      </c>
      <c r="L16" s="164">
        <v>518276</v>
      </c>
      <c r="M16" s="162">
        <v>527325</v>
      </c>
      <c r="N16" s="162">
        <v>522817</v>
      </c>
      <c r="O16" s="162">
        <v>667060</v>
      </c>
      <c r="P16" s="164">
        <v>941538</v>
      </c>
      <c r="Q16" s="162">
        <v>1252022</v>
      </c>
      <c r="R16" s="162">
        <v>1322849</v>
      </c>
      <c r="S16" s="162">
        <v>1338951</v>
      </c>
      <c r="T16" s="262">
        <f>SUM(T17:T27)</f>
        <v>1333993</v>
      </c>
      <c r="U16" s="262">
        <f>SUM(U17:U27)</f>
        <v>1332303</v>
      </c>
      <c r="W16" s="165">
        <v>0.41099999999999998</v>
      </c>
      <c r="X16" s="165">
        <v>0.877</v>
      </c>
      <c r="Y16" s="165">
        <v>0.98</v>
      </c>
      <c r="Z16" s="165">
        <v>1.0069999999999999</v>
      </c>
      <c r="AA16" s="165">
        <f>ROUND(T16/S16-1,3)</f>
        <v>-4.0000000000000001E-3</v>
      </c>
      <c r="AB16" s="165">
        <f t="shared" si="0"/>
        <v>-5.0000000000000001E-3</v>
      </c>
    </row>
    <row r="17" spans="1:28" ht="14.5" customHeight="1">
      <c r="A17" s="299" t="s">
        <v>52</v>
      </c>
      <c r="B17" s="144" t="s">
        <v>52</v>
      </c>
      <c r="C17" s="145">
        <v>0</v>
      </c>
      <c r="D17" s="145">
        <v>7831</v>
      </c>
      <c r="E17" s="145">
        <v>8016</v>
      </c>
      <c r="F17" s="145">
        <v>34529</v>
      </c>
      <c r="H17" s="158">
        <v>0</v>
      </c>
      <c r="I17" s="158">
        <v>2.4E-2</v>
      </c>
      <c r="J17" s="158">
        <v>3.3079999999999998</v>
      </c>
      <c r="L17" s="159">
        <v>7905</v>
      </c>
      <c r="M17" s="145">
        <v>7953</v>
      </c>
      <c r="N17" s="145">
        <v>7986</v>
      </c>
      <c r="O17" s="145">
        <v>8016</v>
      </c>
      <c r="P17" s="159">
        <v>33348</v>
      </c>
      <c r="Q17" s="145">
        <v>33704</v>
      </c>
      <c r="R17" s="145">
        <v>34096</v>
      </c>
      <c r="S17" s="166">
        <v>34529</v>
      </c>
      <c r="T17" s="261">
        <v>35056</v>
      </c>
      <c r="U17" s="261">
        <v>35650</v>
      </c>
      <c r="W17" s="160">
        <v>3.16</v>
      </c>
      <c r="X17" s="160">
        <v>3.2050000000000001</v>
      </c>
      <c r="Y17" s="160">
        <v>3.2530000000000001</v>
      </c>
      <c r="Z17" s="160">
        <v>3.3079999999999998</v>
      </c>
      <c r="AA17" s="160">
        <f>ROUND(T17/S17-1,3)</f>
        <v>1.4999999999999999E-2</v>
      </c>
      <c r="AB17" s="160">
        <f t="shared" si="0"/>
        <v>3.2000000000000001E-2</v>
      </c>
    </row>
    <row r="18" spans="1:28" ht="14.5" customHeight="1">
      <c r="A18" s="144" t="s">
        <v>50</v>
      </c>
      <c r="B18" s="144" t="s">
        <v>50</v>
      </c>
      <c r="C18" s="145">
        <v>0</v>
      </c>
      <c r="D18" s="145">
        <v>0</v>
      </c>
      <c r="E18" s="145">
        <v>0</v>
      </c>
      <c r="F18" s="145">
        <v>0</v>
      </c>
      <c r="H18" s="158">
        <v>0</v>
      </c>
      <c r="I18" s="158">
        <v>0</v>
      </c>
      <c r="J18" s="158">
        <v>0</v>
      </c>
      <c r="L18" s="159">
        <v>0</v>
      </c>
      <c r="M18" s="145">
        <v>0</v>
      </c>
      <c r="N18" s="145">
        <v>0</v>
      </c>
      <c r="O18" s="145">
        <v>0</v>
      </c>
      <c r="P18" s="159">
        <v>0</v>
      </c>
      <c r="Q18" s="145">
        <v>0</v>
      </c>
      <c r="R18" s="145">
        <v>0</v>
      </c>
      <c r="S18" s="166">
        <v>0</v>
      </c>
      <c r="T18" s="261">
        <v>3697</v>
      </c>
      <c r="U18" s="261">
        <v>0</v>
      </c>
      <c r="W18" s="160">
        <v>0</v>
      </c>
      <c r="X18" s="160">
        <v>0</v>
      </c>
      <c r="Y18" s="160">
        <v>0</v>
      </c>
      <c r="Z18" s="160">
        <v>0</v>
      </c>
      <c r="AA18" s="158" t="s">
        <v>153</v>
      </c>
      <c r="AB18" s="158">
        <v>0</v>
      </c>
    </row>
    <row r="19" spans="1:28" ht="14.5" customHeight="1">
      <c r="A19" s="144" t="s">
        <v>53</v>
      </c>
      <c r="B19" s="144" t="s">
        <v>53</v>
      </c>
      <c r="C19" s="145">
        <v>0</v>
      </c>
      <c r="D19" s="145">
        <v>0</v>
      </c>
      <c r="E19" s="145">
        <v>36663</v>
      </c>
      <c r="F19" s="145">
        <v>36356</v>
      </c>
      <c r="H19" s="158">
        <v>0</v>
      </c>
      <c r="I19" s="158">
        <v>0</v>
      </c>
      <c r="J19" s="158">
        <v>-8.0000000000000002E-3</v>
      </c>
      <c r="L19" s="159">
        <v>35223</v>
      </c>
      <c r="M19" s="145">
        <v>35223</v>
      </c>
      <c r="N19" s="145">
        <v>35223</v>
      </c>
      <c r="O19" s="145">
        <v>36663</v>
      </c>
      <c r="P19" s="159">
        <v>31742</v>
      </c>
      <c r="Q19" s="145">
        <v>33942</v>
      </c>
      <c r="R19" s="145">
        <v>34821</v>
      </c>
      <c r="S19" s="166">
        <v>36356</v>
      </c>
      <c r="T19" s="261">
        <v>38266</v>
      </c>
      <c r="U19" s="261">
        <v>36362</v>
      </c>
      <c r="W19" s="160">
        <v>-0.13400000000000001</v>
      </c>
      <c r="X19" s="160">
        <v>-7.3999999999999996E-2</v>
      </c>
      <c r="Y19" s="160">
        <v>-0.05</v>
      </c>
      <c r="Z19" s="160">
        <v>-8.0000000000000002E-3</v>
      </c>
      <c r="AA19" s="160">
        <f>ROUND(T19/S19-1,3)</f>
        <v>5.2999999999999999E-2</v>
      </c>
      <c r="AB19" s="160">
        <f t="shared" si="0"/>
        <v>0</v>
      </c>
    </row>
    <row r="20" spans="1:28" ht="14.5" customHeight="1">
      <c r="A20" s="144" t="s">
        <v>8</v>
      </c>
      <c r="B20" s="144" t="s">
        <v>8</v>
      </c>
      <c r="C20" s="145">
        <v>30805</v>
      </c>
      <c r="D20" s="145">
        <v>41189</v>
      </c>
      <c r="E20" s="145">
        <v>59270</v>
      </c>
      <c r="F20" s="145">
        <v>87046</v>
      </c>
      <c r="H20" s="158">
        <v>0.33700000000000002</v>
      </c>
      <c r="I20" s="158">
        <v>0.439</v>
      </c>
      <c r="J20" s="158">
        <v>0.46899999999999997</v>
      </c>
      <c r="L20" s="159">
        <v>48458</v>
      </c>
      <c r="M20" s="145">
        <v>47332</v>
      </c>
      <c r="N20" s="145">
        <v>44595</v>
      </c>
      <c r="O20" s="145">
        <v>59270</v>
      </c>
      <c r="P20" s="159">
        <v>65493</v>
      </c>
      <c r="Q20" s="145">
        <v>86439</v>
      </c>
      <c r="R20" s="145">
        <v>86550</v>
      </c>
      <c r="S20" s="166">
        <v>87046</v>
      </c>
      <c r="T20" s="261">
        <v>90245</v>
      </c>
      <c r="U20" s="261">
        <v>96034</v>
      </c>
      <c r="W20" s="160">
        <v>0.105</v>
      </c>
      <c r="X20" s="160">
        <v>0.45800000000000002</v>
      </c>
      <c r="Y20" s="160">
        <v>0.46</v>
      </c>
      <c r="Z20" s="160">
        <v>0.46899999999999997</v>
      </c>
      <c r="AA20" s="160">
        <f>ROUND(T20/S20-1,3)</f>
        <v>3.6999999999999998E-2</v>
      </c>
      <c r="AB20" s="160">
        <f t="shared" si="0"/>
        <v>0.10299999999999999</v>
      </c>
    </row>
    <row r="21" spans="1:28" ht="14.5" customHeight="1">
      <c r="A21" s="144" t="s">
        <v>9</v>
      </c>
      <c r="B21" s="144" t="s">
        <v>9</v>
      </c>
      <c r="C21" s="145">
        <v>644</v>
      </c>
      <c r="D21" s="145">
        <v>810</v>
      </c>
      <c r="E21" s="145">
        <v>2132</v>
      </c>
      <c r="F21" s="145">
        <v>9185</v>
      </c>
      <c r="H21" s="158">
        <v>0.25800000000000001</v>
      </c>
      <c r="I21" s="158">
        <v>1.6319999999999999</v>
      </c>
      <c r="J21" s="158">
        <v>3.3079999999999998</v>
      </c>
      <c r="L21" s="159">
        <v>1673</v>
      </c>
      <c r="M21" s="145">
        <v>1779</v>
      </c>
      <c r="N21" s="145">
        <v>1666</v>
      </c>
      <c r="O21" s="145">
        <v>2132</v>
      </c>
      <c r="P21" s="159">
        <v>3064</v>
      </c>
      <c r="Q21" s="145">
        <v>5495</v>
      </c>
      <c r="R21" s="145">
        <v>6919</v>
      </c>
      <c r="S21" s="166">
        <v>9185</v>
      </c>
      <c r="T21" s="261">
        <v>9898</v>
      </c>
      <c r="U21" s="261">
        <v>10679</v>
      </c>
      <c r="W21" s="160">
        <v>0.437</v>
      </c>
      <c r="X21" s="160">
        <v>1.577</v>
      </c>
      <c r="Y21" s="160">
        <v>2.2450000000000001</v>
      </c>
      <c r="Z21" s="160">
        <v>3.3079999999999998</v>
      </c>
      <c r="AA21" s="160">
        <f>ROUND(T21/S21-1,3)</f>
        <v>7.8E-2</v>
      </c>
      <c r="AB21" s="160">
        <f t="shared" si="0"/>
        <v>0.16300000000000001</v>
      </c>
    </row>
    <row r="22" spans="1:28" ht="14.5" customHeight="1">
      <c r="A22" s="144" t="s">
        <v>194</v>
      </c>
      <c r="B22" s="144" t="s">
        <v>194</v>
      </c>
      <c r="C22" s="145">
        <v>0</v>
      </c>
      <c r="D22" s="145">
        <v>0</v>
      </c>
      <c r="E22" s="145">
        <v>0</v>
      </c>
      <c r="F22" s="145">
        <v>0</v>
      </c>
      <c r="H22" s="145">
        <v>0</v>
      </c>
      <c r="I22" s="145">
        <v>0</v>
      </c>
      <c r="J22" s="182" t="s">
        <v>153</v>
      </c>
      <c r="L22" s="159">
        <v>0</v>
      </c>
      <c r="M22" s="145">
        <v>0</v>
      </c>
      <c r="N22" s="145">
        <v>0</v>
      </c>
      <c r="O22" s="145">
        <v>0</v>
      </c>
      <c r="P22" s="169">
        <v>0</v>
      </c>
      <c r="Q22" s="145">
        <v>0</v>
      </c>
      <c r="R22" s="145">
        <v>0</v>
      </c>
      <c r="S22" s="145">
        <v>0</v>
      </c>
      <c r="T22" s="261">
        <v>0</v>
      </c>
      <c r="U22" s="261">
        <v>7026</v>
      </c>
      <c r="V22" s="145">
        <v>0</v>
      </c>
      <c r="W22" s="160">
        <v>0</v>
      </c>
      <c r="X22" s="160">
        <v>0</v>
      </c>
      <c r="Y22" s="160">
        <v>0</v>
      </c>
      <c r="Z22" s="176" t="s">
        <v>153</v>
      </c>
      <c r="AA22" s="158" t="s">
        <v>153</v>
      </c>
      <c r="AB22" s="158">
        <v>0</v>
      </c>
    </row>
    <row r="23" spans="1:28" ht="14.5" customHeight="1">
      <c r="A23" s="299" t="s">
        <v>54</v>
      </c>
      <c r="B23" s="144" t="s">
        <v>54</v>
      </c>
      <c r="C23" s="145">
        <v>1500</v>
      </c>
      <c r="D23" s="145">
        <v>2020</v>
      </c>
      <c r="E23" s="145">
        <v>0</v>
      </c>
      <c r="F23" s="145">
        <v>7025</v>
      </c>
      <c r="H23" s="158">
        <v>0.34699999999999998</v>
      </c>
      <c r="I23" s="158">
        <v>-1</v>
      </c>
      <c r="J23" s="158">
        <v>0</v>
      </c>
      <c r="L23" s="159">
        <v>2020</v>
      </c>
      <c r="M23" s="145">
        <v>2020</v>
      </c>
      <c r="N23" s="145">
        <v>2720</v>
      </c>
      <c r="O23" s="145">
        <v>0</v>
      </c>
      <c r="P23" s="169">
        <v>0</v>
      </c>
      <c r="Q23" s="145">
        <v>0</v>
      </c>
      <c r="R23" s="145">
        <v>0</v>
      </c>
      <c r="S23" s="145">
        <v>7025</v>
      </c>
      <c r="T23" s="261">
        <v>7026</v>
      </c>
      <c r="U23" s="261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f t="shared" si="0"/>
        <v>-1</v>
      </c>
    </row>
    <row r="24" spans="1:28" ht="14.5" customHeight="1">
      <c r="A24" s="144" t="s">
        <v>137</v>
      </c>
      <c r="B24" s="144" t="s">
        <v>137</v>
      </c>
      <c r="C24" s="145">
        <v>0</v>
      </c>
      <c r="D24" s="145">
        <v>0</v>
      </c>
      <c r="E24" s="145">
        <v>2653</v>
      </c>
      <c r="F24" s="145">
        <v>34420</v>
      </c>
      <c r="H24" s="158">
        <v>0</v>
      </c>
      <c r="I24" s="158">
        <v>0</v>
      </c>
      <c r="J24" s="158">
        <v>11.974</v>
      </c>
      <c r="L24" s="159">
        <v>0</v>
      </c>
      <c r="M24" s="145">
        <v>0</v>
      </c>
      <c r="N24" s="145">
        <v>0</v>
      </c>
      <c r="O24" s="145">
        <v>2653</v>
      </c>
      <c r="P24" s="159">
        <v>2653</v>
      </c>
      <c r="Q24" s="145">
        <v>2653</v>
      </c>
      <c r="R24" s="145">
        <v>4403</v>
      </c>
      <c r="S24" s="166">
        <v>34420</v>
      </c>
      <c r="T24" s="261">
        <v>33252</v>
      </c>
      <c r="U24" s="261">
        <v>32439</v>
      </c>
      <c r="W24" s="160">
        <v>0</v>
      </c>
      <c r="X24" s="160">
        <v>0</v>
      </c>
      <c r="Y24" s="160">
        <v>0.66</v>
      </c>
      <c r="Z24" s="160">
        <v>11.974</v>
      </c>
      <c r="AA24" s="160">
        <f>ROUND(T24/S24-1,3)</f>
        <v>-3.4000000000000002E-2</v>
      </c>
      <c r="AB24" s="160">
        <f t="shared" si="0"/>
        <v>-5.8000000000000003E-2</v>
      </c>
    </row>
    <row r="25" spans="1:28" ht="14.5" customHeight="1">
      <c r="A25" s="120" t="s">
        <v>10</v>
      </c>
      <c r="B25" s="144" t="s">
        <v>10</v>
      </c>
      <c r="C25" s="145">
        <v>38666</v>
      </c>
      <c r="D25" s="145">
        <v>41037</v>
      </c>
      <c r="E25" s="145">
        <v>69532</v>
      </c>
      <c r="F25" s="145">
        <v>138332</v>
      </c>
      <c r="H25" s="158">
        <v>6.0999999999999999E-2</v>
      </c>
      <c r="I25" s="158">
        <v>0.69399999999999995</v>
      </c>
      <c r="J25" s="158">
        <v>0.98899999999999999</v>
      </c>
      <c r="L25" s="159">
        <v>46801</v>
      </c>
      <c r="M25" s="145">
        <v>49422</v>
      </c>
      <c r="N25" s="145">
        <v>47991</v>
      </c>
      <c r="O25" s="145">
        <v>69532</v>
      </c>
      <c r="P25" s="159">
        <v>99301</v>
      </c>
      <c r="Q25" s="145">
        <v>130142</v>
      </c>
      <c r="R25" s="145">
        <v>136496</v>
      </c>
      <c r="S25" s="166">
        <v>138332</v>
      </c>
      <c r="T25" s="261">
        <v>142990</v>
      </c>
      <c r="U25" s="261">
        <v>136159</v>
      </c>
      <c r="W25" s="160">
        <v>0.42799999999999999</v>
      </c>
      <c r="X25" s="160">
        <v>0.872</v>
      </c>
      <c r="Y25" s="160">
        <v>0.96299999999999997</v>
      </c>
      <c r="Z25" s="160">
        <v>0.98899999999999999</v>
      </c>
      <c r="AA25" s="160">
        <f>ROUND(T25/S25-1,3)</f>
        <v>3.4000000000000002E-2</v>
      </c>
      <c r="AB25" s="160">
        <f t="shared" si="0"/>
        <v>-1.6E-2</v>
      </c>
    </row>
    <row r="26" spans="1:28" ht="14.5" customHeight="1">
      <c r="A26" s="120" t="s">
        <v>11</v>
      </c>
      <c r="B26" s="144" t="s">
        <v>11</v>
      </c>
      <c r="C26" s="145">
        <v>115790</v>
      </c>
      <c r="D26" s="145">
        <v>192640</v>
      </c>
      <c r="E26" s="145">
        <v>260629</v>
      </c>
      <c r="F26" s="145">
        <v>735005</v>
      </c>
      <c r="H26" s="158">
        <v>0.66400000000000003</v>
      </c>
      <c r="I26" s="158">
        <v>0.35299999999999998</v>
      </c>
      <c r="J26" s="158">
        <v>1.82</v>
      </c>
      <c r="L26" s="159">
        <v>227760</v>
      </c>
      <c r="M26" s="145">
        <v>221437</v>
      </c>
      <c r="N26" s="145">
        <v>219997</v>
      </c>
      <c r="O26" s="145">
        <v>260629</v>
      </c>
      <c r="P26" s="159">
        <v>440165</v>
      </c>
      <c r="Q26" s="145">
        <v>689301</v>
      </c>
      <c r="R26" s="145">
        <v>748377</v>
      </c>
      <c r="S26" s="166">
        <v>735005</v>
      </c>
      <c r="T26" s="261">
        <v>723955</v>
      </c>
      <c r="U26" s="261">
        <v>712472</v>
      </c>
      <c r="W26" s="160">
        <v>0.68899999999999995</v>
      </c>
      <c r="X26" s="160">
        <v>1.645</v>
      </c>
      <c r="Y26" s="160">
        <v>1.871</v>
      </c>
      <c r="Z26" s="160">
        <v>1.82</v>
      </c>
      <c r="AA26" s="160">
        <f>ROUND(T26/S26-1,3)</f>
        <v>-1.4999999999999999E-2</v>
      </c>
      <c r="AB26" s="160">
        <f t="shared" si="0"/>
        <v>-3.1E-2</v>
      </c>
    </row>
    <row r="27" spans="1:28" ht="14.5" customHeight="1">
      <c r="A27" s="120" t="s">
        <v>254</v>
      </c>
      <c r="B27" s="144" t="s">
        <v>267</v>
      </c>
      <c r="C27" s="145">
        <v>0</v>
      </c>
      <c r="D27" s="145">
        <v>114323</v>
      </c>
      <c r="E27" s="145">
        <v>228165</v>
      </c>
      <c r="F27" s="145">
        <v>257053</v>
      </c>
      <c r="H27" s="158">
        <v>0</v>
      </c>
      <c r="I27" s="158">
        <v>0.996</v>
      </c>
      <c r="J27" s="158">
        <v>0.127</v>
      </c>
      <c r="L27" s="159">
        <v>148436</v>
      </c>
      <c r="M27" s="145">
        <v>162159</v>
      </c>
      <c r="N27" s="145">
        <v>162639</v>
      </c>
      <c r="O27" s="145">
        <v>228165</v>
      </c>
      <c r="P27" s="159">
        <v>265772</v>
      </c>
      <c r="Q27" s="145">
        <v>270346</v>
      </c>
      <c r="R27" s="145">
        <v>271187</v>
      </c>
      <c r="S27" s="145">
        <v>257053</v>
      </c>
      <c r="T27" s="261">
        <v>249608</v>
      </c>
      <c r="U27" s="261">
        <v>265482</v>
      </c>
      <c r="W27" s="160">
        <v>0.16500000000000001</v>
      </c>
      <c r="X27" s="160">
        <v>0.185</v>
      </c>
      <c r="Y27" s="160">
        <v>0.189</v>
      </c>
      <c r="Z27" s="160">
        <v>0.127</v>
      </c>
      <c r="AA27" s="160">
        <f>ROUND(T27/S27-1,3)</f>
        <v>-2.9000000000000001E-2</v>
      </c>
      <c r="AB27" s="160">
        <f t="shared" si="0"/>
        <v>3.3000000000000002E-2</v>
      </c>
    </row>
    <row r="28" spans="1:28" ht="14.5" customHeight="1">
      <c r="C28" s="145"/>
      <c r="D28" s="145"/>
      <c r="E28" s="145"/>
      <c r="F28" s="145"/>
      <c r="H28" s="158"/>
      <c r="I28" s="158"/>
      <c r="J28" s="158"/>
      <c r="L28" s="159"/>
      <c r="M28" s="145"/>
      <c r="N28" s="145"/>
      <c r="O28" s="145"/>
      <c r="P28" s="159"/>
      <c r="Q28" s="145"/>
      <c r="R28" s="145"/>
      <c r="S28" s="145"/>
      <c r="T28" s="261"/>
      <c r="U28" s="261"/>
      <c r="W28" s="160"/>
      <c r="X28" s="160"/>
      <c r="Y28" s="160"/>
      <c r="Z28" s="160"/>
      <c r="AA28" s="160"/>
      <c r="AB28" s="160"/>
    </row>
    <row r="29" spans="1:28" ht="5.15" customHeight="1">
      <c r="C29" s="145"/>
      <c r="D29" s="145"/>
      <c r="E29" s="145"/>
      <c r="F29" s="145"/>
      <c r="H29" s="158"/>
      <c r="I29" s="158"/>
      <c r="J29" s="158"/>
      <c r="L29" s="159"/>
      <c r="M29" s="145"/>
      <c r="N29" s="145"/>
      <c r="O29" s="145"/>
      <c r="P29" s="159"/>
      <c r="Q29" s="145"/>
      <c r="R29" s="145"/>
      <c r="S29" s="145"/>
      <c r="T29" s="261"/>
      <c r="U29" s="261"/>
      <c r="W29" s="160"/>
      <c r="X29" s="160"/>
      <c r="Y29" s="160"/>
      <c r="Z29" s="160"/>
      <c r="AA29" s="160"/>
      <c r="AB29" s="160"/>
    </row>
    <row r="30" spans="1:28" ht="14.5" customHeight="1">
      <c r="B30" s="170" t="s">
        <v>55</v>
      </c>
      <c r="C30" s="171">
        <v>316842</v>
      </c>
      <c r="D30" s="171">
        <v>612994</v>
      </c>
      <c r="E30" s="171">
        <v>1375878</v>
      </c>
      <c r="F30" s="171">
        <v>1982172</v>
      </c>
      <c r="G30" s="155"/>
      <c r="H30" s="172">
        <v>0.93500000000000005</v>
      </c>
      <c r="I30" s="172">
        <v>1.2450000000000001</v>
      </c>
      <c r="J30" s="172">
        <v>0.441</v>
      </c>
      <c r="K30" s="151"/>
      <c r="L30" s="173">
        <v>760782</v>
      </c>
      <c r="M30" s="171">
        <v>804362</v>
      </c>
      <c r="N30" s="171">
        <v>910926</v>
      </c>
      <c r="O30" s="171">
        <v>1375878</v>
      </c>
      <c r="P30" s="173">
        <v>1609696</v>
      </c>
      <c r="Q30" s="171">
        <v>1918805</v>
      </c>
      <c r="R30" s="171">
        <v>1927956</v>
      </c>
      <c r="S30" s="171">
        <v>1982172</v>
      </c>
      <c r="T30" s="275">
        <f>SUM(T32,T41,T51,)</f>
        <v>1966960.0189389102</v>
      </c>
      <c r="U30" s="275">
        <f>SUM(U32,U41,U51,)</f>
        <v>1982610.6784105739</v>
      </c>
      <c r="V30" s="155"/>
      <c r="W30" s="172">
        <v>0.17</v>
      </c>
      <c r="X30" s="172">
        <v>0.39500000000000002</v>
      </c>
      <c r="Y30" s="172">
        <v>0.40100000000000002</v>
      </c>
      <c r="Z30" s="175">
        <v>0.441</v>
      </c>
      <c r="AA30" s="175">
        <f>ROUND(T30/S30-1,3)</f>
        <v>-8.0000000000000002E-3</v>
      </c>
      <c r="AB30" s="175">
        <f t="shared" ref="AB30" si="1">ROUND(U30/S30-1,3)</f>
        <v>0</v>
      </c>
    </row>
    <row r="31" spans="1:28" ht="5.15" customHeight="1">
      <c r="C31" s="145"/>
      <c r="D31" s="145"/>
      <c r="E31" s="145"/>
      <c r="F31" s="145"/>
      <c r="H31" s="158"/>
      <c r="I31" s="158"/>
      <c r="J31" s="158"/>
      <c r="L31" s="159"/>
      <c r="M31" s="145"/>
      <c r="N31" s="145"/>
      <c r="O31" s="145"/>
      <c r="P31" s="159"/>
      <c r="Q31" s="145"/>
      <c r="R31" s="145"/>
      <c r="S31" s="145"/>
      <c r="T31" s="261"/>
      <c r="U31" s="261"/>
      <c r="W31" s="160"/>
      <c r="X31" s="160"/>
      <c r="Y31" s="160"/>
      <c r="Z31" s="160"/>
      <c r="AA31" s="160"/>
      <c r="AB31" s="160"/>
    </row>
    <row r="32" spans="1:28" ht="14.5" customHeight="1">
      <c r="B32" s="161" t="s">
        <v>62</v>
      </c>
      <c r="C32" s="162">
        <v>122695</v>
      </c>
      <c r="D32" s="162">
        <v>201202</v>
      </c>
      <c r="E32" s="162">
        <v>328037</v>
      </c>
      <c r="F32" s="162">
        <v>516523</v>
      </c>
      <c r="H32" s="163">
        <v>0.64</v>
      </c>
      <c r="I32" s="163">
        <v>0.63</v>
      </c>
      <c r="J32" s="163">
        <v>0.57499999999999996</v>
      </c>
      <c r="L32" s="164">
        <v>239973</v>
      </c>
      <c r="M32" s="162">
        <v>264500</v>
      </c>
      <c r="N32" s="162">
        <v>310855</v>
      </c>
      <c r="O32" s="162">
        <v>328037</v>
      </c>
      <c r="P32" s="164">
        <v>479638</v>
      </c>
      <c r="Q32" s="162">
        <v>534219</v>
      </c>
      <c r="R32" s="162">
        <v>499354</v>
      </c>
      <c r="S32" s="162">
        <v>516523</v>
      </c>
      <c r="T32" s="262">
        <f>SUM(T33:T39)</f>
        <v>490094</v>
      </c>
      <c r="U32" s="262">
        <f>SUM(U33:U39)</f>
        <v>564255</v>
      </c>
      <c r="W32" s="165">
        <v>0.46200000000000002</v>
      </c>
      <c r="X32" s="165">
        <v>0.629</v>
      </c>
      <c r="Y32" s="165">
        <v>0.52200000000000002</v>
      </c>
      <c r="Z32" s="165">
        <v>0.57499999999999996</v>
      </c>
      <c r="AA32" s="165">
        <f t="shared" ref="AA32:AA39" si="2">ROUND(T32/S32-1,3)</f>
        <v>-5.0999999999999997E-2</v>
      </c>
      <c r="AB32" s="165">
        <f t="shared" ref="AB32:AB56" si="3">ROUND(U32/S32-1,3)</f>
        <v>9.1999999999999998E-2</v>
      </c>
    </row>
    <row r="33" spans="1:28" ht="14.25" customHeight="1">
      <c r="A33" s="299" t="s">
        <v>255</v>
      </c>
      <c r="B33" s="144" t="s">
        <v>255</v>
      </c>
      <c r="C33" s="145">
        <v>54910</v>
      </c>
      <c r="D33" s="145">
        <v>60889</v>
      </c>
      <c r="E33" s="145">
        <v>8878</v>
      </c>
      <c r="F33" s="145">
        <v>43298</v>
      </c>
      <c r="H33" s="158">
        <v>0.109</v>
      </c>
      <c r="I33" s="158">
        <v>-0.85399999999999998</v>
      </c>
      <c r="J33" s="158">
        <v>3.8769999999999998</v>
      </c>
      <c r="L33" s="159">
        <v>39139</v>
      </c>
      <c r="M33" s="145">
        <v>39483</v>
      </c>
      <c r="N33" s="145">
        <v>34516</v>
      </c>
      <c r="O33" s="145">
        <v>8878</v>
      </c>
      <c r="P33" s="159">
        <v>56581</v>
      </c>
      <c r="Q33" s="145">
        <v>77905</v>
      </c>
      <c r="R33" s="145">
        <v>103410</v>
      </c>
      <c r="S33" s="166">
        <v>43298</v>
      </c>
      <c r="T33" s="261">
        <v>34421</v>
      </c>
      <c r="U33" s="261">
        <v>66475</v>
      </c>
      <c r="W33" s="160">
        <v>5.3730000000000002</v>
      </c>
      <c r="X33" s="160">
        <v>7.7750000000000004</v>
      </c>
      <c r="Y33" s="160">
        <v>10.648</v>
      </c>
      <c r="Z33" s="160">
        <v>3.8769999999999998</v>
      </c>
      <c r="AA33" s="160">
        <f t="shared" si="2"/>
        <v>-0.20499999999999999</v>
      </c>
      <c r="AB33" s="160">
        <f t="shared" si="3"/>
        <v>0.53500000000000003</v>
      </c>
    </row>
    <row r="34" spans="1:28" ht="14.25" customHeight="1">
      <c r="A34" s="137" t="s">
        <v>50</v>
      </c>
      <c r="B34" s="144" t="s">
        <v>56</v>
      </c>
      <c r="C34" s="145">
        <v>0</v>
      </c>
      <c r="D34" s="145">
        <v>0</v>
      </c>
      <c r="E34" s="145">
        <v>0</v>
      </c>
      <c r="F34" s="145">
        <v>4252</v>
      </c>
      <c r="H34" s="158">
        <v>0</v>
      </c>
      <c r="I34" s="158">
        <v>0</v>
      </c>
      <c r="J34" s="158" t="s">
        <v>153</v>
      </c>
      <c r="L34" s="159">
        <v>0</v>
      </c>
      <c r="M34" s="145">
        <v>0</v>
      </c>
      <c r="N34" s="145">
        <v>0</v>
      </c>
      <c r="O34" s="145">
        <v>0</v>
      </c>
      <c r="P34" s="159">
        <v>310</v>
      </c>
      <c r="Q34" s="145">
        <v>1377</v>
      </c>
      <c r="R34" s="145">
        <v>2890</v>
      </c>
      <c r="S34" s="166">
        <v>4252</v>
      </c>
      <c r="T34" s="261">
        <v>0</v>
      </c>
      <c r="U34" s="261">
        <v>0</v>
      </c>
      <c r="W34" s="160">
        <v>0</v>
      </c>
      <c r="X34" s="160">
        <v>0</v>
      </c>
      <c r="Y34" s="160">
        <v>0</v>
      </c>
      <c r="Z34" s="176" t="s">
        <v>153</v>
      </c>
      <c r="AA34" s="160">
        <f t="shared" si="2"/>
        <v>-1</v>
      </c>
      <c r="AB34" s="160">
        <f t="shared" si="3"/>
        <v>-1</v>
      </c>
    </row>
    <row r="35" spans="1:28" ht="14.25" customHeight="1">
      <c r="A35" s="120" t="s">
        <v>67</v>
      </c>
      <c r="B35" s="144" t="s">
        <v>67</v>
      </c>
      <c r="C35" s="145">
        <v>0</v>
      </c>
      <c r="D35" s="145">
        <v>28371</v>
      </c>
      <c r="E35" s="145">
        <v>59629</v>
      </c>
      <c r="F35" s="145">
        <v>80346</v>
      </c>
      <c r="H35" s="158">
        <v>0</v>
      </c>
      <c r="I35" s="158">
        <v>1.1020000000000001</v>
      </c>
      <c r="J35" s="158">
        <v>0.34699999999999998</v>
      </c>
      <c r="L35" s="159">
        <v>46569</v>
      </c>
      <c r="M35" s="145">
        <v>46143</v>
      </c>
      <c r="N35" s="145">
        <v>48593</v>
      </c>
      <c r="O35" s="145">
        <v>59629</v>
      </c>
      <c r="P35" s="159">
        <v>74175</v>
      </c>
      <c r="Q35" s="145">
        <v>76363</v>
      </c>
      <c r="R35" s="145">
        <v>78531</v>
      </c>
      <c r="S35" s="166">
        <v>80346</v>
      </c>
      <c r="T35" s="261">
        <v>35845</v>
      </c>
      <c r="U35" s="261">
        <v>56296</v>
      </c>
      <c r="W35" s="160">
        <v>0.24399999999999999</v>
      </c>
      <c r="X35" s="160">
        <v>0.28100000000000003</v>
      </c>
      <c r="Y35" s="160">
        <v>0.317</v>
      </c>
      <c r="Z35" s="160">
        <v>0.34699999999999998</v>
      </c>
      <c r="AA35" s="160">
        <f t="shared" si="2"/>
        <v>-0.55400000000000005</v>
      </c>
      <c r="AB35" s="160">
        <f t="shared" si="3"/>
        <v>-0.29899999999999999</v>
      </c>
    </row>
    <row r="36" spans="1:28" ht="14.25" customHeight="1">
      <c r="A36" s="299" t="s">
        <v>68</v>
      </c>
      <c r="B36" s="144" t="s">
        <v>68</v>
      </c>
      <c r="C36" s="145">
        <v>34423</v>
      </c>
      <c r="D36" s="145">
        <v>51754</v>
      </c>
      <c r="E36" s="145">
        <v>121634</v>
      </c>
      <c r="F36" s="145">
        <v>175530</v>
      </c>
      <c r="H36" s="158">
        <v>0.503</v>
      </c>
      <c r="I36" s="158">
        <v>1.35</v>
      </c>
      <c r="J36" s="158">
        <v>0.443</v>
      </c>
      <c r="L36" s="159">
        <v>65457</v>
      </c>
      <c r="M36" s="145">
        <v>72015</v>
      </c>
      <c r="N36" s="145">
        <v>94099</v>
      </c>
      <c r="O36" s="145">
        <v>121634</v>
      </c>
      <c r="P36" s="159">
        <v>114159</v>
      </c>
      <c r="Q36" s="145">
        <v>108182</v>
      </c>
      <c r="R36" s="145">
        <v>98837</v>
      </c>
      <c r="S36" s="166">
        <v>175530</v>
      </c>
      <c r="T36" s="261">
        <v>208325</v>
      </c>
      <c r="U36" s="261">
        <v>228644</v>
      </c>
      <c r="W36" s="160">
        <v>-6.0999999999999999E-2</v>
      </c>
      <c r="X36" s="160">
        <v>-0.111</v>
      </c>
      <c r="Y36" s="160">
        <v>-0.187</v>
      </c>
      <c r="Z36" s="160">
        <v>0.443</v>
      </c>
      <c r="AA36" s="160">
        <f t="shared" si="2"/>
        <v>0.187</v>
      </c>
      <c r="AB36" s="160">
        <f t="shared" si="3"/>
        <v>0.30299999999999999</v>
      </c>
    </row>
    <row r="37" spans="1:28" ht="14.25" customHeight="1">
      <c r="A37" s="299" t="s">
        <v>57</v>
      </c>
      <c r="B37" s="144" t="s">
        <v>57</v>
      </c>
      <c r="C37" s="145">
        <v>20874</v>
      </c>
      <c r="D37" s="145">
        <v>34990</v>
      </c>
      <c r="E37" s="145">
        <v>65864</v>
      </c>
      <c r="F37" s="145">
        <v>121926</v>
      </c>
      <c r="H37" s="158">
        <v>0.67600000000000005</v>
      </c>
      <c r="I37" s="158">
        <v>0.88200000000000001</v>
      </c>
      <c r="J37" s="158">
        <v>0.85099999999999998</v>
      </c>
      <c r="L37" s="159">
        <v>54625</v>
      </c>
      <c r="M37" s="145">
        <v>72676</v>
      </c>
      <c r="N37" s="145">
        <v>73621</v>
      </c>
      <c r="O37" s="145">
        <v>65864</v>
      </c>
      <c r="P37" s="159">
        <v>148034</v>
      </c>
      <c r="Q37" s="145">
        <v>136248</v>
      </c>
      <c r="R37" s="145">
        <v>120313</v>
      </c>
      <c r="S37" s="166">
        <v>121926</v>
      </c>
      <c r="T37" s="261">
        <v>129368</v>
      </c>
      <c r="U37" s="261">
        <v>149700</v>
      </c>
      <c r="W37" s="160">
        <v>1.248</v>
      </c>
      <c r="X37" s="160">
        <v>1.069</v>
      </c>
      <c r="Y37" s="160">
        <v>0.82699999999999996</v>
      </c>
      <c r="Z37" s="160">
        <v>0.85099999999999998</v>
      </c>
      <c r="AA37" s="160">
        <f t="shared" si="2"/>
        <v>6.0999999999999999E-2</v>
      </c>
      <c r="AB37" s="160">
        <f t="shared" si="3"/>
        <v>0.22800000000000001</v>
      </c>
    </row>
    <row r="38" spans="1:28" ht="14.25" customHeight="1">
      <c r="A38" s="299" t="s">
        <v>58</v>
      </c>
      <c r="B38" s="144" t="s">
        <v>58</v>
      </c>
      <c r="C38" s="145">
        <v>0</v>
      </c>
      <c r="D38" s="145">
        <v>3748</v>
      </c>
      <c r="E38" s="145">
        <v>22441</v>
      </c>
      <c r="F38" s="145">
        <v>63309</v>
      </c>
      <c r="H38" s="158">
        <v>0</v>
      </c>
      <c r="I38" s="158">
        <v>4.9870000000000001</v>
      </c>
      <c r="J38" s="158">
        <v>1.821</v>
      </c>
      <c r="L38" s="159">
        <v>2448</v>
      </c>
      <c r="M38" s="145">
        <v>1179</v>
      </c>
      <c r="N38" s="145">
        <v>1185</v>
      </c>
      <c r="O38" s="145">
        <v>22441</v>
      </c>
      <c r="P38" s="159">
        <v>28987</v>
      </c>
      <c r="Q38" s="145">
        <v>77619</v>
      </c>
      <c r="R38" s="145">
        <v>63355</v>
      </c>
      <c r="S38" s="166">
        <v>63309</v>
      </c>
      <c r="T38" s="261">
        <v>68156</v>
      </c>
      <c r="U38" s="261">
        <v>54985</v>
      </c>
      <c r="W38" s="160">
        <v>0.29199999999999998</v>
      </c>
      <c r="X38" s="160">
        <v>2.4590000000000001</v>
      </c>
      <c r="Y38" s="160">
        <v>1.823</v>
      </c>
      <c r="Z38" s="160">
        <v>1.821</v>
      </c>
      <c r="AA38" s="160">
        <f t="shared" si="2"/>
        <v>7.6999999999999999E-2</v>
      </c>
      <c r="AB38" s="160">
        <f t="shared" si="3"/>
        <v>-0.13100000000000001</v>
      </c>
    </row>
    <row r="39" spans="1:28" ht="14.25" customHeight="1">
      <c r="A39" s="120" t="s">
        <v>59</v>
      </c>
      <c r="B39" s="144" t="s">
        <v>59</v>
      </c>
      <c r="C39" s="145">
        <v>12488</v>
      </c>
      <c r="D39" s="145">
        <v>21450</v>
      </c>
      <c r="E39" s="145">
        <v>49591</v>
      </c>
      <c r="F39" s="145">
        <v>27862</v>
      </c>
      <c r="H39" s="158">
        <v>0.71799999999999997</v>
      </c>
      <c r="I39" s="158">
        <v>1.3120000000000001</v>
      </c>
      <c r="J39" s="158">
        <v>-0.438</v>
      </c>
      <c r="L39" s="159">
        <v>31735</v>
      </c>
      <c r="M39" s="145">
        <v>33004</v>
      </c>
      <c r="N39" s="145">
        <v>58841</v>
      </c>
      <c r="O39" s="145">
        <v>49591</v>
      </c>
      <c r="P39" s="159">
        <v>57392</v>
      </c>
      <c r="Q39" s="145">
        <v>56625</v>
      </c>
      <c r="R39" s="145">
        <v>32018</v>
      </c>
      <c r="S39" s="166">
        <v>27862</v>
      </c>
      <c r="T39" s="261">
        <v>13979</v>
      </c>
      <c r="U39" s="261">
        <v>8155</v>
      </c>
      <c r="W39" s="160">
        <v>0.157</v>
      </c>
      <c r="X39" s="160">
        <v>0.14199999999999999</v>
      </c>
      <c r="Y39" s="160">
        <v>-0.35399999999999998</v>
      </c>
      <c r="Z39" s="160">
        <v>-0.438</v>
      </c>
      <c r="AA39" s="160">
        <f t="shared" si="2"/>
        <v>-0.498</v>
      </c>
      <c r="AB39" s="160">
        <f t="shared" si="3"/>
        <v>-0.70699999999999996</v>
      </c>
    </row>
    <row r="40" spans="1:28" ht="5.15" customHeight="1">
      <c r="L40" s="152"/>
      <c r="P40" s="152"/>
      <c r="T40" s="260"/>
      <c r="U40" s="260"/>
    </row>
    <row r="41" spans="1:28" ht="14.25" customHeight="1">
      <c r="B41" s="161" t="s">
        <v>63</v>
      </c>
      <c r="C41" s="162">
        <v>104447</v>
      </c>
      <c r="D41" s="162">
        <v>325448</v>
      </c>
      <c r="E41" s="162">
        <v>636516</v>
      </c>
      <c r="F41" s="162">
        <v>864818</v>
      </c>
      <c r="H41" s="163">
        <v>2.1160000000000001</v>
      </c>
      <c r="I41" s="163">
        <v>0.95599999999999996</v>
      </c>
      <c r="J41" s="163">
        <v>0.35899999999999999</v>
      </c>
      <c r="L41" s="164">
        <v>445266</v>
      </c>
      <c r="M41" s="162">
        <v>474427</v>
      </c>
      <c r="N41" s="162">
        <v>527267</v>
      </c>
      <c r="O41" s="162">
        <v>636516</v>
      </c>
      <c r="P41" s="164">
        <v>732670</v>
      </c>
      <c r="Q41" s="162">
        <v>783714</v>
      </c>
      <c r="R41" s="162">
        <v>825869</v>
      </c>
      <c r="S41" s="162">
        <v>864818</v>
      </c>
      <c r="T41" s="262">
        <f>SUM(T42:T49)</f>
        <v>904210</v>
      </c>
      <c r="U41" s="262">
        <f>SUM(U42:U49)</f>
        <v>869997</v>
      </c>
      <c r="W41" s="165">
        <v>0.151</v>
      </c>
      <c r="X41" s="165">
        <v>0.23100000000000001</v>
      </c>
      <c r="Y41" s="165">
        <v>0.29699999999999999</v>
      </c>
      <c r="Z41" s="165">
        <v>0.35899999999999999</v>
      </c>
      <c r="AA41" s="165">
        <f t="shared" ref="AA41:AA49" si="4">ROUND(T41/S41-1,3)</f>
        <v>4.5999999999999999E-2</v>
      </c>
      <c r="AB41" s="165">
        <f t="shared" si="3"/>
        <v>6.0000000000000001E-3</v>
      </c>
    </row>
    <row r="42" spans="1:28" ht="14.25" customHeight="1">
      <c r="A42" s="299" t="s">
        <v>255</v>
      </c>
      <c r="B42" s="144" t="s">
        <v>255</v>
      </c>
      <c r="C42" s="145">
        <v>67619</v>
      </c>
      <c r="D42" s="145">
        <v>167513</v>
      </c>
      <c r="E42" s="145">
        <v>348224</v>
      </c>
      <c r="F42" s="145">
        <v>329688</v>
      </c>
      <c r="H42" s="158">
        <v>1.4770000000000001</v>
      </c>
      <c r="I42" s="158">
        <v>1.079</v>
      </c>
      <c r="J42" s="158">
        <v>-5.2999999999999999E-2</v>
      </c>
      <c r="L42" s="159">
        <v>217028</v>
      </c>
      <c r="M42" s="145">
        <v>230811</v>
      </c>
      <c r="N42" s="145">
        <v>285163</v>
      </c>
      <c r="O42" s="145">
        <v>348224</v>
      </c>
      <c r="P42" s="159">
        <v>348853</v>
      </c>
      <c r="Q42" s="145">
        <v>309710</v>
      </c>
      <c r="R42" s="145">
        <v>272199</v>
      </c>
      <c r="S42" s="145">
        <v>329688</v>
      </c>
      <c r="T42" s="261">
        <v>349731</v>
      </c>
      <c r="U42" s="261">
        <v>318532</v>
      </c>
      <c r="W42" s="160">
        <v>2E-3</v>
      </c>
      <c r="X42" s="160">
        <v>-0.111</v>
      </c>
      <c r="Y42" s="160">
        <v>-0.218</v>
      </c>
      <c r="Z42" s="160">
        <v>-5.2999999999999999E-2</v>
      </c>
      <c r="AA42" s="160">
        <f t="shared" si="4"/>
        <v>6.0999999999999999E-2</v>
      </c>
      <c r="AB42" s="160">
        <f t="shared" si="3"/>
        <v>-3.4000000000000002E-2</v>
      </c>
    </row>
    <row r="43" spans="1:28" ht="14.25" customHeight="1">
      <c r="A43" s="299" t="s">
        <v>50</v>
      </c>
      <c r="B43" s="144" t="s">
        <v>56</v>
      </c>
      <c r="C43" s="145">
        <v>0</v>
      </c>
      <c r="D43" s="145">
        <v>0</v>
      </c>
      <c r="E43" s="145">
        <v>1720</v>
      </c>
      <c r="F43" s="145">
        <v>2694</v>
      </c>
      <c r="H43" s="158">
        <v>0</v>
      </c>
      <c r="I43" s="158">
        <v>0</v>
      </c>
      <c r="J43" s="158">
        <v>0.56599999999999995</v>
      </c>
      <c r="L43" s="159">
        <v>0</v>
      </c>
      <c r="M43" s="145">
        <v>0</v>
      </c>
      <c r="N43" s="145">
        <v>0</v>
      </c>
      <c r="O43" s="145">
        <v>1720</v>
      </c>
      <c r="P43" s="159">
        <v>3723</v>
      </c>
      <c r="Q43" s="145">
        <v>2893</v>
      </c>
      <c r="R43" s="145">
        <v>3515</v>
      </c>
      <c r="S43" s="166">
        <v>2694</v>
      </c>
      <c r="T43" s="261">
        <v>0</v>
      </c>
      <c r="U43" s="261">
        <v>22967</v>
      </c>
      <c r="W43" s="160">
        <v>1.165</v>
      </c>
      <c r="X43" s="160">
        <v>0.68200000000000005</v>
      </c>
      <c r="Y43" s="160">
        <v>1.044</v>
      </c>
      <c r="Z43" s="160">
        <v>0.56599999999999995</v>
      </c>
      <c r="AA43" s="160">
        <f t="shared" si="4"/>
        <v>-1</v>
      </c>
      <c r="AB43" s="160">
        <f t="shared" si="3"/>
        <v>7.5250000000000004</v>
      </c>
    </row>
    <row r="44" spans="1:28" ht="14.25" customHeight="1">
      <c r="A44" s="120" t="s">
        <v>67</v>
      </c>
      <c r="B44" s="144" t="s">
        <v>67</v>
      </c>
      <c r="C44" s="145">
        <v>0</v>
      </c>
      <c r="D44" s="145">
        <v>90898</v>
      </c>
      <c r="E44" s="145">
        <v>182392</v>
      </c>
      <c r="F44" s="145">
        <v>214786</v>
      </c>
      <c r="H44" s="158">
        <v>0</v>
      </c>
      <c r="I44" s="158">
        <v>1.0069999999999999</v>
      </c>
      <c r="J44" s="158">
        <v>0.17799999999999999</v>
      </c>
      <c r="L44" s="159">
        <v>108295</v>
      </c>
      <c r="M44" s="145">
        <v>125494</v>
      </c>
      <c r="N44" s="145">
        <v>124862</v>
      </c>
      <c r="O44" s="145">
        <v>182392</v>
      </c>
      <c r="P44" s="159">
        <v>214228</v>
      </c>
      <c r="Q44" s="145">
        <v>221125</v>
      </c>
      <c r="R44" s="145">
        <v>224641</v>
      </c>
      <c r="S44" s="166">
        <v>214786</v>
      </c>
      <c r="T44" s="261">
        <v>251180</v>
      </c>
      <c r="U44" s="261">
        <v>246714</v>
      </c>
      <c r="W44" s="160">
        <v>0.17499999999999999</v>
      </c>
      <c r="X44" s="160">
        <v>0.21199999999999999</v>
      </c>
      <c r="Y44" s="160">
        <v>0.23200000000000001</v>
      </c>
      <c r="Z44" s="160">
        <v>0.17799999999999999</v>
      </c>
      <c r="AA44" s="160">
        <f t="shared" si="4"/>
        <v>0.16900000000000001</v>
      </c>
      <c r="AB44" s="160">
        <f t="shared" si="3"/>
        <v>0.14899999999999999</v>
      </c>
    </row>
    <row r="45" spans="1:28" ht="14.25" customHeight="1">
      <c r="A45" s="299" t="s">
        <v>57</v>
      </c>
      <c r="B45" s="144" t="s">
        <v>57</v>
      </c>
      <c r="C45" s="145">
        <v>53</v>
      </c>
      <c r="D45" s="145">
        <v>64</v>
      </c>
      <c r="E45" s="145">
        <v>14701</v>
      </c>
      <c r="F45" s="145">
        <v>63854</v>
      </c>
      <c r="H45" s="158">
        <v>0.20799999999999999</v>
      </c>
      <c r="I45" s="158">
        <v>228.703</v>
      </c>
      <c r="J45" s="158">
        <v>3.3439999999999999</v>
      </c>
      <c r="L45" s="159">
        <v>9296</v>
      </c>
      <c r="M45" s="145">
        <v>13084</v>
      </c>
      <c r="N45" s="145">
        <v>13024</v>
      </c>
      <c r="O45" s="145">
        <v>14701</v>
      </c>
      <c r="P45" s="159">
        <v>33483</v>
      </c>
      <c r="Q45" s="145">
        <v>41573</v>
      </c>
      <c r="R45" s="145">
        <v>66375</v>
      </c>
      <c r="S45" s="166">
        <v>63854</v>
      </c>
      <c r="T45" s="261">
        <v>65322</v>
      </c>
      <c r="U45" s="261">
        <v>50067</v>
      </c>
      <c r="W45" s="160">
        <v>1.278</v>
      </c>
      <c r="X45" s="160">
        <v>1.8280000000000001</v>
      </c>
      <c r="Y45" s="160">
        <v>3.5150000000000001</v>
      </c>
      <c r="Z45" s="160">
        <v>3.3439999999999999</v>
      </c>
      <c r="AA45" s="160">
        <f t="shared" si="4"/>
        <v>2.3E-2</v>
      </c>
      <c r="AB45" s="160">
        <f t="shared" si="3"/>
        <v>-0.216</v>
      </c>
    </row>
    <row r="46" spans="1:28" ht="14.25" customHeight="1">
      <c r="A46" s="299" t="s">
        <v>58</v>
      </c>
      <c r="B46" s="144" t="s">
        <v>58</v>
      </c>
      <c r="C46" s="145">
        <v>21159</v>
      </c>
      <c r="D46" s="145">
        <v>31028</v>
      </c>
      <c r="E46" s="145">
        <v>17168</v>
      </c>
      <c r="F46" s="145">
        <v>57516</v>
      </c>
      <c r="H46" s="158">
        <v>0.46600000000000003</v>
      </c>
      <c r="I46" s="158">
        <v>-0.44700000000000001</v>
      </c>
      <c r="J46" s="158">
        <v>2.35</v>
      </c>
      <c r="L46" s="159">
        <v>33177</v>
      </c>
      <c r="M46" s="145">
        <v>32612</v>
      </c>
      <c r="N46" s="145">
        <v>31882</v>
      </c>
      <c r="O46" s="145">
        <v>17168</v>
      </c>
      <c r="P46" s="159">
        <v>23742</v>
      </c>
      <c r="Q46" s="145">
        <v>57873</v>
      </c>
      <c r="R46" s="145">
        <v>58565</v>
      </c>
      <c r="S46" s="166">
        <v>57516</v>
      </c>
      <c r="T46" s="261">
        <v>45468</v>
      </c>
      <c r="U46" s="261">
        <v>32868</v>
      </c>
      <c r="W46" s="160">
        <v>0.38300000000000001</v>
      </c>
      <c r="X46" s="160">
        <v>2.371</v>
      </c>
      <c r="Y46" s="160">
        <v>2.411</v>
      </c>
      <c r="Z46" s="160">
        <v>2.35</v>
      </c>
      <c r="AA46" s="160">
        <f t="shared" si="4"/>
        <v>-0.20899999999999999</v>
      </c>
      <c r="AB46" s="160">
        <f t="shared" si="3"/>
        <v>-0.42899999999999999</v>
      </c>
    </row>
    <row r="47" spans="1:28" ht="14.25" customHeight="1">
      <c r="A47" s="299" t="s">
        <v>191</v>
      </c>
      <c r="B47" s="144" t="s">
        <v>191</v>
      </c>
      <c r="C47" s="145">
        <v>4034</v>
      </c>
      <c r="D47" s="145">
        <v>23672</v>
      </c>
      <c r="E47" s="145">
        <v>71005</v>
      </c>
      <c r="F47" s="145">
        <v>196059</v>
      </c>
      <c r="H47" s="158">
        <v>4.8680000000000003</v>
      </c>
      <c r="I47" s="158">
        <v>2</v>
      </c>
      <c r="J47" s="158">
        <v>1.7609999999999999</v>
      </c>
      <c r="L47" s="159">
        <v>63970</v>
      </c>
      <c r="M47" s="145">
        <v>58834</v>
      </c>
      <c r="N47" s="145">
        <v>58680</v>
      </c>
      <c r="O47" s="145">
        <v>71005</v>
      </c>
      <c r="P47" s="159">
        <v>106981</v>
      </c>
      <c r="Q47" s="145">
        <v>148838</v>
      </c>
      <c r="R47" s="145">
        <v>198875</v>
      </c>
      <c r="S47" s="166">
        <v>196059</v>
      </c>
      <c r="T47" s="261">
        <v>192356</v>
      </c>
      <c r="U47" s="261">
        <v>193419</v>
      </c>
      <c r="W47" s="160">
        <v>0.50700000000000001</v>
      </c>
      <c r="X47" s="160">
        <v>1.0960000000000001</v>
      </c>
      <c r="Y47" s="160">
        <v>1.8009999999999999</v>
      </c>
      <c r="Z47" s="160">
        <v>1.7609999999999999</v>
      </c>
      <c r="AA47" s="160">
        <f t="shared" si="4"/>
        <v>-1.9E-2</v>
      </c>
      <c r="AB47" s="160">
        <f t="shared" si="3"/>
        <v>-1.2999999999999999E-2</v>
      </c>
    </row>
    <row r="48" spans="1:28" s="326" customFormat="1" ht="14.25" customHeight="1">
      <c r="A48" s="323"/>
      <c r="B48" s="326" t="s">
        <v>268</v>
      </c>
      <c r="C48" s="145">
        <v>0</v>
      </c>
      <c r="D48" s="145">
        <v>0</v>
      </c>
      <c r="E48" s="145">
        <v>0</v>
      </c>
      <c r="F48" s="145">
        <v>0</v>
      </c>
      <c r="G48" s="146"/>
      <c r="H48" s="158">
        <v>0</v>
      </c>
      <c r="I48" s="158">
        <v>0</v>
      </c>
      <c r="J48" s="158">
        <v>0</v>
      </c>
      <c r="L48" s="159">
        <v>0</v>
      </c>
      <c r="M48" s="145">
        <v>0</v>
      </c>
      <c r="N48" s="145">
        <v>0</v>
      </c>
      <c r="O48" s="145">
        <v>0</v>
      </c>
      <c r="P48" s="159">
        <v>0</v>
      </c>
      <c r="Q48" s="145">
        <v>0</v>
      </c>
      <c r="R48" s="145">
        <v>0</v>
      </c>
      <c r="S48" s="166">
        <v>0</v>
      </c>
      <c r="T48" s="261">
        <v>0</v>
      </c>
      <c r="U48" s="261">
        <v>5242</v>
      </c>
      <c r="V48" s="146"/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</row>
    <row r="49" spans="1:28" ht="14.25" customHeight="1">
      <c r="A49" s="120" t="s">
        <v>59</v>
      </c>
      <c r="B49" s="144" t="s">
        <v>59</v>
      </c>
      <c r="C49" s="145">
        <v>11582</v>
      </c>
      <c r="D49" s="145">
        <v>12273</v>
      </c>
      <c r="E49" s="145">
        <v>1306</v>
      </c>
      <c r="F49" s="145">
        <v>221</v>
      </c>
      <c r="H49" s="158">
        <v>0.06</v>
      </c>
      <c r="I49" s="158">
        <v>-0.89400000000000002</v>
      </c>
      <c r="J49" s="158">
        <v>-0.83099999999999996</v>
      </c>
      <c r="L49" s="159">
        <v>13500</v>
      </c>
      <c r="M49" s="145">
        <v>13592</v>
      </c>
      <c r="N49" s="145">
        <v>13656</v>
      </c>
      <c r="O49" s="145">
        <v>1306</v>
      </c>
      <c r="P49" s="159">
        <v>1660</v>
      </c>
      <c r="Q49" s="145">
        <v>1702</v>
      </c>
      <c r="R49" s="145">
        <v>1699</v>
      </c>
      <c r="S49" s="166">
        <v>221</v>
      </c>
      <c r="T49" s="261">
        <v>153</v>
      </c>
      <c r="U49" s="261">
        <v>188</v>
      </c>
      <c r="W49" s="160">
        <v>0.27100000000000002</v>
      </c>
      <c r="X49" s="160">
        <v>0.30299999999999999</v>
      </c>
      <c r="Y49" s="160">
        <v>0.30099999999999999</v>
      </c>
      <c r="Z49" s="160">
        <v>-0.83099999999999996</v>
      </c>
      <c r="AA49" s="160">
        <f t="shared" si="4"/>
        <v>-0.308</v>
      </c>
      <c r="AB49" s="160">
        <f t="shared" si="3"/>
        <v>-0.14899999999999999</v>
      </c>
    </row>
    <row r="50" spans="1:28" ht="5.15" customHeight="1">
      <c r="L50" s="152"/>
      <c r="P50" s="152"/>
      <c r="T50" s="260"/>
      <c r="U50" s="260"/>
    </row>
    <row r="51" spans="1:28" ht="14.25" customHeight="1">
      <c r="B51" s="161" t="s">
        <v>64</v>
      </c>
      <c r="C51" s="162">
        <v>89700</v>
      </c>
      <c r="D51" s="162">
        <v>86344</v>
      </c>
      <c r="E51" s="162">
        <v>411325</v>
      </c>
      <c r="F51" s="162">
        <v>600831</v>
      </c>
      <c r="H51" s="163">
        <v>-3.6999999999999998E-2</v>
      </c>
      <c r="I51" s="163">
        <v>3.7639999999999998</v>
      </c>
      <c r="J51" s="163">
        <v>0.46100000000000002</v>
      </c>
      <c r="L51" s="164">
        <v>75543</v>
      </c>
      <c r="M51" s="162">
        <v>65435</v>
      </c>
      <c r="N51" s="162">
        <v>72804</v>
      </c>
      <c r="O51" s="162">
        <v>411325</v>
      </c>
      <c r="P51" s="164">
        <v>397388</v>
      </c>
      <c r="Q51" s="162">
        <v>600872</v>
      </c>
      <c r="R51" s="162">
        <v>602733</v>
      </c>
      <c r="S51" s="162">
        <v>600831</v>
      </c>
      <c r="T51" s="262">
        <f>SUM(T52:T56)</f>
        <v>572656.01893891033</v>
      </c>
      <c r="U51" s="262">
        <f>SUM(U52:U56)</f>
        <v>548358.67841057386</v>
      </c>
      <c r="W51" s="163">
        <v>-3.4000000000000002E-2</v>
      </c>
      <c r="X51" s="163">
        <v>0.46100000000000002</v>
      </c>
      <c r="Y51" s="163">
        <v>0.46500000000000002</v>
      </c>
      <c r="Z51" s="165">
        <v>0.46100000000000002</v>
      </c>
      <c r="AA51" s="165">
        <f t="shared" ref="AA51:AA56" si="5">ROUND(T51/S51-1,3)</f>
        <v>-4.7E-2</v>
      </c>
      <c r="AB51" s="165">
        <f t="shared" si="3"/>
        <v>-8.6999999999999994E-2</v>
      </c>
    </row>
    <row r="52" spans="1:28" ht="14.25" customHeight="1">
      <c r="A52" s="120" t="s">
        <v>12</v>
      </c>
      <c r="B52" s="144" t="s">
        <v>12</v>
      </c>
      <c r="C52" s="145">
        <v>89123</v>
      </c>
      <c r="D52" s="145">
        <v>89473</v>
      </c>
      <c r="E52" s="145">
        <v>438043</v>
      </c>
      <c r="F52" s="145">
        <v>653872</v>
      </c>
      <c r="H52" s="158">
        <v>4.0000000000000001E-3</v>
      </c>
      <c r="I52" s="158">
        <v>3.8959999999999999</v>
      </c>
      <c r="J52" s="158">
        <v>0.49299999999999999</v>
      </c>
      <c r="L52" s="159">
        <v>89473</v>
      </c>
      <c r="M52" s="145">
        <v>89473</v>
      </c>
      <c r="N52" s="145">
        <v>89473</v>
      </c>
      <c r="O52" s="145">
        <v>438043</v>
      </c>
      <c r="P52" s="159">
        <v>442559</v>
      </c>
      <c r="Q52" s="145">
        <v>651769</v>
      </c>
      <c r="R52" s="145">
        <v>653872</v>
      </c>
      <c r="S52" s="145">
        <v>653872</v>
      </c>
      <c r="T52" s="261">
        <v>654590</v>
      </c>
      <c r="U52" s="261">
        <v>655618</v>
      </c>
      <c r="W52" s="158">
        <v>0.01</v>
      </c>
      <c r="X52" s="158">
        <v>0.48799999999999999</v>
      </c>
      <c r="Y52" s="158">
        <v>0.49299999999999999</v>
      </c>
      <c r="Z52" s="160">
        <v>0.49299999999999999</v>
      </c>
      <c r="AA52" s="160">
        <f t="shared" si="5"/>
        <v>1E-3</v>
      </c>
      <c r="AB52" s="160">
        <f t="shared" si="3"/>
        <v>3.0000000000000001E-3</v>
      </c>
    </row>
    <row r="53" spans="1:28" ht="14.25" customHeight="1">
      <c r="A53" s="120" t="s">
        <v>65</v>
      </c>
      <c r="B53" s="144" t="s">
        <v>65</v>
      </c>
      <c r="C53" s="145">
        <v>0</v>
      </c>
      <c r="D53" s="145">
        <v>0</v>
      </c>
      <c r="E53" s="145">
        <v>-27881</v>
      </c>
      <c r="F53" s="145">
        <v>-24247</v>
      </c>
      <c r="H53" s="158">
        <v>0</v>
      </c>
      <c r="I53" s="158">
        <v>0</v>
      </c>
      <c r="J53" s="158">
        <v>-0.13</v>
      </c>
      <c r="L53" s="159">
        <v>0</v>
      </c>
      <c r="M53" s="145">
        <v>0</v>
      </c>
      <c r="N53" s="145">
        <v>0</v>
      </c>
      <c r="O53" s="145">
        <v>-27881</v>
      </c>
      <c r="P53" s="159">
        <v>-18403</v>
      </c>
      <c r="Q53" s="145">
        <v>-24247</v>
      </c>
      <c r="R53" s="145">
        <v>-24247</v>
      </c>
      <c r="S53" s="145">
        <v>-24247</v>
      </c>
      <c r="T53" s="261">
        <v>-24247</v>
      </c>
      <c r="U53" s="261">
        <v>-24247</v>
      </c>
      <c r="W53" s="158">
        <v>-0.34</v>
      </c>
      <c r="X53" s="158">
        <v>-0.13</v>
      </c>
      <c r="Y53" s="158">
        <v>-0.13</v>
      </c>
      <c r="Z53" s="160">
        <v>-0.13</v>
      </c>
      <c r="AA53" s="160">
        <f t="shared" si="5"/>
        <v>0</v>
      </c>
      <c r="AB53" s="160">
        <f t="shared" si="3"/>
        <v>0</v>
      </c>
    </row>
    <row r="54" spans="1:28" ht="14.25" customHeight="1">
      <c r="A54" s="120" t="s">
        <v>13</v>
      </c>
      <c r="B54" s="144" t="s">
        <v>13</v>
      </c>
      <c r="C54" s="145">
        <v>158955</v>
      </c>
      <c r="D54" s="145">
        <v>162395</v>
      </c>
      <c r="E54" s="145">
        <v>3160</v>
      </c>
      <c r="F54" s="145">
        <v>3556</v>
      </c>
      <c r="H54" s="158">
        <v>2.1999999999999999E-2</v>
      </c>
      <c r="I54" s="158">
        <v>-0.98099999999999998</v>
      </c>
      <c r="J54" s="158">
        <v>0.125</v>
      </c>
      <c r="L54" s="159">
        <v>161443</v>
      </c>
      <c r="M54" s="145">
        <v>159327</v>
      </c>
      <c r="N54" s="145">
        <v>3039</v>
      </c>
      <c r="O54" s="145">
        <v>3160</v>
      </c>
      <c r="P54" s="159">
        <v>3299</v>
      </c>
      <c r="Q54" s="145">
        <v>3405</v>
      </c>
      <c r="R54" s="145">
        <v>3485</v>
      </c>
      <c r="S54" s="145">
        <v>3556</v>
      </c>
      <c r="T54" s="261">
        <v>4460</v>
      </c>
      <c r="U54" s="261">
        <v>4903</v>
      </c>
      <c r="W54" s="158">
        <v>4.3999999999999997E-2</v>
      </c>
      <c r="X54" s="158">
        <v>7.8E-2</v>
      </c>
      <c r="Y54" s="158">
        <v>0.10299999999999999</v>
      </c>
      <c r="Z54" s="160">
        <v>0.125</v>
      </c>
      <c r="AA54" s="160">
        <f t="shared" si="5"/>
        <v>0.254</v>
      </c>
      <c r="AB54" s="160">
        <f t="shared" si="3"/>
        <v>0.379</v>
      </c>
    </row>
    <row r="55" spans="1:28" ht="14.25" customHeight="1">
      <c r="A55" s="120" t="s">
        <v>179</v>
      </c>
      <c r="B55" s="144" t="s">
        <v>179</v>
      </c>
      <c r="C55" s="145">
        <v>0</v>
      </c>
      <c r="D55" s="145">
        <v>0</v>
      </c>
      <c r="E55" s="145">
        <v>0</v>
      </c>
      <c r="F55" s="145">
        <v>9969</v>
      </c>
      <c r="H55" s="145">
        <v>0</v>
      </c>
      <c r="I55" s="145">
        <v>0</v>
      </c>
      <c r="J55" s="145">
        <v>0</v>
      </c>
      <c r="L55" s="159">
        <v>0</v>
      </c>
      <c r="M55" s="145">
        <v>0</v>
      </c>
      <c r="N55" s="145">
        <v>0</v>
      </c>
      <c r="O55" s="145">
        <v>9969</v>
      </c>
      <c r="P55" s="159">
        <v>0</v>
      </c>
      <c r="Q55" s="145">
        <v>0</v>
      </c>
      <c r="R55" s="145">
        <v>16317</v>
      </c>
      <c r="S55" s="145">
        <v>9969</v>
      </c>
      <c r="T55" s="261">
        <v>9969</v>
      </c>
      <c r="U55" s="261">
        <v>9969</v>
      </c>
      <c r="W55" s="158">
        <v>0</v>
      </c>
      <c r="X55" s="158">
        <v>0</v>
      </c>
      <c r="Y55" s="158">
        <v>0.63700000000000001</v>
      </c>
      <c r="Z55" s="160">
        <v>0</v>
      </c>
      <c r="AA55" s="160">
        <f t="shared" si="5"/>
        <v>0</v>
      </c>
      <c r="AB55" s="160">
        <f t="shared" si="3"/>
        <v>0</v>
      </c>
    </row>
    <row r="56" spans="1:28" ht="14.25" customHeight="1">
      <c r="A56" s="120" t="s">
        <v>66</v>
      </c>
      <c r="B56" s="144" t="s">
        <v>66</v>
      </c>
      <c r="C56" s="145">
        <v>-158378</v>
      </c>
      <c r="D56" s="145">
        <v>-165524</v>
      </c>
      <c r="E56" s="145">
        <v>-1997</v>
      </c>
      <c r="F56" s="145">
        <v>-42319</v>
      </c>
      <c r="H56" s="158">
        <v>4.4999999999999998E-2</v>
      </c>
      <c r="I56" s="158">
        <v>-0.98799999999999999</v>
      </c>
      <c r="J56" s="158">
        <v>2.5369999999999999</v>
      </c>
      <c r="L56" s="159">
        <v>-175373</v>
      </c>
      <c r="M56" s="145">
        <v>-183365</v>
      </c>
      <c r="N56" s="145">
        <v>-19708</v>
      </c>
      <c r="O56" s="145">
        <v>-11966</v>
      </c>
      <c r="P56" s="159">
        <v>-30067</v>
      </c>
      <c r="Q56" s="145">
        <v>-30055</v>
      </c>
      <c r="R56" s="145">
        <v>-46694</v>
      </c>
      <c r="S56" s="145">
        <v>-42319</v>
      </c>
      <c r="T56" s="261">
        <v>-72115.981061089638</v>
      </c>
      <c r="U56" s="261">
        <v>-97884.321589426123</v>
      </c>
      <c r="W56" s="158">
        <v>14.055999999999999</v>
      </c>
      <c r="X56" s="158">
        <v>14.05</v>
      </c>
      <c r="Y56" s="158">
        <v>2.9020000000000001</v>
      </c>
      <c r="Z56" s="160">
        <v>2.5369999999999999</v>
      </c>
      <c r="AA56" s="160">
        <f t="shared" si="5"/>
        <v>0.70399999999999996</v>
      </c>
      <c r="AB56" s="160">
        <f t="shared" si="3"/>
        <v>1.3129999999999999</v>
      </c>
    </row>
    <row r="57" spans="1:28">
      <c r="S57" s="145"/>
      <c r="T57" s="145"/>
      <c r="U57" s="145"/>
    </row>
    <row r="58" spans="1:28">
      <c r="C58" s="145"/>
      <c r="D58" s="145"/>
      <c r="E58" s="145"/>
      <c r="F58" s="145"/>
    </row>
    <row r="59" spans="1:28"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>
        <f>T51+T41+T32-T16-T7</f>
        <v>1.8938910216093063E-2</v>
      </c>
      <c r="U59" s="145">
        <f>U51+U41+U32-U16-U7</f>
        <v>-0.32158942613750696</v>
      </c>
      <c r="V59" s="145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F84E-4399-4F93-A923-631682418C82}">
  <dimension ref="A1:AB66"/>
  <sheetViews>
    <sheetView showGridLines="0" zoomScaleNormal="100" workbookViewId="0">
      <pane xSplit="2" ySplit="3" topLeftCell="Y4" activePane="bottomRight" state="frozen"/>
      <selection activeCell="B2" sqref="B2"/>
      <selection pane="topRight" activeCell="B2" sqref="B2"/>
      <selection pane="bottomLeft" activeCell="B2" sqref="B2"/>
      <selection pane="bottomRight" activeCell="AB9" sqref="AB9"/>
    </sheetView>
  </sheetViews>
  <sheetFormatPr defaultColWidth="9.1796875" defaultRowHeight="10"/>
  <cols>
    <col min="1" max="1" width="41.36328125" style="144" hidden="1" customWidth="1"/>
    <col min="2" max="2" width="80.26953125" style="144" bestFit="1" customWidth="1"/>
    <col min="3" max="6" width="12.54296875" style="144" customWidth="1"/>
    <col min="7" max="7" width="2.54296875" style="146" customWidth="1"/>
    <col min="8" max="10" width="12.54296875" style="144" customWidth="1"/>
    <col min="11" max="11" width="9.1796875" style="146" customWidth="1"/>
    <col min="12" max="20" width="12.54296875" style="144" customWidth="1"/>
    <col min="21" max="21" width="12.54296875" style="326" customWidth="1"/>
    <col min="22" max="22" width="6.90625" style="146" bestFit="1" customWidth="1"/>
    <col min="23" max="27" width="12.54296875" style="144" customWidth="1"/>
    <col min="28" max="28" width="12.54296875" style="326" customWidth="1"/>
    <col min="29" max="16384" width="9.1796875" style="144"/>
  </cols>
  <sheetData>
    <row r="1" spans="1:28" ht="54.75" customHeight="1"/>
    <row r="2" spans="1:28">
      <c r="H2" s="149" t="s">
        <v>0</v>
      </c>
      <c r="I2" s="149" t="s">
        <v>0</v>
      </c>
      <c r="J2" s="149" t="s">
        <v>0</v>
      </c>
      <c r="S2" s="146"/>
      <c r="W2" s="149" t="s">
        <v>0</v>
      </c>
      <c r="X2" s="149" t="s">
        <v>0</v>
      </c>
      <c r="Y2" s="149" t="s">
        <v>0</v>
      </c>
      <c r="Z2" s="149" t="s">
        <v>0</v>
      </c>
      <c r="AA2" s="149" t="s">
        <v>0</v>
      </c>
      <c r="AB2" s="149" t="s">
        <v>0</v>
      </c>
    </row>
    <row r="3" spans="1:28" ht="21" customHeight="1">
      <c r="B3" s="4" t="s">
        <v>71</v>
      </c>
      <c r="C3" s="5">
        <v>2018</v>
      </c>
      <c r="D3" s="5">
        <v>2019</v>
      </c>
      <c r="E3" s="5">
        <v>2020</v>
      </c>
      <c r="F3" s="5">
        <v>2021</v>
      </c>
      <c r="H3" s="5">
        <v>2019</v>
      </c>
      <c r="I3" s="5">
        <v>2020</v>
      </c>
      <c r="J3" s="5">
        <v>2021</v>
      </c>
      <c r="K3" s="155"/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25</v>
      </c>
      <c r="R3" s="5" t="s">
        <v>176</v>
      </c>
      <c r="S3" s="5" t="s">
        <v>181</v>
      </c>
      <c r="T3" s="229" t="s">
        <v>206</v>
      </c>
      <c r="U3" s="78" t="s">
        <v>264</v>
      </c>
      <c r="W3" s="5" t="s">
        <v>5</v>
      </c>
      <c r="X3" s="5" t="s">
        <v>25</v>
      </c>
      <c r="Y3" s="5" t="s">
        <v>176</v>
      </c>
      <c r="Z3" s="5" t="s">
        <v>181</v>
      </c>
      <c r="AA3" s="229" t="s">
        <v>206</v>
      </c>
      <c r="AB3" s="229" t="s">
        <v>264</v>
      </c>
    </row>
    <row r="4" spans="1:28">
      <c r="L4" s="152"/>
      <c r="P4" s="152"/>
      <c r="T4" s="260"/>
      <c r="U4" s="194"/>
      <c r="AA4" s="260"/>
      <c r="AB4" s="260"/>
    </row>
    <row r="5" spans="1:28">
      <c r="B5" s="148" t="s">
        <v>69</v>
      </c>
      <c r="C5" s="177"/>
      <c r="D5" s="177"/>
      <c r="E5" s="177"/>
      <c r="F5" s="177"/>
      <c r="H5" s="178"/>
      <c r="I5" s="178"/>
      <c r="J5" s="178"/>
      <c r="L5" s="179"/>
      <c r="M5" s="177"/>
      <c r="N5" s="177"/>
      <c r="O5" s="177"/>
      <c r="P5" s="179"/>
      <c r="Q5" s="177"/>
      <c r="R5" s="177"/>
      <c r="S5" s="177"/>
      <c r="T5" s="264"/>
      <c r="U5" s="205"/>
      <c r="W5" s="178"/>
      <c r="X5" s="178"/>
      <c r="Y5" s="178"/>
      <c r="Z5" s="178"/>
      <c r="AA5" s="277"/>
      <c r="AB5" s="277"/>
    </row>
    <row r="6" spans="1:28">
      <c r="A6" s="297" t="s">
        <v>228</v>
      </c>
      <c r="B6" s="144" t="s">
        <v>213</v>
      </c>
      <c r="C6" s="145">
        <v>-551</v>
      </c>
      <c r="D6" s="145">
        <v>-12578</v>
      </c>
      <c r="E6" s="145">
        <v>-3292</v>
      </c>
      <c r="F6" s="145">
        <v>-27506</v>
      </c>
      <c r="H6" s="160">
        <v>21.827999999999999</v>
      </c>
      <c r="I6" s="160">
        <v>-0.73799999999999999</v>
      </c>
      <c r="J6" s="160">
        <v>-7.3550000000000004</v>
      </c>
      <c r="L6" s="159">
        <v>-14545</v>
      </c>
      <c r="M6" s="145">
        <v>-6866.4144499999238</v>
      </c>
      <c r="N6" s="145">
        <v>10794.503029999991</v>
      </c>
      <c r="O6" s="145">
        <v>7324.9114199999331</v>
      </c>
      <c r="P6" s="159">
        <v>-24239</v>
      </c>
      <c r="Q6" s="180">
        <v>-1749</v>
      </c>
      <c r="R6" s="180">
        <v>2508</v>
      </c>
      <c r="S6" s="180">
        <v>-4026</v>
      </c>
      <c r="T6" s="261">
        <v>-30939</v>
      </c>
      <c r="U6" s="180">
        <v>-23772</v>
      </c>
      <c r="W6" s="181">
        <v>0.66600000000000004</v>
      </c>
      <c r="X6" s="158">
        <v>-0.745</v>
      </c>
      <c r="Y6" s="158">
        <v>-0.76800000000000002</v>
      </c>
      <c r="Z6" s="158" t="s">
        <v>153</v>
      </c>
      <c r="AA6" s="267">
        <f>-ROUND(T6/P6-1,3)</f>
        <v>-0.27600000000000002</v>
      </c>
      <c r="AB6" s="267">
        <f>-ROUND(U6/Q6-1,3)</f>
        <v>-12.592000000000001</v>
      </c>
    </row>
    <row r="7" spans="1:28">
      <c r="B7" s="148"/>
      <c r="C7" s="177"/>
      <c r="D7" s="177"/>
      <c r="E7" s="177"/>
      <c r="F7" s="177"/>
      <c r="H7" s="178"/>
      <c r="I7" s="178"/>
      <c r="J7" s="178"/>
      <c r="L7" s="179"/>
      <c r="M7" s="177"/>
      <c r="N7" s="177"/>
      <c r="O7" s="177"/>
      <c r="P7" s="179"/>
      <c r="Q7" s="177"/>
      <c r="R7" s="177"/>
      <c r="S7" s="177"/>
      <c r="T7" s="261"/>
      <c r="U7" s="180"/>
      <c r="W7" s="178"/>
      <c r="X7" s="178"/>
      <c r="Y7" s="178"/>
      <c r="Z7" s="178"/>
      <c r="AA7" s="277"/>
      <c r="AB7" s="277"/>
    </row>
    <row r="8" spans="1:28">
      <c r="B8" s="148" t="s">
        <v>72</v>
      </c>
      <c r="C8" s="177"/>
      <c r="D8" s="177"/>
      <c r="E8" s="177"/>
      <c r="F8" s="177"/>
      <c r="H8" s="178"/>
      <c r="I8" s="178"/>
      <c r="J8" s="178"/>
      <c r="L8" s="179"/>
      <c r="M8" s="177"/>
      <c r="N8" s="177"/>
      <c r="O8" s="177"/>
      <c r="P8" s="179"/>
      <c r="Q8" s="177"/>
      <c r="R8" s="177"/>
      <c r="S8" s="177"/>
      <c r="T8" s="264"/>
      <c r="U8" s="205"/>
      <c r="W8" s="178"/>
      <c r="X8" s="178"/>
      <c r="Y8" s="178"/>
      <c r="Z8" s="178"/>
      <c r="AA8" s="277"/>
      <c r="AB8" s="277"/>
    </row>
    <row r="9" spans="1:28">
      <c r="A9" s="297" t="s">
        <v>70</v>
      </c>
      <c r="B9" s="144" t="s">
        <v>70</v>
      </c>
      <c r="C9" s="145">
        <v>22367</v>
      </c>
      <c r="D9" s="145">
        <v>40426</v>
      </c>
      <c r="E9" s="145">
        <v>69796</v>
      </c>
      <c r="F9" s="166">
        <v>135084</v>
      </c>
      <c r="H9" s="158">
        <v>0.80700000000000005</v>
      </c>
      <c r="I9" s="158">
        <v>0.72699999999999998</v>
      </c>
      <c r="J9" s="158">
        <v>0.93500000000000005</v>
      </c>
      <c r="L9" s="159">
        <v>12455</v>
      </c>
      <c r="M9" s="145">
        <v>17372</v>
      </c>
      <c r="N9" s="145">
        <v>16997</v>
      </c>
      <c r="O9" s="145">
        <v>22971</v>
      </c>
      <c r="P9" s="159">
        <v>27908</v>
      </c>
      <c r="Q9" s="145">
        <v>35714</v>
      </c>
      <c r="R9" s="145">
        <v>35507</v>
      </c>
      <c r="S9" s="145">
        <v>36282</v>
      </c>
      <c r="T9" s="261">
        <v>37234</v>
      </c>
      <c r="U9" s="180">
        <v>35775</v>
      </c>
      <c r="W9" s="158">
        <v>1.2410000000000001</v>
      </c>
      <c r="X9" s="158">
        <v>1.056</v>
      </c>
      <c r="Y9" s="158">
        <v>1.089</v>
      </c>
      <c r="Z9" s="158">
        <v>0.57899999999999996</v>
      </c>
      <c r="AA9" s="267">
        <f t="shared" ref="AA9:AB19" si="0">ROUND(T9/P9-1,3)</f>
        <v>0.33400000000000002</v>
      </c>
      <c r="AB9" s="267">
        <f t="shared" si="0"/>
        <v>2E-3</v>
      </c>
    </row>
    <row r="10" spans="1:28">
      <c r="A10" s="297" t="s">
        <v>190</v>
      </c>
      <c r="B10" s="146" t="s">
        <v>190</v>
      </c>
      <c r="C10" s="145">
        <v>0</v>
      </c>
      <c r="D10" s="145">
        <v>0</v>
      </c>
      <c r="E10" s="145">
        <v>0</v>
      </c>
      <c r="F10" s="166">
        <v>977</v>
      </c>
      <c r="H10" s="158" t="s">
        <v>153</v>
      </c>
      <c r="I10" s="158" t="s">
        <v>153</v>
      </c>
      <c r="J10" s="158" t="s">
        <v>153</v>
      </c>
      <c r="L10" s="159">
        <v>0</v>
      </c>
      <c r="M10" s="145">
        <v>0</v>
      </c>
      <c r="N10" s="145">
        <v>0</v>
      </c>
      <c r="O10" s="145">
        <v>0</v>
      </c>
      <c r="P10" s="159">
        <v>0</v>
      </c>
      <c r="Q10" s="145">
        <v>0</v>
      </c>
      <c r="R10" s="145">
        <v>0</v>
      </c>
      <c r="S10" s="145">
        <v>651</v>
      </c>
      <c r="T10" s="261">
        <v>1166</v>
      </c>
      <c r="U10" s="180">
        <v>3344</v>
      </c>
      <c r="W10" s="158" t="s">
        <v>153</v>
      </c>
      <c r="X10" s="158" t="s">
        <v>153</v>
      </c>
      <c r="Y10" s="158" t="s">
        <v>153</v>
      </c>
      <c r="Z10" s="158" t="s">
        <v>153</v>
      </c>
      <c r="AA10" s="267" t="s">
        <v>153</v>
      </c>
      <c r="AB10" s="267" t="s">
        <v>153</v>
      </c>
    </row>
    <row r="11" spans="1:28">
      <c r="A11" s="297" t="s">
        <v>73</v>
      </c>
      <c r="B11" s="144" t="s">
        <v>73</v>
      </c>
      <c r="C11" s="145">
        <v>-2352</v>
      </c>
      <c r="D11" s="145">
        <v>1776</v>
      </c>
      <c r="E11" s="145">
        <v>-3415</v>
      </c>
      <c r="F11" s="166">
        <v>-23684</v>
      </c>
      <c r="H11" s="158" t="s">
        <v>153</v>
      </c>
      <c r="I11" s="158" t="s">
        <v>153</v>
      </c>
      <c r="J11" s="158">
        <v>-5.9349999999999996</v>
      </c>
      <c r="L11" s="159">
        <v>533</v>
      </c>
      <c r="M11" s="145">
        <v>-4885</v>
      </c>
      <c r="N11" s="145">
        <v>148</v>
      </c>
      <c r="O11" s="145">
        <v>789</v>
      </c>
      <c r="P11" s="159">
        <v>-103</v>
      </c>
      <c r="Q11" s="145">
        <v>-874</v>
      </c>
      <c r="R11" s="145">
        <v>-19880</v>
      </c>
      <c r="S11" s="166">
        <v>-2827</v>
      </c>
      <c r="T11" s="261">
        <v>-2029</v>
      </c>
      <c r="U11" s="145">
        <v>2845</v>
      </c>
      <c r="V11" s="180"/>
      <c r="W11" s="158" t="s">
        <v>153</v>
      </c>
      <c r="X11" s="158">
        <v>-0.82099999999999995</v>
      </c>
      <c r="Y11" s="158" t="s">
        <v>153</v>
      </c>
      <c r="Z11" s="158" t="s">
        <v>153</v>
      </c>
      <c r="AA11" s="267">
        <f>-ROUND(T11/P11-1,3)</f>
        <v>-18.699000000000002</v>
      </c>
      <c r="AB11" s="267">
        <f>-ROUND(V11/Q11-1,3)</f>
        <v>1</v>
      </c>
    </row>
    <row r="12" spans="1:28">
      <c r="A12" s="297" t="s">
        <v>156</v>
      </c>
      <c r="B12" s="144" t="s">
        <v>156</v>
      </c>
      <c r="C12" s="145">
        <v>1632</v>
      </c>
      <c r="D12" s="145">
        <v>28</v>
      </c>
      <c r="E12" s="145">
        <v>1072</v>
      </c>
      <c r="F12" s="166">
        <v>-1053</v>
      </c>
      <c r="H12" s="158">
        <v>-0.98299999999999998</v>
      </c>
      <c r="I12" s="158">
        <v>37.286000000000001</v>
      </c>
      <c r="J12" s="158" t="s">
        <v>153</v>
      </c>
      <c r="L12" s="159">
        <v>0</v>
      </c>
      <c r="M12" s="145">
        <v>140</v>
      </c>
      <c r="N12" s="145">
        <v>0</v>
      </c>
      <c r="O12" s="145">
        <v>932</v>
      </c>
      <c r="P12" s="159">
        <v>-9</v>
      </c>
      <c r="Q12" s="145">
        <v>1329</v>
      </c>
      <c r="R12" s="145">
        <v>-1316</v>
      </c>
      <c r="S12" s="166">
        <v>-1057</v>
      </c>
      <c r="T12" s="261">
        <v>3426</v>
      </c>
      <c r="U12" s="145">
        <v>1689</v>
      </c>
      <c r="W12" s="158">
        <v>0</v>
      </c>
      <c r="X12" s="158">
        <v>8.4930000000000003</v>
      </c>
      <c r="Y12" s="158">
        <v>0</v>
      </c>
      <c r="Z12" s="158" t="s">
        <v>153</v>
      </c>
      <c r="AA12" s="267" t="s">
        <v>153</v>
      </c>
      <c r="AB12" s="267" t="s">
        <v>153</v>
      </c>
    </row>
    <row r="13" spans="1:28">
      <c r="A13" s="297" t="s">
        <v>229</v>
      </c>
      <c r="B13" s="45" t="s">
        <v>214</v>
      </c>
      <c r="C13" s="145">
        <v>14157</v>
      </c>
      <c r="D13" s="145">
        <v>31753</v>
      </c>
      <c r="E13" s="145">
        <v>39168</v>
      </c>
      <c r="F13" s="166">
        <v>68133</v>
      </c>
      <c r="H13" s="158">
        <v>1.2430000000000001</v>
      </c>
      <c r="I13" s="158">
        <v>0.23400000000000001</v>
      </c>
      <c r="J13" s="158">
        <v>0.74</v>
      </c>
      <c r="L13" s="159">
        <v>9589</v>
      </c>
      <c r="M13" s="145">
        <v>9981</v>
      </c>
      <c r="N13" s="145">
        <v>8535</v>
      </c>
      <c r="O13" s="145">
        <v>11063</v>
      </c>
      <c r="P13" s="159">
        <v>12513</v>
      </c>
      <c r="Q13" s="145">
        <v>15301</v>
      </c>
      <c r="R13" s="145">
        <v>18077</v>
      </c>
      <c r="S13" s="166">
        <v>22242</v>
      </c>
      <c r="T13" s="261">
        <v>27299</v>
      </c>
      <c r="U13" s="145">
        <v>26621</v>
      </c>
      <c r="W13" s="158">
        <v>0.30499999999999999</v>
      </c>
      <c r="X13" s="158">
        <v>0.53300000000000003</v>
      </c>
      <c r="Y13" s="158">
        <v>1.1180000000000001</v>
      </c>
      <c r="Z13" s="158">
        <v>1.01</v>
      </c>
      <c r="AA13" s="267">
        <f t="shared" si="0"/>
        <v>1.1819999999999999</v>
      </c>
      <c r="AB13" s="267">
        <f t="shared" si="0"/>
        <v>0.74</v>
      </c>
    </row>
    <row r="14" spans="1:28">
      <c r="A14" s="297" t="s">
        <v>203</v>
      </c>
      <c r="B14" s="144" t="s">
        <v>203</v>
      </c>
      <c r="C14" s="145">
        <v>0</v>
      </c>
      <c r="D14" s="145">
        <v>-520</v>
      </c>
      <c r="E14" s="145">
        <v>67</v>
      </c>
      <c r="F14" s="166">
        <v>-60</v>
      </c>
      <c r="H14" s="158">
        <v>0</v>
      </c>
      <c r="I14" s="158" t="s">
        <v>153</v>
      </c>
      <c r="J14" s="158" t="s">
        <v>153</v>
      </c>
      <c r="L14" s="159">
        <v>0</v>
      </c>
      <c r="M14" s="145">
        <v>0</v>
      </c>
      <c r="N14" s="145">
        <v>0</v>
      </c>
      <c r="O14" s="145">
        <v>67</v>
      </c>
      <c r="P14" s="159">
        <v>0</v>
      </c>
      <c r="Q14" s="145">
        <v>0</v>
      </c>
      <c r="R14" s="145">
        <v>0</v>
      </c>
      <c r="S14" s="166">
        <v>-60</v>
      </c>
      <c r="T14" s="261">
        <v>0</v>
      </c>
      <c r="U14" s="145">
        <v>0</v>
      </c>
      <c r="W14" s="158">
        <v>0</v>
      </c>
      <c r="X14" s="158">
        <v>0</v>
      </c>
      <c r="Y14" s="158">
        <v>0</v>
      </c>
      <c r="Z14" s="158" t="s">
        <v>153</v>
      </c>
      <c r="AA14" s="267">
        <v>0</v>
      </c>
      <c r="AB14" s="267">
        <v>0</v>
      </c>
    </row>
    <row r="15" spans="1:28">
      <c r="A15" s="297" t="s">
        <v>230</v>
      </c>
      <c r="B15" s="144" t="s">
        <v>74</v>
      </c>
      <c r="C15" s="145">
        <v>0</v>
      </c>
      <c r="D15" s="145">
        <v>1059</v>
      </c>
      <c r="E15" s="145">
        <v>755</v>
      </c>
      <c r="F15" s="145">
        <v>396</v>
      </c>
      <c r="H15" s="158">
        <v>0</v>
      </c>
      <c r="I15" s="158">
        <v>-0.28699999999999998</v>
      </c>
      <c r="J15" s="158">
        <v>-0.47499999999999998</v>
      </c>
      <c r="L15" s="159">
        <v>212</v>
      </c>
      <c r="M15" s="145">
        <v>210</v>
      </c>
      <c r="N15" s="145">
        <v>212</v>
      </c>
      <c r="O15" s="145">
        <v>121</v>
      </c>
      <c r="P15" s="159">
        <v>139</v>
      </c>
      <c r="Q15" s="145">
        <v>106</v>
      </c>
      <c r="R15" s="145">
        <v>80</v>
      </c>
      <c r="S15" s="166">
        <v>71</v>
      </c>
      <c r="T15" s="261">
        <v>904</v>
      </c>
      <c r="U15" s="145">
        <v>443</v>
      </c>
      <c r="W15" s="158">
        <v>-0.34399999999999997</v>
      </c>
      <c r="X15" s="158">
        <v>-0.495</v>
      </c>
      <c r="Y15" s="158">
        <v>-0.623</v>
      </c>
      <c r="Z15" s="158">
        <v>-0.41299999999999998</v>
      </c>
      <c r="AA15" s="267">
        <f t="shared" si="0"/>
        <v>5.5039999999999996</v>
      </c>
      <c r="AB15" s="267">
        <f t="shared" si="0"/>
        <v>3.1789999999999998</v>
      </c>
    </row>
    <row r="16" spans="1:28">
      <c r="A16" s="297" t="s">
        <v>231</v>
      </c>
      <c r="B16" s="144" t="s">
        <v>212</v>
      </c>
      <c r="C16" s="145">
        <v>1050</v>
      </c>
      <c r="D16" s="145">
        <v>1073</v>
      </c>
      <c r="E16" s="145">
        <v>149</v>
      </c>
      <c r="F16" s="166">
        <v>6269</v>
      </c>
      <c r="H16" s="158">
        <v>2.1999999999999999E-2</v>
      </c>
      <c r="I16" s="158">
        <v>-0.86099999999999999</v>
      </c>
      <c r="J16" s="158">
        <v>41.073999999999998</v>
      </c>
      <c r="L16" s="159">
        <v>374</v>
      </c>
      <c r="M16" s="145">
        <v>-380</v>
      </c>
      <c r="N16" s="145">
        <v>338</v>
      </c>
      <c r="O16" s="145">
        <v>-183</v>
      </c>
      <c r="P16" s="159">
        <v>-13</v>
      </c>
      <c r="Q16" s="145">
        <v>-661</v>
      </c>
      <c r="R16" s="145">
        <v>1874</v>
      </c>
      <c r="S16" s="166">
        <v>5069</v>
      </c>
      <c r="T16" s="261">
        <v>-5792</v>
      </c>
      <c r="U16" s="145">
        <v>2959</v>
      </c>
      <c r="W16" s="158" t="s">
        <v>153</v>
      </c>
      <c r="X16" s="158">
        <v>0.73899999999999999</v>
      </c>
      <c r="Y16" s="158">
        <v>4.5439999999999996</v>
      </c>
      <c r="Z16" s="158" t="s">
        <v>153</v>
      </c>
      <c r="AA16" s="267">
        <f>-ROUND(T16/P16-1,3)</f>
        <v>-444.53800000000001</v>
      </c>
      <c r="AB16" s="267">
        <f>-ROUND(U16/Q16-1,3)</f>
        <v>5.4770000000000003</v>
      </c>
    </row>
    <row r="17" spans="1:28">
      <c r="A17" s="297" t="s">
        <v>75</v>
      </c>
      <c r="B17" s="144" t="s">
        <v>75</v>
      </c>
      <c r="C17" s="145">
        <v>0</v>
      </c>
      <c r="D17" s="145">
        <v>-331</v>
      </c>
      <c r="E17" s="145">
        <v>-185</v>
      </c>
      <c r="F17" s="166">
        <v>-1563</v>
      </c>
      <c r="H17" s="158">
        <v>0</v>
      </c>
      <c r="I17" s="158">
        <v>-0.441</v>
      </c>
      <c r="J17" s="158">
        <v>-7.4489999999999998</v>
      </c>
      <c r="L17" s="159">
        <v>-75</v>
      </c>
      <c r="M17" s="145">
        <v>-47</v>
      </c>
      <c r="N17" s="145">
        <v>-33</v>
      </c>
      <c r="O17" s="145">
        <v>-30</v>
      </c>
      <c r="P17" s="159">
        <v>-323</v>
      </c>
      <c r="Q17" s="145">
        <v>-370</v>
      </c>
      <c r="R17" s="145">
        <v>-408</v>
      </c>
      <c r="S17" s="166">
        <v>-462</v>
      </c>
      <c r="T17" s="261">
        <v>-560</v>
      </c>
      <c r="U17" s="145">
        <v>-646</v>
      </c>
      <c r="W17" s="158">
        <v>3.3069999999999999</v>
      </c>
      <c r="X17" s="158">
        <v>6.8719999999999999</v>
      </c>
      <c r="Y17" s="158">
        <v>11.364000000000001</v>
      </c>
      <c r="Z17" s="158">
        <v>-14.4</v>
      </c>
      <c r="AA17" s="267">
        <f>-ROUND(T17/P17-1,3)</f>
        <v>-0.73399999999999999</v>
      </c>
      <c r="AB17" s="267">
        <f>-ROUND(U17/Q17-1,3)</f>
        <v>-0.746</v>
      </c>
    </row>
    <row r="18" spans="1:28">
      <c r="A18" s="297" t="s">
        <v>204</v>
      </c>
      <c r="B18" s="144" t="s">
        <v>204</v>
      </c>
      <c r="C18" s="145">
        <v>0</v>
      </c>
      <c r="D18" s="145">
        <v>0</v>
      </c>
      <c r="E18" s="145">
        <v>344</v>
      </c>
      <c r="F18" s="166">
        <v>6601</v>
      </c>
      <c r="H18" s="158">
        <v>0</v>
      </c>
      <c r="I18" s="158">
        <v>0</v>
      </c>
      <c r="J18" s="158">
        <v>18.189</v>
      </c>
      <c r="L18" s="159">
        <v>0</v>
      </c>
      <c r="M18" s="145">
        <v>0</v>
      </c>
      <c r="N18" s="145">
        <v>0</v>
      </c>
      <c r="O18" s="145">
        <v>344</v>
      </c>
      <c r="P18" s="159">
        <v>3689</v>
      </c>
      <c r="Q18" s="145">
        <v>237</v>
      </c>
      <c r="R18" s="145">
        <v>2135</v>
      </c>
      <c r="S18" s="166">
        <v>540</v>
      </c>
      <c r="T18" s="261">
        <v>-10643</v>
      </c>
      <c r="U18" s="145">
        <v>26665</v>
      </c>
      <c r="W18" s="158">
        <v>0</v>
      </c>
      <c r="X18" s="158">
        <v>0</v>
      </c>
      <c r="Y18" s="158">
        <v>0</v>
      </c>
      <c r="Z18" s="158">
        <v>0.56999999999999995</v>
      </c>
      <c r="AA18" s="267" t="s">
        <v>153</v>
      </c>
      <c r="AB18" s="267" t="s">
        <v>153</v>
      </c>
    </row>
    <row r="19" spans="1:28">
      <c r="A19" s="297" t="s">
        <v>232</v>
      </c>
      <c r="B19" s="144" t="s">
        <v>215</v>
      </c>
      <c r="C19" s="145">
        <v>0</v>
      </c>
      <c r="D19" s="145">
        <v>0</v>
      </c>
      <c r="E19" s="145">
        <v>0</v>
      </c>
      <c r="F19" s="166">
        <v>6533</v>
      </c>
      <c r="H19" s="158">
        <v>0</v>
      </c>
      <c r="I19" s="158">
        <v>0</v>
      </c>
      <c r="J19" s="158" t="s">
        <v>153</v>
      </c>
      <c r="L19" s="159">
        <v>0</v>
      </c>
      <c r="M19" s="145">
        <v>0</v>
      </c>
      <c r="N19" s="145">
        <v>0</v>
      </c>
      <c r="O19" s="145">
        <v>0</v>
      </c>
      <c r="P19" s="159">
        <v>6532</v>
      </c>
      <c r="Q19" s="145">
        <v>0</v>
      </c>
      <c r="R19" s="145">
        <v>0</v>
      </c>
      <c r="S19" s="166">
        <v>1</v>
      </c>
      <c r="T19" s="261">
        <v>-5941</v>
      </c>
      <c r="U19" s="145">
        <v>-1</v>
      </c>
      <c r="W19" s="158">
        <v>0</v>
      </c>
      <c r="X19" s="158">
        <v>0</v>
      </c>
      <c r="Y19" s="158">
        <v>0</v>
      </c>
      <c r="Z19" s="158" t="s">
        <v>153</v>
      </c>
      <c r="AA19" s="267">
        <f t="shared" si="0"/>
        <v>-1.91</v>
      </c>
      <c r="AB19" s="267" t="s">
        <v>153</v>
      </c>
    </row>
    <row r="20" spans="1:28">
      <c r="A20" s="297" t="s">
        <v>157</v>
      </c>
      <c r="B20" s="144" t="s">
        <v>157</v>
      </c>
      <c r="C20" s="145">
        <v>0</v>
      </c>
      <c r="D20" s="145">
        <v>0</v>
      </c>
      <c r="E20" s="145">
        <v>0</v>
      </c>
      <c r="F20" s="166">
        <v>-10367</v>
      </c>
      <c r="H20" s="158">
        <v>0</v>
      </c>
      <c r="I20" s="158">
        <v>0</v>
      </c>
      <c r="J20" s="158" t="s">
        <v>153</v>
      </c>
      <c r="L20" s="159">
        <v>0</v>
      </c>
      <c r="M20" s="145">
        <v>0</v>
      </c>
      <c r="N20" s="145">
        <v>0</v>
      </c>
      <c r="O20" s="145">
        <v>0</v>
      </c>
      <c r="P20" s="159">
        <v>0</v>
      </c>
      <c r="Q20" s="145">
        <v>-10367</v>
      </c>
      <c r="R20" s="145">
        <v>0</v>
      </c>
      <c r="S20" s="166">
        <v>0</v>
      </c>
      <c r="T20" s="261">
        <v>0</v>
      </c>
      <c r="U20" s="145">
        <v>0</v>
      </c>
      <c r="W20" s="158">
        <v>0</v>
      </c>
      <c r="X20" s="158">
        <v>0</v>
      </c>
      <c r="Y20" s="158">
        <v>0</v>
      </c>
      <c r="Z20" s="158" t="s">
        <v>153</v>
      </c>
      <c r="AA20" s="267">
        <v>0</v>
      </c>
      <c r="AB20" s="267" t="s">
        <v>153</v>
      </c>
    </row>
    <row r="21" spans="1:28">
      <c r="C21" s="145"/>
      <c r="D21" s="145"/>
      <c r="E21" s="145"/>
      <c r="F21" s="145"/>
      <c r="H21" s="158"/>
      <c r="I21" s="158"/>
      <c r="J21" s="158"/>
      <c r="L21" s="159"/>
      <c r="M21" s="145"/>
      <c r="N21" s="145"/>
      <c r="O21" s="145"/>
      <c r="P21" s="159"/>
      <c r="Q21" s="145"/>
      <c r="R21" s="145"/>
      <c r="S21" s="166"/>
      <c r="T21" s="261"/>
      <c r="U21" s="180"/>
      <c r="W21" s="158"/>
      <c r="X21" s="158"/>
      <c r="Y21" s="158"/>
      <c r="Z21" s="158"/>
      <c r="AA21" s="267"/>
      <c r="AB21" s="267"/>
    </row>
    <row r="22" spans="1:28">
      <c r="B22" s="148" t="s">
        <v>76</v>
      </c>
      <c r="C22" s="145"/>
      <c r="D22" s="145"/>
      <c r="E22" s="145"/>
      <c r="F22" s="145"/>
      <c r="H22" s="158"/>
      <c r="I22" s="158"/>
      <c r="J22" s="158"/>
      <c r="L22" s="159"/>
      <c r="M22" s="145"/>
      <c r="N22" s="145"/>
      <c r="O22" s="145"/>
      <c r="P22" s="159"/>
      <c r="Q22" s="145"/>
      <c r="R22" s="145"/>
      <c r="S22" s="166"/>
      <c r="T22" s="261"/>
      <c r="U22" s="180"/>
      <c r="W22" s="158"/>
      <c r="X22" s="158"/>
      <c r="Y22" s="158"/>
      <c r="Z22" s="158"/>
      <c r="AA22" s="267"/>
      <c r="AB22" s="267"/>
    </row>
    <row r="23" spans="1:28">
      <c r="A23" s="297" t="s">
        <v>49</v>
      </c>
      <c r="B23" s="144" t="s">
        <v>158</v>
      </c>
      <c r="C23" s="145">
        <v>-23681</v>
      </c>
      <c r="D23" s="145">
        <v>-7663</v>
      </c>
      <c r="E23" s="145">
        <v>-109102</v>
      </c>
      <c r="F23" s="145">
        <v>-103163</v>
      </c>
      <c r="H23" s="158">
        <v>-0.67600000000000005</v>
      </c>
      <c r="I23" s="158">
        <v>13.238</v>
      </c>
      <c r="J23" s="158">
        <v>-5.3999999999999999E-2</v>
      </c>
      <c r="L23" s="159">
        <v>-7316</v>
      </c>
      <c r="M23" s="145">
        <v>-30574</v>
      </c>
      <c r="N23" s="145">
        <v>-69489</v>
      </c>
      <c r="O23" s="145">
        <v>-1723</v>
      </c>
      <c r="P23" s="159">
        <v>-15457</v>
      </c>
      <c r="Q23" s="145">
        <v>6338</v>
      </c>
      <c r="R23" s="145">
        <v>-18131</v>
      </c>
      <c r="S23" s="166">
        <v>-53927</v>
      </c>
      <c r="T23" s="261">
        <v>-643</v>
      </c>
      <c r="U23" s="180">
        <v>-21852</v>
      </c>
      <c r="W23" s="158">
        <v>1.113</v>
      </c>
      <c r="X23" s="158" t="s">
        <v>153</v>
      </c>
      <c r="Y23" s="158">
        <v>-0.73899999999999999</v>
      </c>
      <c r="Z23" s="158">
        <v>-30.297999999999998</v>
      </c>
      <c r="AA23" s="267">
        <f t="shared" ref="AA23:AB23" si="1">ROUND(T23/P23-1,3)</f>
        <v>-0.95799999999999996</v>
      </c>
      <c r="AB23" s="267">
        <f t="shared" si="1"/>
        <v>-4.4480000000000004</v>
      </c>
    </row>
    <row r="24" spans="1:28">
      <c r="A24" s="297" t="s">
        <v>233</v>
      </c>
      <c r="B24" s="144" t="s">
        <v>159</v>
      </c>
      <c r="C24" s="145">
        <v>409</v>
      </c>
      <c r="D24" s="145">
        <v>-898</v>
      </c>
      <c r="E24" s="145">
        <v>-5204</v>
      </c>
      <c r="F24" s="166">
        <v>-11921</v>
      </c>
      <c r="H24" s="158" t="s">
        <v>153</v>
      </c>
      <c r="I24" s="158">
        <v>4.7949999999999999</v>
      </c>
      <c r="J24" s="158">
        <v>-1.2909999999999999</v>
      </c>
      <c r="L24" s="159">
        <v>-4400</v>
      </c>
      <c r="M24" s="145">
        <v>1505</v>
      </c>
      <c r="N24" s="145">
        <v>-776</v>
      </c>
      <c r="O24" s="145">
        <v>-1533</v>
      </c>
      <c r="P24" s="159">
        <v>-5093</v>
      </c>
      <c r="Q24" s="145">
        <v>-2233</v>
      </c>
      <c r="R24" s="145">
        <v>-8120</v>
      </c>
      <c r="S24" s="166">
        <v>3525</v>
      </c>
      <c r="T24" s="261">
        <v>12606</v>
      </c>
      <c r="U24" s="180">
        <v>-17463</v>
      </c>
      <c r="W24" s="158">
        <v>0.158</v>
      </c>
      <c r="X24" s="158" t="s">
        <v>153</v>
      </c>
      <c r="Y24" s="158">
        <v>9.4640000000000004</v>
      </c>
      <c r="Z24" s="158" t="s">
        <v>153</v>
      </c>
      <c r="AA24" s="267" t="s">
        <v>153</v>
      </c>
      <c r="AB24" s="267" t="s">
        <v>153</v>
      </c>
    </row>
    <row r="25" spans="1:28">
      <c r="A25" s="297" t="s">
        <v>51</v>
      </c>
      <c r="B25" s="144" t="s">
        <v>160</v>
      </c>
      <c r="C25" s="145">
        <v>1362</v>
      </c>
      <c r="D25" s="145">
        <v>-1146</v>
      </c>
      <c r="E25" s="145">
        <v>11877</v>
      </c>
      <c r="F25" s="166">
        <v>-11080</v>
      </c>
      <c r="H25" s="158" t="s">
        <v>153</v>
      </c>
      <c r="I25" s="158" t="s">
        <v>153</v>
      </c>
      <c r="J25" s="158" t="s">
        <v>153</v>
      </c>
      <c r="L25" s="159">
        <v>551</v>
      </c>
      <c r="M25" s="145">
        <v>455</v>
      </c>
      <c r="N25" s="145">
        <v>4352</v>
      </c>
      <c r="O25" s="145">
        <v>6519</v>
      </c>
      <c r="P25" s="159">
        <v>2497</v>
      </c>
      <c r="Q25" s="145">
        <v>-8237</v>
      </c>
      <c r="R25" s="145">
        <v>-326</v>
      </c>
      <c r="S25" s="166">
        <v>-5014</v>
      </c>
      <c r="T25" s="261">
        <v>-8017</v>
      </c>
      <c r="U25" s="180">
        <v>-10953</v>
      </c>
      <c r="W25" s="158">
        <v>3.532</v>
      </c>
      <c r="X25" s="158" t="s">
        <v>153</v>
      </c>
      <c r="Y25" s="158" t="s">
        <v>153</v>
      </c>
      <c r="Z25" s="158" t="s">
        <v>153</v>
      </c>
      <c r="AA25" s="267" t="s">
        <v>153</v>
      </c>
      <c r="AB25" s="267" t="s">
        <v>153</v>
      </c>
    </row>
    <row r="26" spans="1:28">
      <c r="A26" s="297" t="s">
        <v>7</v>
      </c>
      <c r="B26" s="144" t="s">
        <v>161</v>
      </c>
      <c r="C26" s="145">
        <v>250</v>
      </c>
      <c r="D26" s="145">
        <v>-1177</v>
      </c>
      <c r="E26" s="145">
        <v>-3039</v>
      </c>
      <c r="F26" s="166">
        <v>289</v>
      </c>
      <c r="H26" s="158" t="s">
        <v>153</v>
      </c>
      <c r="I26" s="158">
        <v>1.5820000000000001</v>
      </c>
      <c r="J26" s="158" t="s">
        <v>153</v>
      </c>
      <c r="L26" s="159">
        <v>-890</v>
      </c>
      <c r="M26" s="145">
        <v>-1724</v>
      </c>
      <c r="N26" s="145">
        <v>-706</v>
      </c>
      <c r="O26" s="145">
        <v>281</v>
      </c>
      <c r="P26" s="159">
        <v>-1917</v>
      </c>
      <c r="Q26" s="145">
        <v>-616</v>
      </c>
      <c r="R26" s="145">
        <v>540</v>
      </c>
      <c r="S26" s="166">
        <v>2282</v>
      </c>
      <c r="T26" s="261">
        <v>-2211</v>
      </c>
      <c r="U26" s="180">
        <v>153</v>
      </c>
      <c r="W26" s="158">
        <v>1.1539999999999999</v>
      </c>
      <c r="X26" s="158">
        <v>-0.64300000000000002</v>
      </c>
      <c r="Y26" s="158" t="s">
        <v>153</v>
      </c>
      <c r="Z26" s="158">
        <v>7.1210000000000004</v>
      </c>
      <c r="AA26" s="267">
        <f>-ROUND(T26/P26-1,3)</f>
        <v>-0.153</v>
      </c>
      <c r="AB26" s="267">
        <f>-ROUND(U26/Q26-1,3)</f>
        <v>1.248</v>
      </c>
    </row>
    <row r="27" spans="1:28">
      <c r="A27" s="297" t="s">
        <v>234</v>
      </c>
      <c r="B27" s="144" t="s">
        <v>162</v>
      </c>
      <c r="C27" s="145">
        <v>-195</v>
      </c>
      <c r="D27" s="145">
        <v>-166</v>
      </c>
      <c r="E27" s="145">
        <v>321</v>
      </c>
      <c r="F27" s="166">
        <v>-6409</v>
      </c>
      <c r="H27" s="158">
        <v>-0.14899999999999999</v>
      </c>
      <c r="I27" s="158" t="s">
        <v>153</v>
      </c>
      <c r="J27" s="158" t="s">
        <v>153</v>
      </c>
      <c r="L27" s="159">
        <v>135</v>
      </c>
      <c r="M27" s="145">
        <v>-107</v>
      </c>
      <c r="N27" s="145">
        <v>113</v>
      </c>
      <c r="O27" s="145">
        <v>180</v>
      </c>
      <c r="P27" s="159">
        <v>-702</v>
      </c>
      <c r="Q27" s="145">
        <v>-2017</v>
      </c>
      <c r="R27" s="145">
        <v>-1424</v>
      </c>
      <c r="S27" s="166">
        <v>-2266</v>
      </c>
      <c r="T27" s="261">
        <v>-713</v>
      </c>
      <c r="U27" s="180">
        <v>-781</v>
      </c>
      <c r="W27" s="158" t="s">
        <v>153</v>
      </c>
      <c r="X27" s="158">
        <v>17.850000000000001</v>
      </c>
      <c r="Y27" s="158" t="s">
        <v>153</v>
      </c>
      <c r="Z27" s="158" t="s">
        <v>153</v>
      </c>
      <c r="AA27" s="267">
        <f>-ROUND(T27/P27-1,3)</f>
        <v>-1.6E-2</v>
      </c>
      <c r="AB27" s="267">
        <f>-ROUND(U27/Q27-1,3)</f>
        <v>0.61299999999999999</v>
      </c>
    </row>
    <row r="28" spans="1:28">
      <c r="A28" s="297" t="s">
        <v>77</v>
      </c>
      <c r="B28" s="144" t="s">
        <v>163</v>
      </c>
      <c r="C28" s="145">
        <v>1329</v>
      </c>
      <c r="D28" s="145">
        <v>158</v>
      </c>
      <c r="E28" s="145">
        <v>5035</v>
      </c>
      <c r="F28" s="166">
        <v>-8584</v>
      </c>
      <c r="H28" s="158">
        <v>-0.88100000000000001</v>
      </c>
      <c r="I28" s="158">
        <v>30.867000000000001</v>
      </c>
      <c r="J28" s="158" t="s">
        <v>153</v>
      </c>
      <c r="L28" s="159">
        <v>73</v>
      </c>
      <c r="M28" s="145">
        <v>4115</v>
      </c>
      <c r="N28" s="145">
        <v>-1899</v>
      </c>
      <c r="O28" s="145">
        <v>2746</v>
      </c>
      <c r="P28" s="159">
        <v>1730</v>
      </c>
      <c r="Q28" s="145">
        <v>-13742</v>
      </c>
      <c r="R28" s="145">
        <v>5664</v>
      </c>
      <c r="S28" s="166">
        <v>-2236</v>
      </c>
      <c r="T28" s="261">
        <v>-1645</v>
      </c>
      <c r="U28" s="180">
        <v>-5089</v>
      </c>
      <c r="W28" s="158">
        <v>22.699000000000002</v>
      </c>
      <c r="X28" s="158" t="s">
        <v>153</v>
      </c>
      <c r="Y28" s="158" t="s">
        <v>153</v>
      </c>
      <c r="Z28" s="158" t="s">
        <v>153</v>
      </c>
      <c r="AA28" s="267" t="s">
        <v>153</v>
      </c>
      <c r="AB28" s="267" t="s">
        <v>153</v>
      </c>
    </row>
    <row r="29" spans="1:28">
      <c r="A29" s="297" t="s">
        <v>68</v>
      </c>
      <c r="B29" s="144" t="s">
        <v>216</v>
      </c>
      <c r="C29" s="145">
        <v>11981</v>
      </c>
      <c r="D29" s="145">
        <v>7451</v>
      </c>
      <c r="E29" s="145">
        <v>48604</v>
      </c>
      <c r="F29" s="166">
        <v>13828</v>
      </c>
      <c r="H29" s="158">
        <v>-0.378</v>
      </c>
      <c r="I29" s="158">
        <v>5.5229999999999997</v>
      </c>
      <c r="J29" s="158">
        <v>-0.71499999999999997</v>
      </c>
      <c r="L29" s="159">
        <v>-3680</v>
      </c>
      <c r="M29" s="145">
        <v>7006</v>
      </c>
      <c r="N29" s="145">
        <v>22084</v>
      </c>
      <c r="O29" s="145">
        <v>23194</v>
      </c>
      <c r="P29" s="159">
        <v>-29377</v>
      </c>
      <c r="Q29" s="145">
        <v>-24144</v>
      </c>
      <c r="R29" s="145">
        <v>-8323</v>
      </c>
      <c r="S29" s="166">
        <v>31223</v>
      </c>
      <c r="T29" s="261">
        <v>32795</v>
      </c>
      <c r="U29" s="180">
        <v>20318</v>
      </c>
      <c r="W29" s="158">
        <v>6.9829999999999997</v>
      </c>
      <c r="X29" s="158" t="s">
        <v>153</v>
      </c>
      <c r="Y29" s="158" t="s">
        <v>153</v>
      </c>
      <c r="Z29" s="158">
        <v>0.34599999999999997</v>
      </c>
      <c r="AA29" s="267" t="s">
        <v>153</v>
      </c>
      <c r="AB29" s="267" t="s">
        <v>153</v>
      </c>
    </row>
    <row r="30" spans="1:28">
      <c r="A30" s="297" t="s">
        <v>57</v>
      </c>
      <c r="B30" s="144" t="s">
        <v>164</v>
      </c>
      <c r="C30" s="145">
        <v>-4174</v>
      </c>
      <c r="D30" s="145">
        <v>-1344</v>
      </c>
      <c r="E30" s="145">
        <v>3482</v>
      </c>
      <c r="F30" s="166">
        <v>-5850</v>
      </c>
      <c r="H30" s="158">
        <v>-0.67800000000000005</v>
      </c>
      <c r="I30" s="158" t="s">
        <v>153</v>
      </c>
      <c r="J30" s="158" t="s">
        <v>153</v>
      </c>
      <c r="L30" s="159">
        <v>1793</v>
      </c>
      <c r="M30" s="145">
        <v>21888</v>
      </c>
      <c r="N30" s="145">
        <v>-345</v>
      </c>
      <c r="O30" s="145">
        <v>-19854</v>
      </c>
      <c r="P30" s="159">
        <v>-4597</v>
      </c>
      <c r="Q30" s="145">
        <v>-9354</v>
      </c>
      <c r="R30" s="145">
        <v>6739</v>
      </c>
      <c r="S30" s="166">
        <v>-1972</v>
      </c>
      <c r="T30" s="261">
        <v>6205</v>
      </c>
      <c r="U30" s="180">
        <v>-2711</v>
      </c>
      <c r="W30" s="158" t="s">
        <v>153</v>
      </c>
      <c r="X30" s="158" t="s">
        <v>153</v>
      </c>
      <c r="Y30" s="158" t="s">
        <v>153</v>
      </c>
      <c r="Z30" s="158">
        <v>-0.90100000000000002</v>
      </c>
      <c r="AA30" s="267" t="s">
        <v>153</v>
      </c>
      <c r="AB30" s="267" t="s">
        <v>153</v>
      </c>
    </row>
    <row r="31" spans="1:28">
      <c r="A31" s="297" t="s">
        <v>192</v>
      </c>
      <c r="B31" s="146" t="s">
        <v>187</v>
      </c>
      <c r="C31" s="166">
        <v>-9640</v>
      </c>
      <c r="D31" s="166">
        <v>-3483</v>
      </c>
      <c r="E31" s="166">
        <v>-5433</v>
      </c>
      <c r="F31" s="166">
        <v>-475</v>
      </c>
      <c r="H31" s="158">
        <v>-0.63900000000000001</v>
      </c>
      <c r="I31" s="158" t="s">
        <v>153</v>
      </c>
      <c r="J31" s="158">
        <v>0.91300000000000003</v>
      </c>
      <c r="L31" s="159">
        <v>0</v>
      </c>
      <c r="M31" s="145">
        <v>0</v>
      </c>
      <c r="N31" s="145">
        <v>0</v>
      </c>
      <c r="O31" s="145">
        <v>0</v>
      </c>
      <c r="P31" s="159">
        <v>0</v>
      </c>
      <c r="Q31" s="145">
        <v>0</v>
      </c>
      <c r="R31" s="145">
        <v>0</v>
      </c>
      <c r="S31" s="145">
        <v>-475</v>
      </c>
      <c r="T31" s="261">
        <v>0</v>
      </c>
      <c r="U31" s="180">
        <v>0</v>
      </c>
      <c r="W31" s="158" t="s">
        <v>153</v>
      </c>
      <c r="X31" s="158" t="s">
        <v>153</v>
      </c>
      <c r="Y31" s="158" t="s">
        <v>153</v>
      </c>
      <c r="Z31" s="158" t="s">
        <v>153</v>
      </c>
      <c r="AA31" s="267" t="s">
        <v>153</v>
      </c>
      <c r="AB31" s="267" t="s">
        <v>153</v>
      </c>
    </row>
    <row r="32" spans="1:28">
      <c r="A32" s="297" t="s">
        <v>59</v>
      </c>
      <c r="B32" s="146" t="s">
        <v>165</v>
      </c>
      <c r="C32" s="166"/>
      <c r="D32" s="166"/>
      <c r="E32" s="166">
        <v>8744</v>
      </c>
      <c r="F32" s="166">
        <v>-60411</v>
      </c>
      <c r="H32" s="158">
        <v>0</v>
      </c>
      <c r="I32" s="158">
        <v>0</v>
      </c>
      <c r="J32" s="158" t="s">
        <v>153</v>
      </c>
      <c r="L32" s="159">
        <v>7688</v>
      </c>
      <c r="M32" s="145">
        <v>170</v>
      </c>
      <c r="N32" s="145">
        <v>24900</v>
      </c>
      <c r="O32" s="145">
        <v>-29447</v>
      </c>
      <c r="P32" s="159">
        <v>-18124</v>
      </c>
      <c r="Q32" s="145">
        <v>-12526</v>
      </c>
      <c r="R32" s="145">
        <v>-24758</v>
      </c>
      <c r="S32" s="166">
        <v>17081</v>
      </c>
      <c r="T32" s="261">
        <v>-13951</v>
      </c>
      <c r="U32" s="180">
        <v>-5792</v>
      </c>
      <c r="W32" s="158">
        <v>-3.3570000000000002</v>
      </c>
      <c r="X32" s="158">
        <v>-74.682000000000002</v>
      </c>
      <c r="Y32" s="158">
        <v>-1.994</v>
      </c>
      <c r="Z32" s="158" t="s">
        <v>153</v>
      </c>
      <c r="AA32" s="267">
        <f>-ROUND(T32/P32-1,3)</f>
        <v>0.23</v>
      </c>
      <c r="AB32" s="267">
        <f>-ROUND(U32/Q32-1,3)</f>
        <v>0.53800000000000003</v>
      </c>
    </row>
    <row r="33" spans="1:28">
      <c r="A33" s="297" t="s">
        <v>235</v>
      </c>
      <c r="B33" s="146" t="s">
        <v>166</v>
      </c>
      <c r="C33" s="166">
        <v>0</v>
      </c>
      <c r="D33" s="166">
        <v>0</v>
      </c>
      <c r="E33" s="166">
        <v>0</v>
      </c>
      <c r="F33" s="166">
        <v>-8302</v>
      </c>
      <c r="H33" s="145">
        <v>0</v>
      </c>
      <c r="I33" s="145">
        <v>0</v>
      </c>
      <c r="J33" s="158" t="s">
        <v>153</v>
      </c>
      <c r="L33" s="159">
        <v>0</v>
      </c>
      <c r="M33" s="145">
        <v>0</v>
      </c>
      <c r="N33" s="145">
        <v>0</v>
      </c>
      <c r="O33" s="145">
        <v>0</v>
      </c>
      <c r="P33" s="159">
        <v>0</v>
      </c>
      <c r="Q33" s="145">
        <v>-7530</v>
      </c>
      <c r="R33" s="145">
        <v>-196</v>
      </c>
      <c r="S33" s="166">
        <v>-576</v>
      </c>
      <c r="T33" s="261">
        <v>0</v>
      </c>
      <c r="U33" s="180">
        <v>0</v>
      </c>
      <c r="W33" s="158">
        <v>0</v>
      </c>
      <c r="X33" s="158">
        <v>0</v>
      </c>
      <c r="Y33" s="158" t="s">
        <v>153</v>
      </c>
      <c r="Z33" s="158" t="s">
        <v>153</v>
      </c>
      <c r="AA33" s="267" t="s">
        <v>153</v>
      </c>
      <c r="AB33" s="267" t="s">
        <v>153</v>
      </c>
    </row>
    <row r="34" spans="1:28">
      <c r="A34" s="297" t="s">
        <v>236</v>
      </c>
      <c r="B34" s="146" t="s">
        <v>167</v>
      </c>
      <c r="C34" s="166">
        <v>-18929</v>
      </c>
      <c r="D34" s="166">
        <v>-15926</v>
      </c>
      <c r="E34" s="166">
        <v>-20261</v>
      </c>
      <c r="F34" s="166">
        <v>-26738</v>
      </c>
      <c r="H34" s="158">
        <v>-0.159</v>
      </c>
      <c r="I34" s="158">
        <v>0.27200000000000002</v>
      </c>
      <c r="J34" s="158">
        <v>-0.32</v>
      </c>
      <c r="L34" s="159">
        <v>-5172</v>
      </c>
      <c r="M34" s="145">
        <v>-4067</v>
      </c>
      <c r="N34" s="145">
        <v>-4450</v>
      </c>
      <c r="O34" s="145">
        <v>-6572</v>
      </c>
      <c r="P34" s="261">
        <v>0</v>
      </c>
      <c r="Q34" s="261">
        <v>0</v>
      </c>
      <c r="R34" s="145">
        <v>-7180</v>
      </c>
      <c r="S34" s="166">
        <v>-9526</v>
      </c>
      <c r="T34" s="261">
        <v>0</v>
      </c>
      <c r="U34" s="261">
        <v>0</v>
      </c>
      <c r="W34" s="158">
        <v>-0.113</v>
      </c>
      <c r="X34" s="158">
        <v>0.33800000000000002</v>
      </c>
      <c r="Y34" s="158">
        <v>0.61299999999999999</v>
      </c>
      <c r="Z34" s="158">
        <v>-0.44900000000000001</v>
      </c>
      <c r="AA34" s="267" t="s">
        <v>153</v>
      </c>
      <c r="AB34" s="267" t="s">
        <v>153</v>
      </c>
    </row>
    <row r="35" spans="1:28">
      <c r="A35" s="297" t="s">
        <v>237</v>
      </c>
      <c r="B35" s="146" t="s">
        <v>168</v>
      </c>
      <c r="C35" s="166">
        <v>0</v>
      </c>
      <c r="D35" s="166">
        <v>-8563</v>
      </c>
      <c r="E35" s="166">
        <v>-11133</v>
      </c>
      <c r="F35" s="166">
        <v>-18840</v>
      </c>
      <c r="H35" s="158">
        <v>0</v>
      </c>
      <c r="I35" s="158">
        <v>0.3</v>
      </c>
      <c r="J35" s="158">
        <v>-0.69199999999999995</v>
      </c>
      <c r="L35" s="159">
        <v>-2673</v>
      </c>
      <c r="M35" s="145">
        <v>-2235</v>
      </c>
      <c r="N35" s="145">
        <v>-2160</v>
      </c>
      <c r="O35" s="145">
        <v>-4065</v>
      </c>
      <c r="P35" s="261">
        <v>0</v>
      </c>
      <c r="Q35" s="261">
        <v>0</v>
      </c>
      <c r="R35" s="145">
        <v>-5796</v>
      </c>
      <c r="S35" s="166">
        <v>-5801</v>
      </c>
      <c r="T35" s="261">
        <v>0</v>
      </c>
      <c r="U35" s="261">
        <v>0</v>
      </c>
      <c r="W35" s="158">
        <v>-0.10100000000000001</v>
      </c>
      <c r="X35" s="158">
        <v>1.165</v>
      </c>
      <c r="Y35" s="158">
        <v>1.6830000000000001</v>
      </c>
      <c r="Z35" s="158">
        <v>-0.42699999999999999</v>
      </c>
      <c r="AA35" s="267" t="s">
        <v>153</v>
      </c>
      <c r="AB35" s="267" t="s">
        <v>153</v>
      </c>
    </row>
    <row r="36" spans="1:28">
      <c r="B36" s="161" t="s">
        <v>205</v>
      </c>
      <c r="C36" s="162">
        <v>-4985</v>
      </c>
      <c r="D36" s="162">
        <v>29929</v>
      </c>
      <c r="E36" s="162">
        <v>28350</v>
      </c>
      <c r="F36" s="162">
        <v>-87896</v>
      </c>
      <c r="H36" s="165">
        <v>-7.0039999999999996</v>
      </c>
      <c r="I36" s="165">
        <v>-5.2999999999999999E-2</v>
      </c>
      <c r="J36" s="163" t="s">
        <v>153</v>
      </c>
      <c r="L36" s="164">
        <v>-5348</v>
      </c>
      <c r="M36" s="162">
        <v>11956.585550000076</v>
      </c>
      <c r="N36" s="162">
        <v>8615.5030299999926</v>
      </c>
      <c r="O36" s="162">
        <v>13124.911419999931</v>
      </c>
      <c r="P36" s="262">
        <f>SUM(P6:P35)</f>
        <v>-44946</v>
      </c>
      <c r="Q36" s="262">
        <f>SUM(Q6:Q35)</f>
        <v>-35395</v>
      </c>
      <c r="R36" s="162">
        <v>-22734</v>
      </c>
      <c r="S36" s="162">
        <v>32455</v>
      </c>
      <c r="T36" s="262">
        <f>SUM(T6:T35)</f>
        <v>38551</v>
      </c>
      <c r="U36" s="262">
        <f>SUM(U6:U35)</f>
        <v>31752</v>
      </c>
      <c r="W36" s="163">
        <v>8.7119999999999997</v>
      </c>
      <c r="X36" s="163">
        <v>-4.82</v>
      </c>
      <c r="Y36" s="163" t="s">
        <v>153</v>
      </c>
      <c r="Z36" s="163">
        <v>1.4730000000000001</v>
      </c>
      <c r="AA36" s="268" t="s">
        <v>153</v>
      </c>
      <c r="AB36" s="268" t="s">
        <v>153</v>
      </c>
    </row>
    <row r="37" spans="1:28">
      <c r="C37" s="145"/>
      <c r="D37" s="145"/>
      <c r="E37" s="145"/>
      <c r="F37" s="145"/>
      <c r="H37" s="158"/>
      <c r="I37" s="158"/>
      <c r="J37" s="158"/>
      <c r="L37" s="159"/>
      <c r="M37" s="145"/>
      <c r="N37" s="145"/>
      <c r="O37" s="145"/>
      <c r="P37" s="159"/>
      <c r="Q37" s="145"/>
      <c r="R37" s="145"/>
      <c r="S37" s="145"/>
      <c r="T37" s="261"/>
      <c r="U37" s="180"/>
      <c r="W37" s="158"/>
      <c r="X37" s="158"/>
      <c r="Y37" s="158"/>
      <c r="Z37" s="158"/>
      <c r="AA37" s="267"/>
      <c r="AB37" s="267"/>
    </row>
    <row r="38" spans="1:28">
      <c r="B38" s="148" t="s">
        <v>78</v>
      </c>
      <c r="C38" s="145"/>
      <c r="D38" s="145"/>
      <c r="E38" s="145"/>
      <c r="F38" s="145"/>
      <c r="H38" s="158"/>
      <c r="I38" s="158"/>
      <c r="J38" s="158"/>
      <c r="L38" s="159"/>
      <c r="M38" s="145"/>
      <c r="N38" s="145"/>
      <c r="O38" s="145"/>
      <c r="P38" s="159"/>
      <c r="Q38" s="145"/>
      <c r="R38" s="145"/>
      <c r="S38" s="145"/>
      <c r="T38" s="261"/>
      <c r="U38" s="180"/>
      <c r="W38" s="158"/>
      <c r="X38" s="158"/>
      <c r="Y38" s="158"/>
      <c r="Z38" s="158"/>
      <c r="AA38" s="267"/>
      <c r="AB38" s="267"/>
    </row>
    <row r="39" spans="1:28">
      <c r="A39" s="297" t="s">
        <v>238</v>
      </c>
      <c r="B39" s="144" t="s">
        <v>169</v>
      </c>
      <c r="C39" s="145">
        <v>-8909</v>
      </c>
      <c r="D39" s="145">
        <v>-21559</v>
      </c>
      <c r="E39" s="145">
        <v>-35741</v>
      </c>
      <c r="F39" s="166">
        <v>-52641</v>
      </c>
      <c r="H39" s="158">
        <v>1.42</v>
      </c>
      <c r="I39" s="158">
        <v>0.65800000000000003</v>
      </c>
      <c r="J39" s="158">
        <v>-0.47299999999999998</v>
      </c>
      <c r="L39" s="159">
        <v>-5242</v>
      </c>
      <c r="M39" s="145">
        <v>-6070</v>
      </c>
      <c r="N39" s="145">
        <v>-8973</v>
      </c>
      <c r="O39" s="145">
        <v>-15456</v>
      </c>
      <c r="P39" s="159">
        <v>-9767</v>
      </c>
      <c r="Q39" s="145">
        <v>-15370</v>
      </c>
      <c r="R39" s="145">
        <v>-15615</v>
      </c>
      <c r="S39" s="145">
        <v>-11889</v>
      </c>
      <c r="T39" s="261">
        <v>-17384</v>
      </c>
      <c r="U39" s="180">
        <v>-6803</v>
      </c>
      <c r="W39" s="158">
        <v>0.86299999999999999</v>
      </c>
      <c r="X39" s="158">
        <v>1.532</v>
      </c>
      <c r="Y39" s="158">
        <v>0.74</v>
      </c>
      <c r="Z39" s="158">
        <v>-0.23100000000000001</v>
      </c>
      <c r="AA39" s="267">
        <f>-ROUND(T39/P39-1,3)</f>
        <v>-0.78</v>
      </c>
      <c r="AB39" s="267">
        <f>-ROUND(U39/Q39-1,3)</f>
        <v>0.55700000000000005</v>
      </c>
    </row>
    <row r="40" spans="1:28">
      <c r="A40" s="297"/>
      <c r="B40" s="144" t="s">
        <v>195</v>
      </c>
      <c r="C40" s="145">
        <v>-1500</v>
      </c>
      <c r="D40" s="145">
        <v>0</v>
      </c>
      <c r="E40" s="145">
        <v>-700</v>
      </c>
      <c r="F40" s="166">
        <v>-37050</v>
      </c>
      <c r="H40" s="158">
        <v>-1</v>
      </c>
      <c r="I40" s="158">
        <v>0</v>
      </c>
      <c r="J40" s="158">
        <v>-51.929000000000002</v>
      </c>
      <c r="L40" s="159">
        <v>0</v>
      </c>
      <c r="M40" s="145">
        <v>0</v>
      </c>
      <c r="N40" s="145">
        <v>-700</v>
      </c>
      <c r="O40" s="145">
        <v>0</v>
      </c>
      <c r="P40" s="159">
        <v>0</v>
      </c>
      <c r="Q40" s="145">
        <v>0</v>
      </c>
      <c r="R40" s="145">
        <v>0</v>
      </c>
      <c r="S40" s="145">
        <v>-38800</v>
      </c>
      <c r="T40" s="261">
        <v>0</v>
      </c>
      <c r="U40" s="180">
        <v>2714</v>
      </c>
      <c r="W40" s="158">
        <v>0</v>
      </c>
      <c r="X40" s="158">
        <v>0</v>
      </c>
      <c r="Y40" s="158">
        <v>-1</v>
      </c>
      <c r="Z40" s="158" t="s">
        <v>153</v>
      </c>
      <c r="AA40" s="267">
        <v>0</v>
      </c>
      <c r="AB40" s="267">
        <v>0</v>
      </c>
    </row>
    <row r="41" spans="1:28">
      <c r="A41" s="297" t="s">
        <v>240</v>
      </c>
      <c r="B41" s="144" t="s">
        <v>170</v>
      </c>
      <c r="C41" s="145">
        <v>-11806</v>
      </c>
      <c r="D41" s="145">
        <v>-50091</v>
      </c>
      <c r="E41" s="145">
        <v>-64551</v>
      </c>
      <c r="F41" s="166">
        <v>-164334</v>
      </c>
      <c r="H41" s="158">
        <v>3.2429999999999999</v>
      </c>
      <c r="I41" s="158">
        <v>0.28899999999999998</v>
      </c>
      <c r="J41" s="158">
        <v>-1.546</v>
      </c>
      <c r="L41" s="159">
        <v>-20514</v>
      </c>
      <c r="M41" s="145">
        <v>21300</v>
      </c>
      <c r="N41" s="145">
        <v>0</v>
      </c>
      <c r="O41" s="145">
        <v>-65337</v>
      </c>
      <c r="P41" s="159">
        <v>-7744</v>
      </c>
      <c r="Q41" s="145">
        <v>-132382</v>
      </c>
      <c r="R41" s="145">
        <v>-20007</v>
      </c>
      <c r="S41" s="145">
        <v>-4201</v>
      </c>
      <c r="T41" s="261">
        <v>-3693</v>
      </c>
      <c r="U41" s="180">
        <v>-22408</v>
      </c>
      <c r="W41" s="158">
        <v>-0.623</v>
      </c>
      <c r="X41" s="158" t="s">
        <v>153</v>
      </c>
      <c r="Y41" s="158">
        <v>0</v>
      </c>
      <c r="Z41" s="158">
        <v>-0.93600000000000005</v>
      </c>
      <c r="AA41" s="267">
        <f>-ROUND(T41/P41-1,3)</f>
        <v>0.52300000000000002</v>
      </c>
      <c r="AB41" s="267">
        <f>-ROUND(U41/Q41-1,3)</f>
        <v>0.83099999999999996</v>
      </c>
    </row>
    <row r="42" spans="1:28">
      <c r="A42" s="297" t="s">
        <v>239</v>
      </c>
      <c r="B42" s="144" t="s">
        <v>198</v>
      </c>
      <c r="C42" s="145">
        <v>0</v>
      </c>
      <c r="D42" s="145">
        <v>0</v>
      </c>
      <c r="E42" s="145">
        <v>0</v>
      </c>
      <c r="F42" s="166">
        <v>-1750</v>
      </c>
      <c r="H42" s="145">
        <v>0</v>
      </c>
      <c r="I42" s="145">
        <v>0</v>
      </c>
      <c r="J42" s="158" t="s">
        <v>153</v>
      </c>
      <c r="L42" s="159">
        <v>0</v>
      </c>
      <c r="M42" s="145">
        <v>0</v>
      </c>
      <c r="N42" s="145">
        <v>0</v>
      </c>
      <c r="O42" s="145">
        <v>0</v>
      </c>
      <c r="P42" s="159">
        <v>0</v>
      </c>
      <c r="Q42" s="145">
        <v>0</v>
      </c>
      <c r="R42" s="145">
        <v>0</v>
      </c>
      <c r="S42" s="145">
        <v>0</v>
      </c>
      <c r="T42" s="261">
        <v>0</v>
      </c>
      <c r="U42" s="180"/>
      <c r="W42" s="158"/>
      <c r="X42" s="158"/>
      <c r="Y42" s="158"/>
      <c r="Z42" s="158" t="s">
        <v>153</v>
      </c>
      <c r="AA42" s="267">
        <v>0</v>
      </c>
      <c r="AB42" s="267">
        <v>0</v>
      </c>
    </row>
    <row r="43" spans="1:28">
      <c r="A43" s="144" t="s">
        <v>180</v>
      </c>
      <c r="B43" s="144" t="s">
        <v>180</v>
      </c>
      <c r="C43" s="145">
        <v>0</v>
      </c>
      <c r="D43" s="145">
        <v>0</v>
      </c>
      <c r="E43" s="145">
        <v>0</v>
      </c>
      <c r="F43" s="166">
        <v>0</v>
      </c>
      <c r="H43" s="145">
        <v>0</v>
      </c>
      <c r="I43" s="145">
        <v>0</v>
      </c>
      <c r="J43" s="182" t="s">
        <v>153</v>
      </c>
      <c r="L43" s="159">
        <v>0</v>
      </c>
      <c r="M43" s="145">
        <v>0</v>
      </c>
      <c r="N43" s="145">
        <v>0</v>
      </c>
      <c r="O43" s="145">
        <v>0</v>
      </c>
      <c r="P43" s="159">
        <v>0</v>
      </c>
      <c r="Q43" s="145">
        <v>0</v>
      </c>
      <c r="R43" s="145">
        <v>-1750</v>
      </c>
      <c r="S43" s="145">
        <v>1750</v>
      </c>
      <c r="T43" s="261">
        <v>0</v>
      </c>
      <c r="U43" s="180"/>
      <c r="W43" s="158">
        <v>0</v>
      </c>
      <c r="X43" s="158">
        <v>0</v>
      </c>
      <c r="Y43" s="158">
        <v>0</v>
      </c>
      <c r="Z43" s="158" t="s">
        <v>153</v>
      </c>
      <c r="AA43" s="267">
        <v>0</v>
      </c>
      <c r="AB43" s="267">
        <v>0</v>
      </c>
    </row>
    <row r="44" spans="1:28">
      <c r="A44" s="144" t="s">
        <v>196</v>
      </c>
      <c r="B44" s="144" t="s">
        <v>196</v>
      </c>
      <c r="C44" s="145">
        <v>0</v>
      </c>
      <c r="D44" s="145">
        <v>0</v>
      </c>
      <c r="E44" s="145">
        <v>0</v>
      </c>
      <c r="F44" s="145">
        <v>0</v>
      </c>
      <c r="H44" s="158">
        <v>0</v>
      </c>
      <c r="I44" s="158">
        <v>0</v>
      </c>
      <c r="J44" s="158" t="s">
        <v>153</v>
      </c>
      <c r="L44" s="159">
        <v>0</v>
      </c>
      <c r="M44" s="145">
        <v>-22600</v>
      </c>
      <c r="N44" s="145">
        <v>0</v>
      </c>
      <c r="O44" s="145">
        <v>22600</v>
      </c>
      <c r="P44" s="159">
        <v>0</v>
      </c>
      <c r="Q44" s="145">
        <v>0</v>
      </c>
      <c r="R44" s="145">
        <v>0</v>
      </c>
      <c r="S44" s="145">
        <v>0</v>
      </c>
      <c r="T44" s="261">
        <v>0</v>
      </c>
      <c r="U44" s="180"/>
      <c r="W44" s="158">
        <v>0</v>
      </c>
      <c r="X44" s="158">
        <v>-1</v>
      </c>
      <c r="Y44" s="158">
        <v>0</v>
      </c>
      <c r="Z44" s="158">
        <v>-1</v>
      </c>
      <c r="AA44" s="267">
        <v>0</v>
      </c>
      <c r="AB44" s="267">
        <v>0</v>
      </c>
    </row>
    <row r="45" spans="1:28">
      <c r="A45" s="297" t="s">
        <v>241</v>
      </c>
      <c r="B45" s="144" t="s">
        <v>197</v>
      </c>
      <c r="C45" s="145">
        <v>33056</v>
      </c>
      <c r="D45" s="145">
        <v>0</v>
      </c>
      <c r="E45" s="145">
        <v>0</v>
      </c>
      <c r="F45" s="145">
        <v>0</v>
      </c>
      <c r="H45" s="158">
        <v>-1</v>
      </c>
      <c r="I45" s="158">
        <v>0</v>
      </c>
      <c r="J45" s="158" t="s">
        <v>153</v>
      </c>
      <c r="L45" s="159">
        <v>0</v>
      </c>
      <c r="M45" s="145">
        <v>0</v>
      </c>
      <c r="N45" s="145">
        <v>0</v>
      </c>
      <c r="O45" s="145">
        <v>0</v>
      </c>
      <c r="P45" s="159">
        <v>0</v>
      </c>
      <c r="Q45" s="145">
        <v>0</v>
      </c>
      <c r="R45" s="145">
        <v>0</v>
      </c>
      <c r="S45" s="145">
        <v>0</v>
      </c>
      <c r="T45" s="261">
        <v>0</v>
      </c>
      <c r="U45" s="180"/>
      <c r="W45" s="158">
        <v>0</v>
      </c>
      <c r="X45" s="158">
        <v>0</v>
      </c>
      <c r="Y45" s="158">
        <v>0</v>
      </c>
      <c r="Z45" s="158" t="s">
        <v>153</v>
      </c>
      <c r="AA45" s="267">
        <v>0</v>
      </c>
      <c r="AB45" s="267">
        <v>0</v>
      </c>
    </row>
    <row r="46" spans="1:28">
      <c r="B46" s="161" t="s">
        <v>175</v>
      </c>
      <c r="C46" s="162">
        <v>10841</v>
      </c>
      <c r="D46" s="162">
        <v>-71650</v>
      </c>
      <c r="E46" s="162">
        <v>-100992</v>
      </c>
      <c r="F46" s="162">
        <v>-255775</v>
      </c>
      <c r="H46" s="165">
        <v>-7.609</v>
      </c>
      <c r="I46" s="165">
        <v>0.41</v>
      </c>
      <c r="J46" s="165">
        <v>-1.5329999999999999</v>
      </c>
      <c r="L46" s="164">
        <v>-25756</v>
      </c>
      <c r="M46" s="162">
        <v>-7370</v>
      </c>
      <c r="N46" s="162">
        <v>-9673</v>
      </c>
      <c r="O46" s="162">
        <v>-58193</v>
      </c>
      <c r="P46" s="164">
        <v>-17511</v>
      </c>
      <c r="Q46" s="162">
        <v>-147752</v>
      </c>
      <c r="R46" s="162">
        <v>-37372</v>
      </c>
      <c r="S46" s="162">
        <v>-53140</v>
      </c>
      <c r="T46" s="262">
        <f>SUM(T39:T45)</f>
        <v>-21077</v>
      </c>
      <c r="U46" s="262">
        <f>SUM(U39:U45)</f>
        <v>-26497</v>
      </c>
      <c r="W46" s="163">
        <v>-0.32</v>
      </c>
      <c r="X46" s="163">
        <v>19.047999999999998</v>
      </c>
      <c r="Y46" s="163">
        <v>2.8639999999999999</v>
      </c>
      <c r="Z46" s="163">
        <v>8.6999999999999994E-2</v>
      </c>
      <c r="AA46" s="268">
        <f>-ROUND(T46/P46-1,3)</f>
        <v>-0.20399999999999999</v>
      </c>
      <c r="AB46" s="268">
        <f>-ROUND(U46/Q46-1,3)</f>
        <v>0.82099999999999995</v>
      </c>
    </row>
    <row r="47" spans="1:28">
      <c r="C47" s="145"/>
      <c r="D47" s="145"/>
      <c r="E47" s="145"/>
      <c r="F47" s="145"/>
      <c r="H47" s="158"/>
      <c r="I47" s="158"/>
      <c r="J47" s="158"/>
      <c r="L47" s="159"/>
      <c r="M47" s="145"/>
      <c r="N47" s="145"/>
      <c r="O47" s="145"/>
      <c r="P47" s="159"/>
      <c r="Q47" s="145"/>
      <c r="R47" s="145"/>
      <c r="S47" s="145"/>
      <c r="T47" s="261"/>
      <c r="U47" s="180"/>
      <c r="W47" s="158"/>
      <c r="X47" s="158"/>
      <c r="Y47" s="158"/>
      <c r="Z47" s="158"/>
      <c r="AA47" s="267"/>
      <c r="AB47" s="267"/>
    </row>
    <row r="48" spans="1:28">
      <c r="B48" s="148" t="s">
        <v>79</v>
      </c>
      <c r="C48" s="145"/>
      <c r="D48" s="145"/>
      <c r="E48" s="145"/>
      <c r="F48" s="145"/>
      <c r="H48" s="158"/>
      <c r="I48" s="158"/>
      <c r="J48" s="158"/>
      <c r="L48" s="159"/>
      <c r="M48" s="145"/>
      <c r="N48" s="145"/>
      <c r="O48" s="145"/>
      <c r="P48" s="159"/>
      <c r="Q48" s="145"/>
      <c r="R48" s="145"/>
      <c r="S48" s="145"/>
      <c r="T48" s="261"/>
      <c r="U48" s="180"/>
      <c r="W48" s="158"/>
      <c r="X48" s="158"/>
      <c r="Y48" s="158"/>
      <c r="Z48" s="158"/>
      <c r="AA48" s="267"/>
      <c r="AB48" s="267"/>
    </row>
    <row r="49" spans="1:28">
      <c r="A49" s="297" t="s">
        <v>242</v>
      </c>
      <c r="B49" s="144" t="s">
        <v>171</v>
      </c>
      <c r="C49" s="145">
        <v>42765</v>
      </c>
      <c r="D49" s="145">
        <v>242006</v>
      </c>
      <c r="E49" s="145">
        <v>278113</v>
      </c>
      <c r="F49" s="166">
        <v>170285</v>
      </c>
      <c r="H49" s="158">
        <v>4.6589999999999998</v>
      </c>
      <c r="I49" s="158">
        <v>0.14899999999999999</v>
      </c>
      <c r="J49" s="158">
        <v>-0.38800000000000001</v>
      </c>
      <c r="L49" s="159">
        <v>28221</v>
      </c>
      <c r="M49" s="145">
        <v>15000</v>
      </c>
      <c r="N49" s="145">
        <v>55002</v>
      </c>
      <c r="O49" s="145">
        <v>179890</v>
      </c>
      <c r="P49" s="159">
        <v>18958</v>
      </c>
      <c r="Q49" s="145">
        <v>125</v>
      </c>
      <c r="R49" s="145">
        <v>-1</v>
      </c>
      <c r="S49" s="145">
        <v>151203</v>
      </c>
      <c r="T49" s="261">
        <v>107462</v>
      </c>
      <c r="U49" s="145">
        <v>0</v>
      </c>
      <c r="V49" s="180"/>
      <c r="W49" s="158">
        <v>-0.32800000000000001</v>
      </c>
      <c r="X49" s="158">
        <v>-0.99199999999999999</v>
      </c>
      <c r="Y49" s="158" t="s">
        <v>153</v>
      </c>
      <c r="Z49" s="158">
        <v>-0.159</v>
      </c>
      <c r="AA49" s="267">
        <f t="shared" ref="AA49:AB53" si="2">ROUND(T49/P49-1,3)</f>
        <v>4.6680000000000001</v>
      </c>
      <c r="AB49" s="267">
        <f>ROUND(V49/Q49-1,3)</f>
        <v>-1</v>
      </c>
    </row>
    <row r="50" spans="1:28">
      <c r="A50" s="297" t="s">
        <v>243</v>
      </c>
      <c r="B50" s="144" t="s">
        <v>172</v>
      </c>
      <c r="C50" s="145">
        <v>-11653</v>
      </c>
      <c r="D50" s="145">
        <v>-138302</v>
      </c>
      <c r="E50" s="145">
        <v>-171871</v>
      </c>
      <c r="F50" s="166">
        <v>-199562</v>
      </c>
      <c r="H50" s="158">
        <v>10.868</v>
      </c>
      <c r="I50" s="158">
        <v>0.24299999999999999</v>
      </c>
      <c r="J50" s="158">
        <v>-0.161</v>
      </c>
      <c r="L50" s="159">
        <v>-17898</v>
      </c>
      <c r="M50" s="145">
        <v>-1834</v>
      </c>
      <c r="N50" s="145">
        <v>-3365</v>
      </c>
      <c r="O50" s="145">
        <v>-148774</v>
      </c>
      <c r="P50" s="159">
        <v>-1837</v>
      </c>
      <c r="Q50" s="145">
        <v>-25345</v>
      </c>
      <c r="R50" s="145">
        <v>-12543</v>
      </c>
      <c r="S50" s="145">
        <v>-159837</v>
      </c>
      <c r="T50" s="261">
        <v>-100357</v>
      </c>
      <c r="U50" s="145">
        <v>-339</v>
      </c>
      <c r="V50" s="180"/>
      <c r="W50" s="158">
        <v>-0.89700000000000002</v>
      </c>
      <c r="X50" s="158">
        <v>12.82</v>
      </c>
      <c r="Y50" s="158">
        <v>2.7269999999999999</v>
      </c>
      <c r="Z50" s="158">
        <v>-7.3999999999999996E-2</v>
      </c>
      <c r="AA50" s="267">
        <f>-ROUND(T50/P50-1,3)</f>
        <v>-53.631</v>
      </c>
      <c r="AB50" s="267">
        <f>-ROUND(V50/Q50-1,3)</f>
        <v>1</v>
      </c>
    </row>
    <row r="51" spans="1:28">
      <c r="A51" s="297" t="s">
        <v>244</v>
      </c>
      <c r="B51" s="144" t="s">
        <v>173</v>
      </c>
      <c r="C51" s="145">
        <v>0</v>
      </c>
      <c r="D51" s="145">
        <v>-16125</v>
      </c>
      <c r="E51" s="145">
        <v>-33214</v>
      </c>
      <c r="F51" s="166">
        <v>-49276</v>
      </c>
      <c r="H51" s="158">
        <v>0</v>
      </c>
      <c r="I51" s="158">
        <v>1.06</v>
      </c>
      <c r="J51" s="158">
        <v>-0.48399999999999999</v>
      </c>
      <c r="L51" s="159">
        <v>-5462</v>
      </c>
      <c r="M51" s="145">
        <v>-7169</v>
      </c>
      <c r="N51" s="145">
        <v>-8502</v>
      </c>
      <c r="O51" s="145">
        <v>-12081</v>
      </c>
      <c r="P51" s="159">
        <v>-12876</v>
      </c>
      <c r="Q51" s="145">
        <v>-12955</v>
      </c>
      <c r="R51" s="145">
        <v>-11727</v>
      </c>
      <c r="S51" s="145">
        <v>-11718</v>
      </c>
      <c r="T51" s="261">
        <v>-12006</v>
      </c>
      <c r="U51" s="145">
        <v>-14854</v>
      </c>
      <c r="W51" s="158">
        <v>1.357</v>
      </c>
      <c r="X51" s="158">
        <v>0.80700000000000005</v>
      </c>
      <c r="Y51" s="158">
        <v>0.379</v>
      </c>
      <c r="Z51" s="158">
        <v>-0.03</v>
      </c>
      <c r="AA51" s="267">
        <f>-ROUND(T51/P51-1,3)</f>
        <v>6.8000000000000005E-2</v>
      </c>
      <c r="AB51" s="267">
        <f>-ROUND(U51/Q51-1,3)</f>
        <v>-0.14699999999999999</v>
      </c>
    </row>
    <row r="52" spans="1:28">
      <c r="A52" s="297" t="s">
        <v>245</v>
      </c>
      <c r="B52" s="144" t="s">
        <v>217</v>
      </c>
      <c r="C52" s="145">
        <v>0</v>
      </c>
      <c r="D52" s="145">
        <v>7000</v>
      </c>
      <c r="E52" s="145">
        <v>320689</v>
      </c>
      <c r="F52" s="166">
        <v>206972</v>
      </c>
      <c r="H52" s="158">
        <v>0</v>
      </c>
      <c r="I52" s="158">
        <v>44.813000000000002</v>
      </c>
      <c r="J52" s="158">
        <v>-0.35499999999999998</v>
      </c>
      <c r="L52" s="159">
        <v>0</v>
      </c>
      <c r="M52" s="145">
        <v>0</v>
      </c>
      <c r="N52" s="145">
        <v>0</v>
      </c>
      <c r="O52" s="145">
        <v>320689</v>
      </c>
      <c r="P52" s="159">
        <v>4516</v>
      </c>
      <c r="Q52" s="145">
        <v>200352</v>
      </c>
      <c r="R52" s="145">
        <v>2104</v>
      </c>
      <c r="S52" s="145">
        <v>0</v>
      </c>
      <c r="T52" s="261">
        <v>718</v>
      </c>
      <c r="U52" s="145">
        <v>1028</v>
      </c>
      <c r="W52" s="158">
        <v>0</v>
      </c>
      <c r="X52" s="158">
        <v>0</v>
      </c>
      <c r="Y52" s="158" t="s">
        <v>153</v>
      </c>
      <c r="Z52" s="158">
        <v>-1</v>
      </c>
      <c r="AA52" s="267">
        <f t="shared" si="2"/>
        <v>-0.84099999999999997</v>
      </c>
      <c r="AB52" s="267">
        <f t="shared" si="2"/>
        <v>-0.995</v>
      </c>
    </row>
    <row r="53" spans="1:28">
      <c r="A53" s="297" t="s">
        <v>246</v>
      </c>
      <c r="B53" s="144" t="s">
        <v>218</v>
      </c>
      <c r="C53" s="145">
        <v>0</v>
      </c>
      <c r="D53" s="145">
        <v>-7500</v>
      </c>
      <c r="E53" s="145">
        <v>0</v>
      </c>
      <c r="F53" s="166">
        <v>-25000</v>
      </c>
      <c r="H53" s="158">
        <v>0</v>
      </c>
      <c r="I53" s="158">
        <v>-1</v>
      </c>
      <c r="J53" s="158" t="s">
        <v>153</v>
      </c>
      <c r="L53" s="159">
        <v>0</v>
      </c>
      <c r="M53" s="145">
        <v>0</v>
      </c>
      <c r="N53" s="145">
        <v>0</v>
      </c>
      <c r="O53" s="145">
        <v>0</v>
      </c>
      <c r="P53" s="159">
        <v>-25000</v>
      </c>
      <c r="Q53" s="145">
        <v>0</v>
      </c>
      <c r="R53" s="145">
        <v>0</v>
      </c>
      <c r="S53" s="145">
        <v>0</v>
      </c>
      <c r="T53" s="261">
        <v>0</v>
      </c>
      <c r="U53" s="180"/>
      <c r="W53" s="158">
        <v>0</v>
      </c>
      <c r="X53" s="158">
        <v>0</v>
      </c>
      <c r="Y53" s="158">
        <v>0</v>
      </c>
      <c r="Z53" s="158" t="s">
        <v>153</v>
      </c>
      <c r="AA53" s="267">
        <f t="shared" si="2"/>
        <v>-1</v>
      </c>
      <c r="AB53" s="267" t="e">
        <f t="shared" si="2"/>
        <v>#DIV/0!</v>
      </c>
    </row>
    <row r="54" spans="1:28">
      <c r="A54" s="297" t="s">
        <v>247</v>
      </c>
      <c r="B54" s="144" t="s">
        <v>174</v>
      </c>
      <c r="C54" s="145">
        <v>0</v>
      </c>
      <c r="D54" s="145">
        <v>-4269</v>
      </c>
      <c r="E54" s="145">
        <v>-3491</v>
      </c>
      <c r="F54" s="145">
        <v>0</v>
      </c>
      <c r="H54" s="158">
        <v>0</v>
      </c>
      <c r="I54" s="158">
        <v>-0.182</v>
      </c>
      <c r="J54" s="158">
        <v>-1</v>
      </c>
      <c r="L54" s="159">
        <v>-1163</v>
      </c>
      <c r="M54" s="145">
        <v>-2328</v>
      </c>
      <c r="N54" s="145">
        <v>0</v>
      </c>
      <c r="O54" s="145">
        <v>0</v>
      </c>
      <c r="P54" s="159">
        <v>0</v>
      </c>
      <c r="Q54" s="145">
        <v>0</v>
      </c>
      <c r="R54" s="145">
        <v>0</v>
      </c>
      <c r="S54" s="145">
        <v>0</v>
      </c>
      <c r="T54" s="261">
        <v>0</v>
      </c>
      <c r="U54" s="180"/>
      <c r="W54" s="158">
        <v>-1</v>
      </c>
      <c r="X54" s="158">
        <v>-1</v>
      </c>
      <c r="Y54" s="158">
        <v>0</v>
      </c>
      <c r="Z54" s="158" t="s">
        <v>153</v>
      </c>
      <c r="AA54" s="267">
        <v>0</v>
      </c>
      <c r="AB54" s="267">
        <v>0</v>
      </c>
    </row>
    <row r="55" spans="1:28">
      <c r="A55" s="144" t="s">
        <v>199</v>
      </c>
      <c r="B55" s="144" t="s">
        <v>199</v>
      </c>
      <c r="C55" s="145">
        <v>-6953</v>
      </c>
      <c r="D55" s="145">
        <v>0</v>
      </c>
      <c r="E55" s="145">
        <v>0</v>
      </c>
      <c r="F55" s="145">
        <v>0</v>
      </c>
      <c r="H55" s="158">
        <v>-1</v>
      </c>
      <c r="I55" s="158">
        <v>0</v>
      </c>
      <c r="J55" s="158" t="s">
        <v>153</v>
      </c>
      <c r="L55" s="159">
        <v>0</v>
      </c>
      <c r="M55" s="145">
        <v>0</v>
      </c>
      <c r="N55" s="145">
        <v>0</v>
      </c>
      <c r="O55" s="145">
        <v>0</v>
      </c>
      <c r="P55" s="159">
        <v>0</v>
      </c>
      <c r="Q55" s="145">
        <v>0</v>
      </c>
      <c r="R55" s="145">
        <v>0</v>
      </c>
      <c r="S55" s="145">
        <v>0</v>
      </c>
      <c r="T55" s="261">
        <v>0</v>
      </c>
      <c r="U55" s="180"/>
      <c r="W55" s="158">
        <v>0</v>
      </c>
      <c r="X55" s="158">
        <v>0</v>
      </c>
      <c r="Y55" s="158">
        <v>0</v>
      </c>
      <c r="Z55" s="158" t="s">
        <v>153</v>
      </c>
      <c r="AA55" s="267">
        <v>0</v>
      </c>
      <c r="AB55" s="267">
        <v>0</v>
      </c>
    </row>
    <row r="56" spans="1:28" s="326" customFormat="1">
      <c r="B56" s="146" t="s">
        <v>167</v>
      </c>
      <c r="C56" s="145"/>
      <c r="D56" s="145"/>
      <c r="E56" s="145"/>
      <c r="F56" s="145"/>
      <c r="G56" s="146"/>
      <c r="H56" s="158"/>
      <c r="I56" s="158"/>
      <c r="J56" s="158"/>
      <c r="K56" s="146"/>
      <c r="L56" s="159"/>
      <c r="M56" s="145"/>
      <c r="N56" s="145"/>
      <c r="O56" s="145"/>
      <c r="P56" s="159">
        <v>-4589</v>
      </c>
      <c r="Q56" s="145">
        <v>-5443</v>
      </c>
      <c r="R56" s="145"/>
      <c r="S56" s="145"/>
      <c r="T56" s="261">
        <v>-12381</v>
      </c>
      <c r="U56" s="180">
        <v>-13470</v>
      </c>
      <c r="V56" s="146"/>
      <c r="W56" s="158"/>
      <c r="X56" s="158"/>
      <c r="Y56" s="158"/>
      <c r="Z56" s="158"/>
      <c r="AA56" s="267"/>
      <c r="AB56" s="267"/>
    </row>
    <row r="57" spans="1:28" s="326" customFormat="1">
      <c r="B57" s="146" t="s">
        <v>168</v>
      </c>
      <c r="C57" s="145"/>
      <c r="D57" s="145"/>
      <c r="E57" s="145"/>
      <c r="F57" s="145"/>
      <c r="G57" s="146"/>
      <c r="H57" s="158"/>
      <c r="I57" s="158"/>
      <c r="J57" s="158"/>
      <c r="K57" s="146"/>
      <c r="L57" s="159"/>
      <c r="M57" s="145"/>
      <c r="N57" s="145"/>
      <c r="O57" s="145"/>
      <c r="P57" s="159">
        <v>-2404</v>
      </c>
      <c r="Q57" s="145">
        <v>-4839</v>
      </c>
      <c r="R57" s="145"/>
      <c r="S57" s="145"/>
      <c r="T57" s="261">
        <v>-5937</v>
      </c>
      <c r="U57" s="180">
        <v>-9123</v>
      </c>
      <c r="V57" s="146"/>
      <c r="W57" s="158"/>
      <c r="X57" s="158"/>
      <c r="Y57" s="158"/>
      <c r="Z57" s="158"/>
      <c r="AA57" s="267"/>
      <c r="AB57" s="267"/>
    </row>
    <row r="58" spans="1:28">
      <c r="B58" s="161" t="s">
        <v>80</v>
      </c>
      <c r="C58" s="162">
        <v>24159</v>
      </c>
      <c r="D58" s="162">
        <v>82810</v>
      </c>
      <c r="E58" s="162">
        <v>390226</v>
      </c>
      <c r="F58" s="162">
        <v>103419</v>
      </c>
      <c r="H58" s="165">
        <v>2.4279999999999999</v>
      </c>
      <c r="I58" s="165">
        <v>3.7120000000000002</v>
      </c>
      <c r="J58" s="165">
        <v>-0.73499999999999999</v>
      </c>
      <c r="L58" s="164">
        <v>3698</v>
      </c>
      <c r="M58" s="162">
        <v>3669</v>
      </c>
      <c r="N58" s="162">
        <v>43135</v>
      </c>
      <c r="O58" s="162">
        <v>339724</v>
      </c>
      <c r="P58" s="164">
        <v>-16239</v>
      </c>
      <c r="Q58" s="162">
        <v>162177</v>
      </c>
      <c r="R58" s="162">
        <v>-22167</v>
      </c>
      <c r="S58" s="162">
        <v>-20352</v>
      </c>
      <c r="T58" s="262">
        <f>SUM(T49:T57)</f>
        <v>-22501</v>
      </c>
      <c r="U58" s="262">
        <f>SUM(U49:U57)</f>
        <v>-36758</v>
      </c>
      <c r="W58" s="163">
        <v>-5.391</v>
      </c>
      <c r="X58" s="163">
        <v>43.201999999999998</v>
      </c>
      <c r="Y58" s="163" t="s">
        <v>153</v>
      </c>
      <c r="Z58" s="163" t="s">
        <v>153</v>
      </c>
      <c r="AA58" s="268">
        <f>-ROUND(T58/P58-1,3)</f>
        <v>-0.38600000000000001</v>
      </c>
      <c r="AB58" s="268">
        <f>-ROUND(U58/Q58-1,3)</f>
        <v>1.2270000000000001</v>
      </c>
    </row>
    <row r="59" spans="1:28">
      <c r="C59" s="145"/>
      <c r="D59" s="145"/>
      <c r="E59" s="145"/>
      <c r="F59" s="145"/>
      <c r="H59" s="158"/>
      <c r="I59" s="158"/>
      <c r="J59" s="158"/>
      <c r="L59" s="159"/>
      <c r="M59" s="145"/>
      <c r="N59" s="145"/>
      <c r="O59" s="145"/>
      <c r="P59" s="159"/>
      <c r="Q59" s="145"/>
      <c r="R59" s="145"/>
      <c r="S59" s="145"/>
      <c r="T59" s="261"/>
      <c r="U59" s="180"/>
      <c r="W59" s="158"/>
      <c r="X59" s="158"/>
      <c r="Y59" s="158"/>
      <c r="Z59" s="158"/>
      <c r="AA59" s="267"/>
      <c r="AB59" s="267"/>
    </row>
    <row r="60" spans="1:28" ht="14.5" customHeight="1">
      <c r="B60" s="170" t="s">
        <v>81</v>
      </c>
      <c r="C60" s="171">
        <v>30015</v>
      </c>
      <c r="D60" s="171">
        <v>41089</v>
      </c>
      <c r="E60" s="171">
        <v>317584</v>
      </c>
      <c r="F60" s="171">
        <v>-240252</v>
      </c>
      <c r="G60" s="155"/>
      <c r="H60" s="172">
        <v>0.36899999999999999</v>
      </c>
      <c r="I60" s="172">
        <v>6.7290000000000001</v>
      </c>
      <c r="J60" s="172" t="s">
        <v>153</v>
      </c>
      <c r="K60" s="155"/>
      <c r="L60" s="173">
        <v>-27406</v>
      </c>
      <c r="M60" s="171">
        <v>8255.5855500000762</v>
      </c>
      <c r="N60" s="171">
        <v>42077.503029999993</v>
      </c>
      <c r="O60" s="171">
        <v>294655.9114199999</v>
      </c>
      <c r="P60" s="173">
        <v>-85689</v>
      </c>
      <c r="Q60" s="171">
        <v>-31252</v>
      </c>
      <c r="R60" s="171">
        <v>-82273</v>
      </c>
      <c r="S60" s="171">
        <v>-41038</v>
      </c>
      <c r="T60" s="275">
        <f>SUM(T36,T46,T58)</f>
        <v>-5027</v>
      </c>
      <c r="U60" s="275">
        <f>SUM(U36,U46,U58)</f>
        <v>-31503</v>
      </c>
      <c r="V60" s="155"/>
      <c r="W60" s="172">
        <v>2.1269999999999998</v>
      </c>
      <c r="X60" s="172" t="s">
        <v>153</v>
      </c>
      <c r="Y60" s="172" t="s">
        <v>153</v>
      </c>
      <c r="Z60" s="172" t="s">
        <v>153</v>
      </c>
      <c r="AA60" s="278">
        <f>-ROUND(T60/P60-1,3)</f>
        <v>0.94099999999999995</v>
      </c>
      <c r="AB60" s="278">
        <f>-ROUND(U60/Q60-1,3)</f>
        <v>-8.0000000000000002E-3</v>
      </c>
    </row>
    <row r="61" spans="1:28">
      <c r="C61" s="145"/>
      <c r="D61" s="145"/>
      <c r="E61" s="145"/>
      <c r="F61" s="145"/>
      <c r="H61" s="160"/>
      <c r="I61" s="160"/>
      <c r="J61" s="160"/>
      <c r="L61" s="159"/>
      <c r="M61" s="145"/>
      <c r="N61" s="145"/>
      <c r="O61" s="145"/>
      <c r="P61" s="159"/>
      <c r="Q61" s="145"/>
      <c r="R61" s="145"/>
      <c r="S61" s="145"/>
      <c r="T61" s="261"/>
      <c r="U61" s="180"/>
      <c r="W61" s="160"/>
      <c r="X61" s="160"/>
      <c r="Y61" s="160"/>
      <c r="Z61" s="160"/>
      <c r="AA61" s="279"/>
      <c r="AB61" s="279"/>
    </row>
    <row r="62" spans="1:28">
      <c r="B62" s="148" t="s">
        <v>82</v>
      </c>
      <c r="C62" s="177">
        <v>20495</v>
      </c>
      <c r="D62" s="177">
        <v>50510</v>
      </c>
      <c r="E62" s="177">
        <v>91599</v>
      </c>
      <c r="F62" s="177">
        <v>409183</v>
      </c>
      <c r="G62" s="183"/>
      <c r="H62" s="178">
        <v>1.4650000000000001</v>
      </c>
      <c r="I62" s="178">
        <v>0.81299999999999994</v>
      </c>
      <c r="J62" s="178">
        <v>3.4670000000000001</v>
      </c>
      <c r="K62" s="183"/>
      <c r="L62" s="179">
        <v>91599</v>
      </c>
      <c r="M62" s="177">
        <v>64193</v>
      </c>
      <c r="N62" s="177">
        <v>72449</v>
      </c>
      <c r="O62" s="177">
        <v>114527</v>
      </c>
      <c r="P62" s="179">
        <v>409183</v>
      </c>
      <c r="Q62" s="177">
        <v>323494</v>
      </c>
      <c r="R62" s="177">
        <v>292242</v>
      </c>
      <c r="S62" s="177">
        <v>209969</v>
      </c>
      <c r="T62" s="264">
        <f>S63</f>
        <v>168931</v>
      </c>
      <c r="U62" s="264">
        <f>T63</f>
        <v>163904</v>
      </c>
      <c r="V62" s="183"/>
      <c r="W62" s="184">
        <v>3.4670000000000001</v>
      </c>
      <c r="X62" s="184">
        <v>4.0389999999999997</v>
      </c>
      <c r="Y62" s="184">
        <v>3.0339999999999998</v>
      </c>
      <c r="Z62" s="184">
        <v>0.83299999999999996</v>
      </c>
      <c r="AA62" s="271">
        <f t="shared" ref="AA62:AB63" si="3">ROUND(T62/P62-1,3)</f>
        <v>-0.58699999999999997</v>
      </c>
      <c r="AB62" s="271">
        <f t="shared" si="3"/>
        <v>-0.49299999999999999</v>
      </c>
    </row>
    <row r="63" spans="1:28">
      <c r="B63" s="148" t="s">
        <v>83</v>
      </c>
      <c r="C63" s="177">
        <v>50510</v>
      </c>
      <c r="D63" s="177">
        <v>91599</v>
      </c>
      <c r="E63" s="177">
        <v>409183</v>
      </c>
      <c r="F63" s="177">
        <v>168931</v>
      </c>
      <c r="G63" s="183"/>
      <c r="H63" s="178">
        <v>0.81299999999999994</v>
      </c>
      <c r="I63" s="178">
        <v>3.4670000000000001</v>
      </c>
      <c r="J63" s="178">
        <v>-0.58699999999999997</v>
      </c>
      <c r="K63" s="183"/>
      <c r="L63" s="179">
        <v>64193</v>
      </c>
      <c r="M63" s="177">
        <v>72449</v>
      </c>
      <c r="N63" s="177">
        <v>114527</v>
      </c>
      <c r="O63" s="177">
        <v>409183</v>
      </c>
      <c r="P63" s="179">
        <v>323494</v>
      </c>
      <c r="Q63" s="177">
        <v>292242</v>
      </c>
      <c r="R63" s="177">
        <v>209969</v>
      </c>
      <c r="S63" s="177">
        <v>168931</v>
      </c>
      <c r="T63" s="264">
        <f>T62+T60</f>
        <v>163904</v>
      </c>
      <c r="U63" s="264">
        <f>U62+U60</f>
        <v>132401</v>
      </c>
      <c r="V63" s="183"/>
      <c r="W63" s="184">
        <v>4.0389999999999997</v>
      </c>
      <c r="X63" s="184">
        <v>3.0339999999999998</v>
      </c>
      <c r="Y63" s="184">
        <v>0.83299999999999996</v>
      </c>
      <c r="Z63" s="184">
        <v>-0.58699999999999997</v>
      </c>
      <c r="AA63" s="271">
        <f t="shared" si="3"/>
        <v>-0.49299999999999999</v>
      </c>
      <c r="AB63" s="271">
        <f t="shared" si="3"/>
        <v>-0.54700000000000004</v>
      </c>
    </row>
    <row r="64" spans="1:28">
      <c r="B64" s="185"/>
      <c r="C64" s="186">
        <v>30015</v>
      </c>
      <c r="D64" s="186">
        <v>41089</v>
      </c>
      <c r="E64" s="186">
        <v>317584</v>
      </c>
      <c r="F64" s="187">
        <v>-240252</v>
      </c>
      <c r="H64" s="188">
        <v>0.36899999999999999</v>
      </c>
      <c r="I64" s="188">
        <v>6.7290000000000001</v>
      </c>
      <c r="J64" s="189" t="s">
        <v>153</v>
      </c>
      <c r="L64" s="190">
        <v>-27406</v>
      </c>
      <c r="M64" s="186">
        <v>8256</v>
      </c>
      <c r="N64" s="186">
        <v>42078</v>
      </c>
      <c r="O64" s="186">
        <v>294656</v>
      </c>
      <c r="P64" s="190">
        <v>-85689</v>
      </c>
      <c r="Q64" s="191">
        <v>-31252</v>
      </c>
      <c r="R64" s="191">
        <v>-82273</v>
      </c>
      <c r="S64" s="191">
        <v>-41038</v>
      </c>
      <c r="T64" s="276">
        <f>T63-T62</f>
        <v>-5027</v>
      </c>
      <c r="U64" s="276">
        <f>U63-U62</f>
        <v>-31503</v>
      </c>
      <c r="W64" s="189">
        <v>2.1269999999999998</v>
      </c>
      <c r="X64" s="189" t="s">
        <v>153</v>
      </c>
      <c r="Y64" s="189">
        <v>0.95499999999999996</v>
      </c>
      <c r="Z64" s="189" t="s">
        <v>153</v>
      </c>
      <c r="AA64" s="280">
        <f>-ROUND(T64/P64-1,3)</f>
        <v>0.94099999999999995</v>
      </c>
      <c r="AB64" s="280">
        <f>-ROUND(U64/Q64-1,3)</f>
        <v>-8.0000000000000002E-3</v>
      </c>
    </row>
    <row r="66" spans="3:21">
      <c r="C66" s="192">
        <f>C63-Balanço!C8</f>
        <v>0</v>
      </c>
      <c r="D66" s="192">
        <f>D63-Balanço!D8</f>
        <v>0</v>
      </c>
      <c r="E66" s="192">
        <f>E63-Balanço!E8</f>
        <v>0</v>
      </c>
      <c r="F66" s="192">
        <f>F63-Balanço!F8</f>
        <v>0</v>
      </c>
      <c r="G66" s="192"/>
      <c r="H66" s="192"/>
      <c r="I66" s="192"/>
      <c r="J66" s="192"/>
      <c r="K66" s="192"/>
      <c r="L66" s="192">
        <f>L63-Balanço!L8</f>
        <v>0</v>
      </c>
      <c r="M66" s="192">
        <f>M63-Balanço!M8</f>
        <v>0</v>
      </c>
      <c r="N66" s="192">
        <f>N63-Balanço!N8</f>
        <v>0</v>
      </c>
      <c r="O66" s="192">
        <f>O63-Balanço!O8</f>
        <v>0</v>
      </c>
      <c r="P66" s="192">
        <f>P63-Balanço!P8</f>
        <v>0</v>
      </c>
      <c r="Q66" s="192">
        <f>Q63-Balanço!Q8</f>
        <v>0</v>
      </c>
      <c r="R66" s="192">
        <f>R63-Balanço!R8</f>
        <v>0</v>
      </c>
      <c r="S66" s="192">
        <f>S63-Balanço!S8</f>
        <v>0</v>
      </c>
      <c r="T66" s="192">
        <f>T63-Balanço!T8</f>
        <v>0</v>
      </c>
      <c r="U66" s="19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Destaques</vt:lpstr>
      <vt:lpstr>Operacional</vt:lpstr>
      <vt:lpstr>CAPEX</vt:lpstr>
      <vt:lpstr>Endividamento</vt:lpstr>
      <vt:lpstr>DRE Conciliada</vt:lpstr>
      <vt:lpstr>DRE</vt:lpstr>
      <vt:lpstr>Balanço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Almeida Araujo</dc:creator>
  <cp:lastModifiedBy>Felipe Augusto Fogaça da Silva</cp:lastModifiedBy>
  <dcterms:created xsi:type="dcterms:W3CDTF">2015-06-05T18:19:34Z</dcterms:created>
  <dcterms:modified xsi:type="dcterms:W3CDTF">2022-08-11T21:38:19Z</dcterms:modified>
</cp:coreProperties>
</file>