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Z:\Divulgação\2022\2T22\Planilha de fundamentos\"/>
    </mc:Choice>
  </mc:AlternateContent>
  <xr:revisionPtr revIDLastSave="0" documentId="13_ncr:1_{04D802BF-AD5E-4F85-8B16-50907FE384EF}" xr6:coauthVersionLast="47" xr6:coauthVersionMax="47" xr10:uidLastSave="{00000000-0000-0000-0000-000000000000}"/>
  <bookViews>
    <workbookView xWindow="-110" yWindow="-110" windowWidth="19420" windowHeight="10420" tabRatio="903" activeTab="4" xr2:uid="{00000000-000D-0000-FFFF-FFFF00000000}"/>
  </bookViews>
  <sheets>
    <sheet name="Highlights" sheetId="4" r:id="rId1"/>
    <sheet name="Operational" sheetId="5" r:id="rId2"/>
    <sheet name="CAPEX" sheetId="9" r:id="rId3"/>
    <sheet name="Indebtedness" sheetId="7" r:id="rId4"/>
    <sheet name="P&amp;L Reconciliation" sheetId="8" r:id="rId5"/>
    <sheet name="Income Statement" sheetId="10" r:id="rId6"/>
    <sheet name="Balance Sheet" sheetId="1" r:id="rId7"/>
    <sheet name="Cash Flows " sheetId="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Z51" i="8" l="1"/>
  <c r="Z50" i="8"/>
  <c r="Z47" i="8"/>
  <c r="Z46" i="8"/>
  <c r="Z45" i="8"/>
  <c r="Z43" i="8"/>
  <c r="Z42" i="8"/>
  <c r="Z41" i="8"/>
  <c r="Z40" i="8"/>
  <c r="Z38" i="8"/>
  <c r="Z37" i="8"/>
  <c r="Z36" i="8"/>
  <c r="Z35" i="8"/>
  <c r="Z34" i="8"/>
  <c r="Z33" i="8"/>
  <c r="Z32" i="8"/>
  <c r="Z31" i="8"/>
  <c r="Z30" i="8"/>
  <c r="Z29" i="8"/>
  <c r="Z28" i="8"/>
  <c r="Z23" i="8"/>
  <c r="Z22" i="8"/>
  <c r="Z20" i="8"/>
  <c r="Z19" i="8"/>
  <c r="Z17" i="8"/>
  <c r="Z16" i="8"/>
  <c r="Z15" i="8"/>
  <c r="Z14" i="8"/>
  <c r="Z13" i="8"/>
  <c r="Z12" i="8"/>
  <c r="Z11" i="8"/>
  <c r="Z10" i="8"/>
  <c r="Z9" i="8"/>
  <c r="Z8" i="8"/>
  <c r="Z7" i="8"/>
  <c r="Z6" i="8"/>
  <c r="AA48" i="1" l="1"/>
  <c r="AA46" i="1"/>
  <c r="AA45" i="1"/>
  <c r="AA44" i="1"/>
  <c r="AA43" i="1"/>
  <c r="AA42" i="1"/>
  <c r="AA41" i="1"/>
  <c r="AA40" i="1"/>
  <c r="AA38" i="1"/>
  <c r="AA37" i="1"/>
  <c r="AA36" i="1"/>
  <c r="AA35" i="1"/>
  <c r="AA34" i="1"/>
  <c r="AA33" i="1"/>
  <c r="AA32" i="1"/>
  <c r="AA31" i="1"/>
  <c r="AA29" i="1"/>
  <c r="AA27" i="1"/>
  <c r="AA26" i="1"/>
  <c r="AA25" i="1"/>
  <c r="AA24" i="1"/>
  <c r="AA22" i="1"/>
  <c r="AA21" i="1"/>
  <c r="AA20" i="1"/>
  <c r="AA19" i="1"/>
  <c r="AA18" i="1"/>
  <c r="AA17" i="1"/>
  <c r="AA16" i="1"/>
  <c r="AA14" i="1"/>
  <c r="AA13" i="1"/>
  <c r="AA12" i="1"/>
  <c r="AA11" i="1"/>
  <c r="AA9" i="1"/>
  <c r="AA8" i="1"/>
  <c r="AA7" i="1"/>
  <c r="AA5" i="1"/>
  <c r="R50" i="8" l="1"/>
  <c r="R47" i="8"/>
  <c r="R46" i="8"/>
  <c r="R45" i="8"/>
  <c r="R44" i="8"/>
  <c r="S50" i="8"/>
  <c r="S47" i="8"/>
  <c r="S46" i="8"/>
  <c r="S45" i="8"/>
  <c r="S44" i="8"/>
  <c r="S41" i="8"/>
  <c r="S37" i="8"/>
  <c r="S32" i="8"/>
  <c r="S43" i="8" s="1"/>
  <c r="S29" i="8"/>
  <c r="S28" i="8"/>
  <c r="S20" i="8"/>
  <c r="S14" i="8"/>
  <c r="S36" i="8" s="1"/>
  <c r="S8" i="8"/>
  <c r="S13" i="8" s="1"/>
  <c r="AA12" i="10"/>
  <c r="AA53" i="10"/>
  <c r="AA48" i="10"/>
  <c r="AA45" i="10"/>
  <c r="AA37" i="10"/>
  <c r="AA33" i="10"/>
  <c r="AA24" i="10"/>
  <c r="AA23" i="10"/>
  <c r="AA19" i="10"/>
  <c r="AA18" i="10"/>
  <c r="AA11" i="10"/>
  <c r="AA6" i="10"/>
  <c r="AA5" i="10"/>
  <c r="Z53" i="10"/>
  <c r="Z48" i="10"/>
  <c r="T31" i="10"/>
  <c r="AA31" i="10" s="1"/>
  <c r="T17" i="10"/>
  <c r="T32" i="10" s="1"/>
  <c r="AA32" i="10" s="1"/>
  <c r="T10" i="10"/>
  <c r="AA10" i="10" s="1"/>
  <c r="T8" i="10"/>
  <c r="AA8" i="10" s="1"/>
  <c r="T50" i="1"/>
  <c r="T40" i="1"/>
  <c r="T31" i="1"/>
  <c r="T7" i="1"/>
  <c r="T5" i="1" s="1"/>
  <c r="T16" i="1"/>
  <c r="AA52" i="3"/>
  <c r="AA51" i="3"/>
  <c r="AA50" i="3"/>
  <c r="AA49" i="3"/>
  <c r="AA41" i="3"/>
  <c r="AA39" i="3"/>
  <c r="AA32" i="3"/>
  <c r="AA27" i="3"/>
  <c r="AA26" i="3"/>
  <c r="AA23" i="3"/>
  <c r="AA17" i="3"/>
  <c r="AA16" i="3"/>
  <c r="AA15" i="3"/>
  <c r="AA13" i="3"/>
  <c r="AA11" i="3"/>
  <c r="AA9" i="3"/>
  <c r="AA6" i="3"/>
  <c r="T62" i="3"/>
  <c r="AA62" i="3" s="1"/>
  <c r="B60" i="3"/>
  <c r="C60" i="3"/>
  <c r="D60" i="3"/>
  <c r="E60" i="3"/>
  <c r="K60" i="3"/>
  <c r="L60" i="3"/>
  <c r="M60" i="3"/>
  <c r="N60" i="3"/>
  <c r="O60" i="3"/>
  <c r="P60" i="3"/>
  <c r="Q60" i="3"/>
  <c r="R60" i="3"/>
  <c r="S60" i="3"/>
  <c r="T58" i="3"/>
  <c r="AA58" i="3" s="1"/>
  <c r="T46" i="3"/>
  <c r="AA46" i="3" s="1"/>
  <c r="T36" i="3"/>
  <c r="S35" i="8" l="1"/>
  <c r="S21" i="8"/>
  <c r="S23" i="8" s="1"/>
  <c r="S31" i="8"/>
  <c r="S30" i="8" s="1"/>
  <c r="S34" i="8" s="1"/>
  <c r="S40" i="8" s="1"/>
  <c r="S42" i="8" s="1"/>
  <c r="S51" i="8" s="1"/>
  <c r="T15" i="10"/>
  <c r="T29" i="1"/>
  <c r="T60" i="3"/>
  <c r="T63" i="3" l="1"/>
  <c r="AA60" i="3"/>
  <c r="T21" i="10"/>
  <c r="AA15" i="10"/>
  <c r="T26" i="10" l="1"/>
  <c r="T64" i="3"/>
  <c r="AA64" i="3" s="1"/>
  <c r="AA63" i="3"/>
  <c r="Z14" i="7"/>
  <c r="Z12" i="7"/>
  <c r="Z10" i="7"/>
  <c r="Z9" i="7"/>
  <c r="S8" i="7"/>
  <c r="Z8" i="7" s="1"/>
  <c r="Y10" i="9"/>
  <c r="Y9" i="9"/>
  <c r="Y8" i="9"/>
  <c r="Y7" i="9"/>
  <c r="Y4" i="9"/>
  <c r="R5" i="9"/>
  <c r="Y5" i="9" s="1"/>
  <c r="Y15" i="5"/>
  <c r="Y14" i="5"/>
  <c r="Y11" i="5"/>
  <c r="Y10" i="5"/>
  <c r="Y7" i="5"/>
  <c r="Y6" i="5"/>
  <c r="Y5" i="5"/>
  <c r="Y4" i="5"/>
  <c r="R9" i="5"/>
  <c r="Y9" i="5" s="1"/>
  <c r="R4" i="5"/>
  <c r="Y20" i="4"/>
  <c r="Y18" i="4"/>
  <c r="Y16" i="4"/>
  <c r="Y15" i="4"/>
  <c r="Y14" i="4"/>
  <c r="Y12" i="4"/>
  <c r="Y11" i="4"/>
  <c r="Y9" i="4"/>
  <c r="Y8" i="4"/>
  <c r="Y7" i="4"/>
  <c r="Y6" i="4"/>
  <c r="Y5" i="4"/>
  <c r="Y4" i="4"/>
  <c r="R19" i="4"/>
  <c r="Y19" i="4" s="1"/>
  <c r="R17" i="4"/>
  <c r="Y17" i="4" s="1"/>
  <c r="R15" i="4"/>
  <c r="R13" i="4"/>
  <c r="Y13" i="4" s="1"/>
  <c r="R10" i="4"/>
  <c r="Y10" i="4" s="1"/>
  <c r="R6" i="4"/>
  <c r="E44" i="8"/>
  <c r="Z45" i="10"/>
  <c r="Z37" i="10"/>
  <c r="Z33" i="10"/>
  <c r="S31" i="10"/>
  <c r="Z31" i="10" s="1"/>
  <c r="E30" i="10"/>
  <c r="Z24" i="10"/>
  <c r="Z23" i="10"/>
  <c r="O21" i="10"/>
  <c r="O26" i="10" s="1"/>
  <c r="N21" i="10"/>
  <c r="N26" i="10" s="1"/>
  <c r="M21" i="10"/>
  <c r="M26" i="10" s="1"/>
  <c r="L21" i="10"/>
  <c r="L26" i="10" s="1"/>
  <c r="K21" i="10"/>
  <c r="K26" i="10" s="1"/>
  <c r="E21" i="10"/>
  <c r="E26" i="10" s="1"/>
  <c r="D21" i="10"/>
  <c r="D26" i="10" s="1"/>
  <c r="C21" i="10"/>
  <c r="C26" i="10" s="1"/>
  <c r="B21" i="10"/>
  <c r="B26" i="10" s="1"/>
  <c r="Z19" i="10"/>
  <c r="Z18" i="10"/>
  <c r="S17" i="10"/>
  <c r="Z17" i="10" s="1"/>
  <c r="R17" i="10"/>
  <c r="R21" i="10" s="1"/>
  <c r="R26" i="10" s="1"/>
  <c r="Q17" i="10"/>
  <c r="Q21" i="10" s="1"/>
  <c r="Q26" i="10" s="1"/>
  <c r="P17" i="10"/>
  <c r="Z11" i="10"/>
  <c r="S10" i="10"/>
  <c r="S8" i="10"/>
  <c r="Z8" i="10" s="1"/>
  <c r="R8" i="10"/>
  <c r="Z6" i="10"/>
  <c r="Z5" i="10"/>
  <c r="Y19" i="8"/>
  <c r="X19" i="8"/>
  <c r="W19" i="8"/>
  <c r="V19" i="8"/>
  <c r="U19" i="8"/>
  <c r="H19" i="8"/>
  <c r="G19" i="8"/>
  <c r="Y17" i="8"/>
  <c r="X17" i="8"/>
  <c r="W17" i="8"/>
  <c r="V17" i="8"/>
  <c r="U17" i="8"/>
  <c r="H17" i="8"/>
  <c r="G17" i="8"/>
  <c r="Y16" i="8"/>
  <c r="X16" i="8"/>
  <c r="W16" i="8"/>
  <c r="V16" i="8"/>
  <c r="U16" i="8"/>
  <c r="H16" i="8"/>
  <c r="G16" i="8"/>
  <c r="Y15" i="8"/>
  <c r="X15" i="8"/>
  <c r="W15" i="8"/>
  <c r="V15" i="8"/>
  <c r="U15" i="8"/>
  <c r="H15" i="8"/>
  <c r="Q50" i="8"/>
  <c r="P50" i="8"/>
  <c r="O50" i="8"/>
  <c r="N50" i="8"/>
  <c r="Y50" i="8" s="1"/>
  <c r="M50" i="8"/>
  <c r="L50" i="8"/>
  <c r="K50" i="8"/>
  <c r="J50" i="8"/>
  <c r="E50" i="8"/>
  <c r="D50" i="8"/>
  <c r="C50" i="8"/>
  <c r="X47" i="8"/>
  <c r="W47" i="8"/>
  <c r="U47" i="8"/>
  <c r="Y47" i="8"/>
  <c r="H47" i="8"/>
  <c r="G47" i="8"/>
  <c r="Q46" i="8"/>
  <c r="P46" i="8"/>
  <c r="O46" i="8"/>
  <c r="N46" i="8"/>
  <c r="M46" i="8"/>
  <c r="L46" i="8"/>
  <c r="K46" i="8"/>
  <c r="J46" i="8"/>
  <c r="E46" i="8"/>
  <c r="D46" i="8"/>
  <c r="C46" i="8"/>
  <c r="X45" i="8"/>
  <c r="W45" i="8"/>
  <c r="V45" i="8"/>
  <c r="U45" i="8"/>
  <c r="Y45" i="8"/>
  <c r="H45" i="8"/>
  <c r="G45" i="8"/>
  <c r="E42" i="8"/>
  <c r="D42" i="8"/>
  <c r="C42" i="8"/>
  <c r="X41" i="8"/>
  <c r="W41" i="8"/>
  <c r="V41" i="8"/>
  <c r="U41" i="8"/>
  <c r="R41" i="8"/>
  <c r="Y41" i="8" s="1"/>
  <c r="H41" i="8"/>
  <c r="G41" i="8"/>
  <c r="Y38" i="8"/>
  <c r="X38" i="8"/>
  <c r="W38" i="8"/>
  <c r="U38" i="8"/>
  <c r="H38" i="8"/>
  <c r="G38" i="8"/>
  <c r="R37" i="8"/>
  <c r="O37" i="8"/>
  <c r="N37" i="8"/>
  <c r="M37" i="8"/>
  <c r="L37" i="8"/>
  <c r="W37" i="8" s="1"/>
  <c r="K37" i="8"/>
  <c r="J37" i="8"/>
  <c r="E37" i="8"/>
  <c r="D37" i="8"/>
  <c r="C37" i="8"/>
  <c r="R36" i="8"/>
  <c r="Q36" i="8"/>
  <c r="P36" i="8"/>
  <c r="O36" i="8"/>
  <c r="N36" i="8"/>
  <c r="M36" i="8"/>
  <c r="L36" i="8"/>
  <c r="K36" i="8"/>
  <c r="J36" i="8"/>
  <c r="E36" i="8"/>
  <c r="D36" i="8"/>
  <c r="C36" i="8"/>
  <c r="W35" i="8"/>
  <c r="V35" i="8"/>
  <c r="U35" i="8"/>
  <c r="Q35" i="8"/>
  <c r="X35" i="8" s="1"/>
  <c r="H35" i="8"/>
  <c r="G35" i="8"/>
  <c r="E34" i="8"/>
  <c r="D34" i="8"/>
  <c r="C34" i="8"/>
  <c r="Y33" i="8"/>
  <c r="X33" i="8"/>
  <c r="W33" i="8"/>
  <c r="V33" i="8"/>
  <c r="U33" i="8"/>
  <c r="H33" i="8"/>
  <c r="G33" i="8"/>
  <c r="R32" i="8"/>
  <c r="Q32" i="8"/>
  <c r="Q43" i="8" s="1"/>
  <c r="P32" i="8"/>
  <c r="P43" i="8" s="1"/>
  <c r="O32" i="8"/>
  <c r="N32" i="8"/>
  <c r="M32" i="8"/>
  <c r="L32" i="8"/>
  <c r="K32" i="8"/>
  <c r="J32" i="8"/>
  <c r="J43" i="8" s="1"/>
  <c r="E32" i="8"/>
  <c r="D32" i="8"/>
  <c r="C32" i="8"/>
  <c r="R31" i="8"/>
  <c r="Q31" i="8"/>
  <c r="P31" i="8"/>
  <c r="O31" i="8"/>
  <c r="N31" i="8"/>
  <c r="M31" i="8"/>
  <c r="L31" i="8"/>
  <c r="K31" i="8"/>
  <c r="J31" i="8"/>
  <c r="E31" i="8"/>
  <c r="D31" i="8"/>
  <c r="C31" i="8"/>
  <c r="H30" i="8"/>
  <c r="G30" i="8"/>
  <c r="X29" i="8"/>
  <c r="W29" i="8"/>
  <c r="V29" i="8"/>
  <c r="U29" i="8"/>
  <c r="R29" i="8"/>
  <c r="Y29" i="8" s="1"/>
  <c r="H29" i="8"/>
  <c r="G29" i="8"/>
  <c r="X28" i="8"/>
  <c r="W28" i="8"/>
  <c r="V28" i="8"/>
  <c r="U28" i="8"/>
  <c r="R28" i="8"/>
  <c r="Y28" i="8" s="1"/>
  <c r="H28" i="8"/>
  <c r="G28" i="8"/>
  <c r="E13" i="7"/>
  <c r="D13" i="7"/>
  <c r="C13" i="7"/>
  <c r="Y13" i="7"/>
  <c r="T13" i="4"/>
  <c r="Q13" i="4"/>
  <c r="P13" i="4"/>
  <c r="O13" i="4"/>
  <c r="N13" i="4"/>
  <c r="M13" i="4"/>
  <c r="L13" i="4"/>
  <c r="K13" i="4"/>
  <c r="J13" i="4"/>
  <c r="I13" i="4"/>
  <c r="D13" i="4"/>
  <c r="G13" i="4" s="1"/>
  <c r="C13" i="4"/>
  <c r="F13" i="4" s="1"/>
  <c r="B13" i="4"/>
  <c r="X12" i="4"/>
  <c r="W12" i="4"/>
  <c r="V12" i="4"/>
  <c r="U12" i="4"/>
  <c r="T12" i="4"/>
  <c r="G12" i="4"/>
  <c r="F12" i="4"/>
  <c r="X14" i="4"/>
  <c r="W14" i="4"/>
  <c r="V14" i="4"/>
  <c r="U14" i="4"/>
  <c r="T14" i="4"/>
  <c r="D14" i="4"/>
  <c r="C14" i="4"/>
  <c r="F14" i="4" s="1"/>
  <c r="X20" i="4"/>
  <c r="W20" i="4"/>
  <c r="V20" i="4"/>
  <c r="U20" i="4"/>
  <c r="T20" i="4"/>
  <c r="G20" i="4"/>
  <c r="X31" i="8" l="1"/>
  <c r="R43" i="8"/>
  <c r="Q30" i="8"/>
  <c r="Q34" i="8" s="1"/>
  <c r="Q40" i="8" s="1"/>
  <c r="Q42" i="8" s="1"/>
  <c r="Q51" i="8" s="1"/>
  <c r="H36" i="8"/>
  <c r="U32" i="8"/>
  <c r="P21" i="10"/>
  <c r="AA17" i="10"/>
  <c r="S13" i="7"/>
  <c r="T29" i="10"/>
  <c r="T44" i="10"/>
  <c r="G36" i="8"/>
  <c r="G32" i="8"/>
  <c r="Y46" i="8"/>
  <c r="Y32" i="8"/>
  <c r="W31" i="8"/>
  <c r="Y36" i="8"/>
  <c r="R35" i="8"/>
  <c r="P30" i="8"/>
  <c r="P34" i="8" s="1"/>
  <c r="P40" i="8" s="1"/>
  <c r="P42" i="8" s="1"/>
  <c r="P51" i="8" s="1"/>
  <c r="H32" i="8"/>
  <c r="X36" i="8"/>
  <c r="M43" i="8"/>
  <c r="X43" i="8" s="1"/>
  <c r="H31" i="8"/>
  <c r="U37" i="8"/>
  <c r="J30" i="8"/>
  <c r="J34" i="8" s="1"/>
  <c r="J40" i="8" s="1"/>
  <c r="J42" i="8" s="1"/>
  <c r="J51" i="8" s="1"/>
  <c r="Y31" i="8"/>
  <c r="L30" i="8"/>
  <c r="L34" i="8" s="1"/>
  <c r="L40" i="8" s="1"/>
  <c r="L42" i="8" s="1"/>
  <c r="O43" i="8"/>
  <c r="L43" i="8"/>
  <c r="W43" i="8" s="1"/>
  <c r="K30" i="8"/>
  <c r="K34" i="8" s="1"/>
  <c r="K40" i="8" s="1"/>
  <c r="K42" i="8" s="1"/>
  <c r="U31" i="8"/>
  <c r="V32" i="8"/>
  <c r="G37" i="8"/>
  <c r="Y37" i="8"/>
  <c r="G46" i="8"/>
  <c r="W46" i="8"/>
  <c r="G34" i="8"/>
  <c r="V31" i="8"/>
  <c r="W32" i="8"/>
  <c r="U36" i="8"/>
  <c r="X37" i="8"/>
  <c r="X46" i="8"/>
  <c r="C43" i="8"/>
  <c r="C51" i="8" s="1"/>
  <c r="G31" i="8"/>
  <c r="X32" i="8"/>
  <c r="V36" i="8"/>
  <c r="W36" i="8"/>
  <c r="K43" i="8"/>
  <c r="H50" i="8"/>
  <c r="S15" i="10"/>
  <c r="Z15" i="10" s="1"/>
  <c r="R29" i="10"/>
  <c r="R34" i="10" s="1"/>
  <c r="R44" i="10"/>
  <c r="R46" i="10" s="1"/>
  <c r="R54" i="10" s="1"/>
  <c r="R55" i="10" s="1"/>
  <c r="K44" i="10"/>
  <c r="K46" i="10" s="1"/>
  <c r="K54" i="10" s="1"/>
  <c r="K55" i="10" s="1"/>
  <c r="K29" i="10"/>
  <c r="K34" i="10" s="1"/>
  <c r="L29" i="10"/>
  <c r="L34" i="10" s="1"/>
  <c r="L44" i="10"/>
  <c r="L46" i="10" s="1"/>
  <c r="L54" i="10" s="1"/>
  <c r="L55" i="10" s="1"/>
  <c r="Q44" i="10"/>
  <c r="Q46" i="10" s="1"/>
  <c r="Q54" i="10" s="1"/>
  <c r="Q55" i="10" s="1"/>
  <c r="Q29" i="10"/>
  <c r="Q34" i="10" s="1"/>
  <c r="M29" i="10"/>
  <c r="M34" i="10" s="1"/>
  <c r="M44" i="10"/>
  <c r="M46" i="10" s="1"/>
  <c r="M54" i="10" s="1"/>
  <c r="M55" i="10" s="1"/>
  <c r="D44" i="10"/>
  <c r="D46" i="10" s="1"/>
  <c r="D54" i="10" s="1"/>
  <c r="D55" i="10" s="1"/>
  <c r="D29" i="10"/>
  <c r="D34" i="10" s="1"/>
  <c r="N44" i="10"/>
  <c r="N46" i="10" s="1"/>
  <c r="N54" i="10" s="1"/>
  <c r="N55" i="10" s="1"/>
  <c r="N29" i="10"/>
  <c r="N34" i="10" s="1"/>
  <c r="E29" i="10"/>
  <c r="E34" i="10" s="1"/>
  <c r="E44" i="10"/>
  <c r="E46" i="10" s="1"/>
  <c r="E54" i="10" s="1"/>
  <c r="E55" i="10" s="1"/>
  <c r="B44" i="10"/>
  <c r="B46" i="10" s="1"/>
  <c r="B54" i="10" s="1"/>
  <c r="B55" i="10" s="1"/>
  <c r="B29" i="10"/>
  <c r="B34" i="10" s="1"/>
  <c r="O44" i="10"/>
  <c r="O46" i="10" s="1"/>
  <c r="O54" i="10" s="1"/>
  <c r="O55" i="10" s="1"/>
  <c r="O29" i="10"/>
  <c r="O34" i="10" s="1"/>
  <c r="C44" i="10"/>
  <c r="C46" i="10" s="1"/>
  <c r="C54" i="10" s="1"/>
  <c r="C55" i="10" s="1"/>
  <c r="C29" i="10"/>
  <c r="C34" i="10" s="1"/>
  <c r="Z10" i="10"/>
  <c r="V46" i="8"/>
  <c r="H37" i="8"/>
  <c r="H46" i="8"/>
  <c r="N43" i="8"/>
  <c r="D43" i="8"/>
  <c r="V37" i="8"/>
  <c r="E43" i="8"/>
  <c r="G50" i="8"/>
  <c r="U46" i="8"/>
  <c r="H34" i="8"/>
  <c r="N30" i="8"/>
  <c r="N34" i="8" s="1"/>
  <c r="O30" i="8"/>
  <c r="O34" i="8" s="1"/>
  <c r="R30" i="8"/>
  <c r="M30" i="8"/>
  <c r="U13" i="4"/>
  <c r="G14" i="4"/>
  <c r="V13" i="4"/>
  <c r="W13" i="4"/>
  <c r="X13" i="4"/>
  <c r="T46" i="10" l="1"/>
  <c r="T34" i="10"/>
  <c r="S15" i="7"/>
  <c r="Z15" i="7" s="1"/>
  <c r="Z13" i="7"/>
  <c r="P26" i="10"/>
  <c r="AA21" i="10"/>
  <c r="W34" i="8"/>
  <c r="V43" i="8"/>
  <c r="K51" i="8"/>
  <c r="W30" i="8"/>
  <c r="L51" i="8"/>
  <c r="W51" i="8" s="1"/>
  <c r="X30" i="8"/>
  <c r="M34" i="8"/>
  <c r="Y30" i="8"/>
  <c r="V30" i="8"/>
  <c r="U30" i="8"/>
  <c r="V34" i="8"/>
  <c r="O40" i="8"/>
  <c r="O42" i="8" s="1"/>
  <c r="O51" i="8" s="1"/>
  <c r="R34" i="8"/>
  <c r="Y34" i="8" s="1"/>
  <c r="U34" i="8"/>
  <c r="N40" i="8"/>
  <c r="N42" i="8" s="1"/>
  <c r="N51" i="8" s="1"/>
  <c r="U51" i="8" s="1"/>
  <c r="S21" i="10"/>
  <c r="S32" i="10" s="1"/>
  <c r="Z32" i="10" s="1"/>
  <c r="O35" i="10"/>
  <c r="O40" i="10"/>
  <c r="N35" i="10"/>
  <c r="N40" i="10"/>
  <c r="Q40" i="10"/>
  <c r="Q35" i="10"/>
  <c r="L35" i="10"/>
  <c r="L40" i="10"/>
  <c r="B35" i="10"/>
  <c r="B40" i="10"/>
  <c r="D40" i="10"/>
  <c r="D35" i="10"/>
  <c r="K35" i="10"/>
  <c r="K40" i="10"/>
  <c r="E35" i="10"/>
  <c r="E40" i="10"/>
  <c r="C35" i="10"/>
  <c r="C40" i="10"/>
  <c r="M35" i="10"/>
  <c r="M40" i="10"/>
  <c r="R40" i="10"/>
  <c r="R35" i="10"/>
  <c r="Y43" i="8"/>
  <c r="Y35" i="8"/>
  <c r="H43" i="8"/>
  <c r="E51" i="8"/>
  <c r="D51" i="8"/>
  <c r="G51" i="8" s="1"/>
  <c r="G43" i="8"/>
  <c r="U43" i="8"/>
  <c r="P44" i="10" l="1"/>
  <c r="P29" i="10"/>
  <c r="AA26" i="10"/>
  <c r="T35" i="10"/>
  <c r="T40" i="10"/>
  <c r="T54" i="10"/>
  <c r="H51" i="8"/>
  <c r="R40" i="8"/>
  <c r="R42" i="8" s="1"/>
  <c r="R51" i="8" s="1"/>
  <c r="V51" i="8"/>
  <c r="M40" i="8"/>
  <c r="M42" i="8" s="1"/>
  <c r="M51" i="8" s="1"/>
  <c r="X51" i="8" s="1"/>
  <c r="X34" i="8"/>
  <c r="S26" i="10"/>
  <c r="S29" i="10" s="1"/>
  <c r="Z21" i="10"/>
  <c r="Y40" i="8" l="1"/>
  <c r="T55" i="10"/>
  <c r="T41" i="10"/>
  <c r="AA41" i="10" s="1"/>
  <c r="P34" i="10"/>
  <c r="AA29" i="10"/>
  <c r="P46" i="10"/>
  <c r="AA44" i="10"/>
  <c r="Z26" i="10"/>
  <c r="S44" i="10"/>
  <c r="Z44" i="10" s="1"/>
  <c r="S34" i="10"/>
  <c r="Z29" i="10"/>
  <c r="S46" i="10"/>
  <c r="Y42" i="8"/>
  <c r="Y51" i="8"/>
  <c r="P54" i="10" l="1"/>
  <c r="AA46" i="10"/>
  <c r="P35" i="10"/>
  <c r="AA35" i="10" s="1"/>
  <c r="P40" i="10"/>
  <c r="AA40" i="10" s="1"/>
  <c r="AA34" i="10"/>
  <c r="Z46" i="10"/>
  <c r="S54" i="10"/>
  <c r="Z34" i="10"/>
  <c r="S40" i="10"/>
  <c r="S35" i="10"/>
  <c r="Z35" i="10" s="1"/>
  <c r="P55" i="10" l="1"/>
  <c r="AA55" i="10" s="1"/>
  <c r="AA54" i="10"/>
  <c r="S41" i="10"/>
  <c r="Z41" i="10" s="1"/>
  <c r="Z40" i="10"/>
  <c r="S55" i="10"/>
  <c r="Z55" i="10" s="1"/>
  <c r="Z54" i="10"/>
  <c r="Y15" i="7" l="1"/>
  <c r="Y14" i="7"/>
  <c r="Y12" i="7"/>
  <c r="Y10" i="7"/>
  <c r="Y9" i="7"/>
  <c r="Y8" i="7"/>
  <c r="X10" i="9"/>
  <c r="X9" i="9"/>
  <c r="X8" i="9"/>
  <c r="X7" i="9"/>
  <c r="X5" i="9"/>
  <c r="X4" i="9"/>
  <c r="X15" i="5"/>
  <c r="X14" i="5"/>
</calcChain>
</file>

<file path=xl/sharedStrings.xml><?xml version="1.0" encoding="utf-8"?>
<sst xmlns="http://schemas.openxmlformats.org/spreadsheetml/2006/main" count="657" uniqueCount="253">
  <si>
    <t>1T20</t>
  </si>
  <si>
    <t>2T20</t>
  </si>
  <si>
    <t>3T20</t>
  </si>
  <si>
    <t>4T20</t>
  </si>
  <si>
    <t>1T21</t>
  </si>
  <si>
    <t>(=) EBITDA</t>
  </si>
  <si>
    <t>2T21</t>
  </si>
  <si>
    <t>(+) COVID-19</t>
  </si>
  <si>
    <t>B2C</t>
  </si>
  <si>
    <t>B2B</t>
  </si>
  <si>
    <t>A</t>
  </si>
  <si>
    <t>B</t>
  </si>
  <si>
    <t>(C=A+B)</t>
  </si>
  <si>
    <t>b</t>
  </si>
  <si>
    <t>C/b</t>
  </si>
  <si>
    <t>A.1</t>
  </si>
  <si>
    <t>C.1</t>
  </si>
  <si>
    <t>A.2</t>
  </si>
  <si>
    <t>B.1</t>
  </si>
  <si>
    <t>C.2</t>
  </si>
  <si>
    <t>EBITDA</t>
  </si>
  <si>
    <t>EBITDA LTM¹</t>
  </si>
  <si>
    <t>nd</t>
  </si>
  <si>
    <t>Number of Orders</t>
  </si>
  <si>
    <t>Logistics</t>
  </si>
  <si>
    <t>Gross Revenue</t>
  </si>
  <si>
    <t>Net Revenue</t>
  </si>
  <si>
    <t>Gross Profit</t>
  </si>
  <si>
    <t>Gross Margin</t>
  </si>
  <si>
    <t>Highlights (thousand)</t>
  </si>
  <si>
    <t>1Q20</t>
  </si>
  <si>
    <t>2Q20</t>
  </si>
  <si>
    <t>3Q20</t>
  </si>
  <si>
    <t>4Q20</t>
  </si>
  <si>
    <t>1Q21</t>
  </si>
  <si>
    <t>2Q21</t>
  </si>
  <si>
    <t>Operational (thousand)</t>
  </si>
  <si>
    <t>Average Ticket (R$)</t>
  </si>
  <si>
    <t>B2C Orders</t>
  </si>
  <si>
    <t>B2B Orders</t>
  </si>
  <si>
    <t xml:space="preserve">HA </t>
  </si>
  <si>
    <t>Automation</t>
  </si>
  <si>
    <t>Technology</t>
  </si>
  <si>
    <t>Base Expansion</t>
  </si>
  <si>
    <t>Others</t>
  </si>
  <si>
    <t>CAPEX (thousand)</t>
  </si>
  <si>
    <t>% Gross Revenue</t>
  </si>
  <si>
    <t>Investments</t>
  </si>
  <si>
    <t>1Q21 vs 4Q20</t>
  </si>
  <si>
    <t>Indebtedness</t>
  </si>
  <si>
    <t>Cash and Cash Equivalents</t>
  </si>
  <si>
    <t>Net Debt</t>
  </si>
  <si>
    <t xml:space="preserve">Financial Leverage Ratio (C/b) </t>
  </si>
  <si>
    <t>Loans, Financing, Debentures and Derivatives</t>
  </si>
  <si>
    <t>Accounts payable due to acquisition of subsidiaries</t>
  </si>
  <si>
    <t>Accounts payable for stock redemption</t>
  </si>
  <si>
    <t>1O EBITDA consists of Net Income (Loss) adjusted by net financial result, current and deferred Income Tax and Social Contribution, Depreciation and Amortization expenses, calculation was based on provisions of CVM 527 Instruction of October 4, 2012. Considering the last 12 months for each period.</t>
  </si>
  <si>
    <t>HA</t>
  </si>
  <si>
    <t xml:space="preserve">Gross Operating Revenue </t>
  </si>
  <si>
    <t>Net Operating Revenue</t>
  </si>
  <si>
    <t>Cost of Services Rendered</t>
  </si>
  <si>
    <t>Direct Costs</t>
  </si>
  <si>
    <t>Depreciation / Amortization</t>
  </si>
  <si>
    <t>Goodwill Amortization</t>
  </si>
  <si>
    <t>Depreciation - IFRS</t>
  </si>
  <si>
    <t>Selling, General and Administrative</t>
  </si>
  <si>
    <t>Price Allocation Amortization</t>
  </si>
  <si>
    <t>Net Financial Result</t>
  </si>
  <si>
    <t>Income (Loss) before Income Tax</t>
  </si>
  <si>
    <t xml:space="preserve">Income Tax and Social Contribution </t>
  </si>
  <si>
    <t>Net Income for the Period</t>
  </si>
  <si>
    <t>Gross Operating Revenue</t>
  </si>
  <si>
    <t xml:space="preserve">Adjusted Costs </t>
  </si>
  <si>
    <t>Rental - IFRS</t>
  </si>
  <si>
    <t>Adjusted Expenses</t>
  </si>
  <si>
    <t>Selling, General and Admnistrative Expenses</t>
  </si>
  <si>
    <t>IFRS - Rental</t>
  </si>
  <si>
    <t xml:space="preserve">Financial Result </t>
  </si>
  <si>
    <t xml:space="preserve">Income Tax </t>
  </si>
  <si>
    <t>Adjusted Net Income</t>
  </si>
  <si>
    <t>Corporate (thousand)</t>
  </si>
  <si>
    <t>Reconciliation (thousand)</t>
  </si>
  <si>
    <t>2Q21 vs 4Q20</t>
  </si>
  <si>
    <t>Net revenues</t>
  </si>
  <si>
    <t>Cost of services rendered</t>
  </si>
  <si>
    <t>Gross profit</t>
  </si>
  <si>
    <t>Operating expenses</t>
  </si>
  <si>
    <t>Selling, general and administrative expenses</t>
  </si>
  <si>
    <t>Other operating income (expenses), net</t>
  </si>
  <si>
    <t xml:space="preserve">Operating profit (loss) before financial expenses (income) </t>
  </si>
  <si>
    <t>Financial expenses</t>
  </si>
  <si>
    <t>Financial income</t>
  </si>
  <si>
    <t xml:space="preserve">Profit (loss) before income tax and social contribution </t>
  </si>
  <si>
    <t>Current income tax and social contribution</t>
  </si>
  <si>
    <t>Deferred income tax and social contribution</t>
  </si>
  <si>
    <t>Profit (loss) for the period</t>
  </si>
  <si>
    <t>Adjusted EBITDA Reconciliation</t>
  </si>
  <si>
    <t>Net Income (Loss)</t>
  </si>
  <si>
    <t>(+) Income Tax and Social Contribution</t>
  </si>
  <si>
    <t>(+) Net Financial Result</t>
  </si>
  <si>
    <t>(+) Depreciation and Amortization</t>
  </si>
  <si>
    <t>EBITDA Margin</t>
  </si>
  <si>
    <t>(+) M&amp;A Expenses</t>
  </si>
  <si>
    <t>(+) Tax Credit</t>
  </si>
  <si>
    <t>(=) Adjusted EBITDA</t>
  </si>
  <si>
    <t>Adjusted EBITDA Margin</t>
  </si>
  <si>
    <t>Net Income Reconciliation</t>
  </si>
  <si>
    <t>(+) Price Allocation Amortization</t>
  </si>
  <si>
    <t>(=) Net Income (Loss) ex-goodwill</t>
  </si>
  <si>
    <t>(=) Adjusted Net Income (Loss)</t>
  </si>
  <si>
    <t>Adjusted Net Margin</t>
  </si>
  <si>
    <t>Income Statement (Consolidated, In thousands of reais - R$)</t>
  </si>
  <si>
    <t>Balance Sheet (Consolidated, In thousands of reais - R$)</t>
  </si>
  <si>
    <t>Total Assets</t>
  </si>
  <si>
    <t>Current Assets</t>
  </si>
  <si>
    <t>Cash and cash equivalents</t>
  </si>
  <si>
    <t>Accounts receivable</t>
  </si>
  <si>
    <t>Derivatives</t>
  </si>
  <si>
    <t>Advances</t>
  </si>
  <si>
    <t>Taxes recoverable</t>
  </si>
  <si>
    <t>Prepaid expenses</t>
  </si>
  <si>
    <t>Other receivables</t>
  </si>
  <si>
    <t>Noncurrent assets</t>
  </si>
  <si>
    <t>Restricted financial investments</t>
  </si>
  <si>
    <t>Indemnification assets due to acquisition of companies</t>
  </si>
  <si>
    <t>Judicial deposits</t>
  </si>
  <si>
    <t>Property and equipment</t>
  </si>
  <si>
    <t>Intangible assets</t>
  </si>
  <si>
    <t>Right-of-use assets</t>
  </si>
  <si>
    <t>Current liabilities</t>
  </si>
  <si>
    <t>Total liabilities and equity</t>
  </si>
  <si>
    <t>Borrowings and debentures  </t>
  </si>
  <si>
    <t>Lease liabilities</t>
  </si>
  <si>
    <t>Accounts payable and suppliers credit assignment</t>
  </si>
  <si>
    <t>Labor and tax obligations</t>
  </si>
  <si>
    <t>Payables for acquisition of subsidiaries</t>
  </si>
  <si>
    <t xml:space="preserve">Other payables </t>
  </si>
  <si>
    <t>Noncurrent liabilities</t>
  </si>
  <si>
    <t>Borrowings and debentures</t>
  </si>
  <si>
    <t xml:space="preserve">Payables for acquisition of subsidiaries </t>
  </si>
  <si>
    <t>Provision for legal claims</t>
  </si>
  <si>
    <t>Other payables</t>
  </si>
  <si>
    <t>Equity</t>
  </si>
  <si>
    <t>Share capital</t>
  </si>
  <si>
    <t>Share issue expenses</t>
  </si>
  <si>
    <t>Capital reserves</t>
  </si>
  <si>
    <t>Accumulated losses</t>
  </si>
  <si>
    <t>Convertible loan</t>
  </si>
  <si>
    <t>Statements of cash flows (Consolidated, In thousands of reais - R$)</t>
  </si>
  <si>
    <t>Cash flow from operating activities</t>
  </si>
  <si>
    <t>Loss before income tax and social contribution</t>
  </si>
  <si>
    <t>Adjustments to reconcile profit (loss) before income and social contribution taxes</t>
  </si>
  <si>
    <t>Depreciation and amortization</t>
  </si>
  <si>
    <t>Allowance for expected credit losses</t>
  </si>
  <si>
    <t>Interest on borrowings and debt</t>
  </si>
  <si>
    <t>Share-based payment plan</t>
  </si>
  <si>
    <t>Net gain (loss) on sale/disposal of property and equipment</t>
  </si>
  <si>
    <t>Financial income on restricted financial investments</t>
  </si>
  <si>
    <t xml:space="preserve">Fair value of financial instruments </t>
  </si>
  <si>
    <t>Price adjustment by acquisition of subsidiary</t>
  </si>
  <si>
    <t>Gains in tax negotiations</t>
  </si>
  <si>
    <t>Changes in assets and liabilities</t>
  </si>
  <si>
    <t xml:space="preserve">   Accounts receivable</t>
  </si>
  <si>
    <t xml:space="preserve">   Advances</t>
  </si>
  <si>
    <t xml:space="preserve">   Taxes recoverable</t>
  </si>
  <si>
    <t xml:space="preserve">   Prepaid expenses</t>
  </si>
  <si>
    <t xml:space="preserve">   Judicial deposits</t>
  </si>
  <si>
    <t xml:space="preserve">   Other receivables</t>
  </si>
  <si>
    <t xml:space="preserve">   Accounts payable</t>
  </si>
  <si>
    <t xml:space="preserve">   Labor and tax obligations</t>
  </si>
  <si>
    <t xml:space="preserve">   Other payables</t>
  </si>
  <si>
    <t xml:space="preserve">   Income tax and social contribution paid</t>
  </si>
  <si>
    <t xml:space="preserve">   Interest paid on borrowings and debentures</t>
  </si>
  <si>
    <t xml:space="preserve">   Interest paid on leases</t>
  </si>
  <si>
    <t>Net cash flows from (used in) operating activities</t>
  </si>
  <si>
    <t>Investing activities</t>
  </si>
  <si>
    <t xml:space="preserve">   Purchase of property and equipment and intangible assets</t>
  </si>
  <si>
    <t xml:space="preserve">   Acquisition of subsidiaries, net of cash acquired</t>
  </si>
  <si>
    <t xml:space="preserve">Net cash flows from (used in) investing activities </t>
  </si>
  <si>
    <t>Financing activities</t>
  </si>
  <si>
    <t xml:space="preserve">   Proceeds from borrowings and debentures</t>
  </si>
  <si>
    <t xml:space="preserve">   Repayment of borrowings and debentures - principal</t>
  </si>
  <si>
    <t xml:space="preserve">   Payment of principal portion of lease liabilities</t>
  </si>
  <si>
    <t xml:space="preserve">   Capital increase, net of issue expenses</t>
  </si>
  <si>
    <t xml:space="preserve">   Restricted financial investments </t>
  </si>
  <si>
    <t xml:space="preserve">   Payment of dividends on preferred shares</t>
  </si>
  <si>
    <t>Net cash flows from (used in) financing activities</t>
  </si>
  <si>
    <t>Cash and cash equivalents at the beginning of the period</t>
  </si>
  <si>
    <t>Cash and cash equivalents at the end of the period</t>
  </si>
  <si>
    <t xml:space="preserve">   Acquisition of investment</t>
  </si>
  <si>
    <t>Increase (decrease) in cash and cash equivalents</t>
  </si>
  <si>
    <t>Fair value on convertible loan agreement</t>
  </si>
  <si>
    <t>Acquisition of subsidiaries, cash and cash equivalents</t>
  </si>
  <si>
    <t xml:space="preserve">   Acquisition of subsidiaries, payment</t>
  </si>
  <si>
    <t>3Q21</t>
  </si>
  <si>
    <t>3Q21 vs 2Q21</t>
  </si>
  <si>
    <t>Selling, General, Administrative and Other Expenses</t>
  </si>
  <si>
    <t>3Q21 vs 4Q20</t>
  </si>
  <si>
    <t>Jointly-controlled subsidiaries investment</t>
  </si>
  <si>
    <t>Net Margin</t>
  </si>
  <si>
    <t>4Q21</t>
  </si>
  <si>
    <t>2Q21 vs 
1Q21</t>
  </si>
  <si>
    <t>4Q21 vs 
3Q21</t>
  </si>
  <si>
    <t>1Q21 vs 
4Q20</t>
  </si>
  <si>
    <t>4Q21 vs 4Q20</t>
  </si>
  <si>
    <t xml:space="preserve">   Contas a pagar por aquisição de investimentos</t>
  </si>
  <si>
    <t>Equity Method</t>
  </si>
  <si>
    <t xml:space="preserve">Adjusted EBITDA Margin </t>
  </si>
  <si>
    <t>-</t>
  </si>
  <si>
    <t>(+) Equity Method</t>
  </si>
  <si>
    <t>Profit reserves</t>
  </si>
  <si>
    <t>Jointly-controlled subsidiaries constitution</t>
  </si>
  <si>
    <r>
      <t>Adjusted EBITDA</t>
    </r>
    <r>
      <rPr>
        <b/>
        <sz val="8"/>
        <color theme="1"/>
        <rFont val="Calibri"/>
        <family val="2"/>
      </rPr>
      <t>¹</t>
    </r>
  </si>
  <si>
    <t>1Q22</t>
  </si>
  <si>
    <t>1Q22 vs 4Q21</t>
  </si>
  <si>
    <t>Depreciation/ Amortization - IFRS</t>
  </si>
  <si>
    <t xml:space="preserve">**As of 2022, the Company will no longer adjust Gross Profit and EBITDA for the effects of IFRS 16. </t>
  </si>
  <si>
    <t>1Q22 vs 
4Q21</t>
  </si>
  <si>
    <t>Adjusted Net Income (Loss)³</t>
  </si>
  <si>
    <t xml:space="preserve">1 Excludes non-recurring expenses with: (i) mergers and acquisitions; and (ii) other income/expenses.
2 Excludes effects with IFRS 16 by adding rental costs and expenses and excludes non-recurring expenses with: (i) mergers and acquisitions; and (ii) other income/expenses.
3 Excludes goodwill amortization and non-recurring expenses.
4 Sum of  EBTIDA Pro Forma (acquisitions) LTM  plus Depreciation LTM, multiplied by (1 - Income Tax Rate) divided by Residual Value + Working Capital (The Income Tax and Social Contribution Rate used to calculate the ROIC was 34% ). 
5 Sum of  EBTIDA LTM  plus Depreciation LTM, multiplied by (1 - Income Tax Rate) divided by Residual Value + Working Capital (The Income Tax and Social Contribution Rate used to calculate the ROIC was 34% ). 
*As of 2022, the Company will no longer adjust Gross Profit and EBITDA for the effects of IFRS 16. </t>
  </si>
  <si>
    <r>
      <t>ROIC</t>
    </r>
    <r>
      <rPr>
        <b/>
        <vertAlign val="superscript"/>
        <sz val="8"/>
        <color theme="1"/>
        <rFont val="Verdana"/>
        <family val="2"/>
      </rPr>
      <t>5</t>
    </r>
  </si>
  <si>
    <t>Effect from Early Settlement of Debentures</t>
  </si>
  <si>
    <t>(+) Effect from Early Settlement of Debentures</t>
  </si>
  <si>
    <t>NA</t>
  </si>
  <si>
    <t>ND</t>
  </si>
  <si>
    <t>M&amp;A Adjustments</t>
  </si>
  <si>
    <t>Adjusted EBITDA ex IFRS-16</t>
  </si>
  <si>
    <t>Adjusted Gross Profit ex IFRS-16</t>
  </si>
  <si>
    <t>Adjusted EBITDA</t>
  </si>
  <si>
    <t>Depreciation &amp; ammortization</t>
  </si>
  <si>
    <t>Amortization of intangible</t>
  </si>
  <si>
    <t>Income Tax/Social Contribution over M&amp;A adjustment</t>
  </si>
  <si>
    <t>*As of 2022, the Company will no longer adjust Gross Profit and EBITDA for the effects of IFRS 16. 1Q22 and 1Q21 consider this rationale.</t>
  </si>
  <si>
    <t>AH</t>
  </si>
  <si>
    <t>A.1+A.2+C.1</t>
  </si>
  <si>
    <t>D</t>
  </si>
  <si>
    <t/>
  </si>
  <si>
    <t>B.1+C.2</t>
  </si>
  <si>
    <t>E</t>
  </si>
  <si>
    <t>A.1+A.2+B.1+C.1+C.2</t>
  </si>
  <si>
    <t>C.1+C.2</t>
  </si>
  <si>
    <t>2Q22</t>
  </si>
  <si>
    <t>HÁ</t>
  </si>
  <si>
    <t>2Q22 vs 2Q22</t>
  </si>
  <si>
    <t>Related parties</t>
  </si>
  <si>
    <t>Provision for investment losses</t>
  </si>
  <si>
    <t>(+) Sale of minority interest</t>
  </si>
  <si>
    <t>(-) Income Tax / Social Contribution on adjustments</t>
  </si>
  <si>
    <t>F</t>
  </si>
  <si>
    <t>Sale of minority interest</t>
  </si>
  <si>
    <t>Non-cash effect financial instruments adjustment (Share buyback program)</t>
  </si>
  <si>
    <t>(+) Non-cash effect financial instruments adjustment (Share buyback program)</t>
  </si>
  <si>
    <t>2Q22 vs 
4Q21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</si>
</sst>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0_);\(#,##0\);_-&quot;-&quot;_-"/>
    <numFmt numFmtId="165" formatCode="_-#,##0.0%_);\(#,##0.0%\);_-&quot;-&quot;_-"/>
    <numFmt numFmtId="166" formatCode="_-#,##0.0\p\.\p\._);\(#,##0.0\p\.\p\.\);_-&quot;-&quot;_-"/>
    <numFmt numFmtId="167" formatCode="_(* #,##0.0_);_(* \(#,##0.0\);_(* &quot;-&quot;?_);_(@_)"/>
    <numFmt numFmtId="168" formatCode="0.0%"/>
    <numFmt numFmtId="169" formatCode="_-* #,##0_-;\-* #,##0_-;_-* &quot;-&quot;??_-;_-@_-"/>
    <numFmt numFmtId="170" formatCode="#,##0\ ;\(#,##0\);_(* &quot;-&quot;_);_(@_)"/>
    <numFmt numFmtId="171" formatCode="_-#,##0.0_)\x;\(#,##0.0\)\x;_-&quot;-&quot;_-"/>
    <numFmt numFmtId="172" formatCode="_-#,##0.00_);\(#,##0.00\);_-&quot;-&quot;_-"/>
    <numFmt numFmtId="173" formatCode="_-#,##0\p\.\p\._);\(#,##0\p\.\p\.\);_-&quot;-&quot;_-"/>
    <numFmt numFmtId="174" formatCode="_-#,##0%_);\(#,##0%\);_-&quot;-&quot;_-"/>
    <numFmt numFmtId="175" formatCode="#,##0\p\.\p\."/>
    <numFmt numFmtId="176" formatCode="_(* #,##0_);_(* \(#,##0\);_(* &quot;-&quot;?_);_(@_)"/>
  </numFmts>
  <fonts count="16">
    <font>
      <sz val="11"/>
      <color theme="1"/>
      <name val="Calibri"/>
      <family val="2"/>
      <scheme val="minor"/>
    </font>
    <font>
      <sz val="11"/>
      <color theme="1"/>
      <name val="Calibri"/>
      <family val="2"/>
      <scheme val="minor"/>
    </font>
    <font>
      <sz val="11"/>
      <color indexed="8"/>
      <name val="Calibri"/>
      <family val="2"/>
    </font>
    <font>
      <sz val="12"/>
      <color theme="1"/>
      <name val="NettoOT"/>
      <family val="2"/>
    </font>
    <font>
      <sz val="8"/>
      <color theme="1"/>
      <name val="Verdana"/>
      <family val="2"/>
    </font>
    <font>
      <b/>
      <sz val="8"/>
      <color theme="1"/>
      <name val="Verdana"/>
      <family val="2"/>
    </font>
    <font>
      <b/>
      <sz val="8"/>
      <color theme="0"/>
      <name val="Verdana"/>
      <family val="2"/>
    </font>
    <font>
      <b/>
      <sz val="8"/>
      <color rgb="FFD0FF00"/>
      <name val="Verdana"/>
      <family val="2"/>
    </font>
    <font>
      <sz val="8"/>
      <color theme="0"/>
      <name val="Verdana"/>
      <family val="2"/>
    </font>
    <font>
      <b/>
      <u/>
      <sz val="8"/>
      <color theme="1"/>
      <name val="Verdana"/>
      <family val="2"/>
    </font>
    <font>
      <i/>
      <sz val="8"/>
      <color theme="1"/>
      <name val="Verdana"/>
      <family val="2"/>
    </font>
    <font>
      <sz val="8"/>
      <color rgb="FFFF0000"/>
      <name val="Verdana"/>
      <family val="2"/>
    </font>
    <font>
      <b/>
      <sz val="8"/>
      <color rgb="FFFFFFFF"/>
      <name val="Verdana"/>
      <family val="2"/>
    </font>
    <font>
      <b/>
      <i/>
      <sz val="8"/>
      <color theme="1"/>
      <name val="Verdana"/>
      <family val="2"/>
    </font>
    <font>
      <b/>
      <sz val="8"/>
      <color theme="1"/>
      <name val="Calibri"/>
      <family val="2"/>
    </font>
    <font>
      <b/>
      <vertAlign val="superscript"/>
      <sz val="8"/>
      <color theme="1"/>
      <name val="Verdana"/>
      <family val="2"/>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7030A0"/>
        <bgColor indexed="64"/>
      </patternFill>
    </fill>
    <fill>
      <patternFill patternType="solid">
        <fgColor rgb="FFD0FF00"/>
        <bgColor indexed="64"/>
      </patternFill>
    </fill>
    <fill>
      <patternFill patternType="solid">
        <fgColor theme="0"/>
        <bgColor indexed="64"/>
      </patternFill>
    </fill>
    <fill>
      <patternFill patternType="solid">
        <fgColor rgb="FF333333"/>
        <bgColor indexed="64"/>
      </patternFill>
    </fill>
    <fill>
      <patternFill patternType="solid">
        <fgColor rgb="FF5E0AB7"/>
        <bgColor indexed="64"/>
      </patternFill>
    </fill>
  </fills>
  <borders count="11">
    <border>
      <left/>
      <right/>
      <top/>
      <bottom/>
      <diagonal/>
    </border>
    <border>
      <left style="dashed">
        <color theme="1" tint="0.499984740745262"/>
      </left>
      <right/>
      <top/>
      <bottom/>
      <diagonal/>
    </border>
    <border>
      <left/>
      <right style="dashed">
        <color theme="1" tint="0.499984740745262"/>
      </right>
      <top/>
      <bottom/>
      <diagonal/>
    </border>
    <border>
      <left style="thin">
        <color theme="0"/>
      </left>
      <right/>
      <top/>
      <bottom/>
      <diagonal/>
    </border>
    <border>
      <left/>
      <right/>
      <top/>
      <bottom style="thin">
        <color indexed="64"/>
      </bottom>
      <diagonal/>
    </border>
    <border>
      <left style="hair">
        <color theme="1" tint="0.499984740745262"/>
      </left>
      <right/>
      <top/>
      <bottom/>
      <diagonal/>
    </border>
    <border>
      <left style="hair">
        <color theme="1" tint="0.499984740745262"/>
      </left>
      <right/>
      <top/>
      <bottom style="thin">
        <color indexed="64"/>
      </bottom>
      <diagonal/>
    </border>
    <border>
      <left style="hair">
        <color auto="1"/>
      </left>
      <right/>
      <top/>
      <bottom/>
      <diagonal/>
    </border>
    <border>
      <left style="hair">
        <color auto="1"/>
      </left>
      <right/>
      <top/>
      <bottom style="thin">
        <color indexed="64"/>
      </bottom>
      <diagonal/>
    </border>
    <border>
      <left/>
      <right style="hair">
        <color auto="1"/>
      </right>
      <top/>
      <bottom/>
      <diagonal/>
    </border>
    <border>
      <left/>
      <right style="hair">
        <color auto="1"/>
      </right>
      <top/>
      <bottom style="thin">
        <color indexed="64"/>
      </bottom>
      <diagonal/>
    </border>
  </borders>
  <cellStyleXfs count="8">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43" fontId="3"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cellStyleXfs>
  <cellXfs count="356">
    <xf numFmtId="0" fontId="0" fillId="0" borderId="0" xfId="0"/>
    <xf numFmtId="0" fontId="4" fillId="0" borderId="0" xfId="0" applyFont="1"/>
    <xf numFmtId="0" fontId="4" fillId="0" borderId="0" xfId="0" applyFont="1" applyFill="1"/>
    <xf numFmtId="0" fontId="5" fillId="0" borderId="0" xfId="0" applyFont="1" applyAlignment="1">
      <alignment horizontal="right"/>
    </xf>
    <xf numFmtId="167" fontId="6" fillId="7" borderId="0" xfId="2" applyNumberFormat="1" applyFont="1" applyFill="1" applyAlignment="1">
      <alignment vertical="center"/>
    </xf>
    <xf numFmtId="0" fontId="7" fillId="7" borderId="3" xfId="2" applyFont="1" applyFill="1" applyBorder="1" applyAlignment="1">
      <alignment horizontal="center" vertical="center"/>
    </xf>
    <xf numFmtId="0" fontId="8" fillId="0" borderId="0" xfId="0" applyFont="1"/>
    <xf numFmtId="0" fontId="4" fillId="0" borderId="1" xfId="0" applyFont="1" applyBorder="1"/>
    <xf numFmtId="0" fontId="5" fillId="0" borderId="0" xfId="0" applyFont="1"/>
    <xf numFmtId="164" fontId="5" fillId="0" borderId="0" xfId="0" applyNumberFormat="1" applyFont="1"/>
    <xf numFmtId="165" fontId="5" fillId="0" borderId="0" xfId="0" applyNumberFormat="1" applyFont="1"/>
    <xf numFmtId="164" fontId="5" fillId="0" borderId="1" xfId="0" applyNumberFormat="1" applyFont="1" applyBorder="1"/>
    <xf numFmtId="164" fontId="4" fillId="0" borderId="0" xfId="0" applyNumberFormat="1" applyFont="1"/>
    <xf numFmtId="165" fontId="4" fillId="0" borderId="0" xfId="0" applyNumberFormat="1" applyFont="1"/>
    <xf numFmtId="164" fontId="4" fillId="0" borderId="1" xfId="0" applyNumberFormat="1" applyFont="1" applyBorder="1"/>
    <xf numFmtId="164" fontId="4" fillId="0" borderId="0" xfId="0" applyNumberFormat="1" applyFont="1" applyBorder="1"/>
    <xf numFmtId="10" fontId="4" fillId="0" borderId="0" xfId="1" applyNumberFormat="1" applyFont="1" applyAlignment="1">
      <alignment horizontal="right"/>
    </xf>
    <xf numFmtId="165" fontId="4" fillId="0" borderId="0" xfId="0" applyNumberFormat="1" applyFont="1" applyAlignment="1">
      <alignment horizontal="right"/>
    </xf>
    <xf numFmtId="0" fontId="5" fillId="2" borderId="0" xfId="0" applyFont="1" applyFill="1"/>
    <xf numFmtId="164" fontId="5" fillId="2" borderId="0" xfId="0" applyNumberFormat="1" applyFont="1" applyFill="1"/>
    <xf numFmtId="165" fontId="5" fillId="2" borderId="0" xfId="0" applyNumberFormat="1" applyFont="1" applyFill="1"/>
    <xf numFmtId="164" fontId="5" fillId="2" borderId="1" xfId="0" applyNumberFormat="1" applyFont="1" applyFill="1" applyBorder="1"/>
    <xf numFmtId="165" fontId="5" fillId="2" borderId="0" xfId="0" applyNumberFormat="1" applyFont="1" applyFill="1" applyAlignment="1">
      <alignment horizontal="right"/>
    </xf>
    <xf numFmtId="0" fontId="4" fillId="0" borderId="0" xfId="0" applyFont="1" applyAlignment="1">
      <alignment horizontal="left"/>
    </xf>
    <xf numFmtId="0" fontId="4" fillId="0" borderId="0" xfId="0" applyFont="1" applyAlignment="1">
      <alignment horizontal="left" indent="1"/>
    </xf>
    <xf numFmtId="0" fontId="4" fillId="0" borderId="0" xfId="0" applyFont="1" applyFill="1" applyAlignment="1">
      <alignment horizontal="left" indent="1"/>
    </xf>
    <xf numFmtId="0" fontId="6" fillId="8" borderId="0" xfId="0" applyFont="1" applyFill="1" applyProtection="1">
      <protection locked="0"/>
    </xf>
    <xf numFmtId="165" fontId="6" fillId="8" borderId="0" xfId="0" applyNumberFormat="1" applyFont="1" applyFill="1" applyAlignment="1">
      <alignment horizontal="right"/>
    </xf>
    <xf numFmtId="0" fontId="5" fillId="0" borderId="0" xfId="0" applyFont="1" applyFill="1"/>
    <xf numFmtId="165" fontId="5" fillId="0" borderId="0" xfId="0" applyNumberFormat="1" applyFont="1" applyAlignment="1">
      <alignment horizontal="right"/>
    </xf>
    <xf numFmtId="0" fontId="5" fillId="5" borderId="0" xfId="0" applyFont="1" applyFill="1"/>
    <xf numFmtId="169" fontId="5" fillId="5" borderId="0" xfId="3" applyNumberFormat="1" applyFont="1" applyFill="1"/>
    <xf numFmtId="164" fontId="5" fillId="5" borderId="0" xfId="0" applyNumberFormat="1" applyFont="1" applyFill="1"/>
    <xf numFmtId="168" fontId="5" fillId="5" borderId="0" xfId="1" applyNumberFormat="1" applyFont="1" applyFill="1"/>
    <xf numFmtId="165" fontId="5" fillId="5" borderId="0" xfId="0" applyNumberFormat="1" applyFont="1" applyFill="1"/>
    <xf numFmtId="164" fontId="5" fillId="5" borderId="1" xfId="0" applyNumberFormat="1" applyFont="1" applyFill="1" applyBorder="1"/>
    <xf numFmtId="164" fontId="5" fillId="5" borderId="0" xfId="0" applyNumberFormat="1" applyFont="1" applyFill="1" applyBorder="1"/>
    <xf numFmtId="165" fontId="5" fillId="5" borderId="0" xfId="0" applyNumberFormat="1" applyFont="1" applyFill="1" applyAlignment="1">
      <alignment horizontal="right"/>
    </xf>
    <xf numFmtId="169" fontId="4" fillId="0" borderId="0" xfId="0" applyNumberFormat="1" applyFont="1"/>
    <xf numFmtId="0" fontId="4" fillId="0" borderId="0" xfId="0" applyFont="1" applyAlignment="1">
      <alignment horizontal="right"/>
    </xf>
    <xf numFmtId="168" fontId="4" fillId="0" borderId="0" xfId="1" applyNumberFormat="1" applyFont="1"/>
    <xf numFmtId="0" fontId="7" fillId="7" borderId="3" xfId="2" applyFont="1" applyFill="1" applyBorder="1" applyAlignment="1">
      <alignment horizontal="center" vertical="center" wrapText="1"/>
    </xf>
    <xf numFmtId="0" fontId="7" fillId="0" borderId="3" xfId="2" applyFont="1" applyBorder="1" applyAlignment="1">
      <alignment horizontal="center" vertical="center"/>
    </xf>
    <xf numFmtId="0" fontId="4" fillId="0" borderId="0" xfId="0" applyFont="1" applyBorder="1"/>
    <xf numFmtId="0" fontId="5" fillId="3" borderId="0" xfId="0" applyFont="1" applyFill="1"/>
    <xf numFmtId="164" fontId="5" fillId="3" borderId="0" xfId="0" applyNumberFormat="1" applyFont="1" applyFill="1"/>
    <xf numFmtId="165" fontId="5" fillId="3" borderId="0" xfId="0" applyNumberFormat="1" applyFont="1" applyFill="1" applyAlignment="1">
      <alignment horizontal="right"/>
    </xf>
    <xf numFmtId="0" fontId="4" fillId="0" borderId="0" xfId="0" applyFont="1" applyAlignment="1">
      <alignment horizontal="left" wrapText="1"/>
    </xf>
    <xf numFmtId="164" fontId="4" fillId="0" borderId="0" xfId="0" applyNumberFormat="1" applyFont="1" applyFill="1"/>
    <xf numFmtId="164" fontId="5" fillId="0" borderId="0" xfId="0" applyNumberFormat="1" applyFont="1" applyFill="1"/>
    <xf numFmtId="0" fontId="4" fillId="0" borderId="0" xfId="0" applyFont="1" applyAlignment="1">
      <alignment wrapText="1"/>
    </xf>
    <xf numFmtId="0" fontId="9" fillId="0" borderId="0" xfId="0" applyFont="1"/>
    <xf numFmtId="0" fontId="10" fillId="0" borderId="0" xfId="0" applyFont="1" applyAlignment="1">
      <alignment horizontal="left"/>
    </xf>
    <xf numFmtId="166" fontId="10" fillId="0" borderId="0" xfId="0" applyNumberFormat="1" applyFont="1" applyAlignment="1">
      <alignment horizontal="right"/>
    </xf>
    <xf numFmtId="0" fontId="5" fillId="2" borderId="0" xfId="0" applyFont="1" applyFill="1" applyAlignment="1">
      <alignment horizontal="left"/>
    </xf>
    <xf numFmtId="0" fontId="5" fillId="2" borderId="0" xfId="5" applyFont="1" applyFill="1" applyAlignment="1">
      <alignment vertical="center"/>
    </xf>
    <xf numFmtId="0" fontId="4" fillId="6" borderId="0" xfId="5" applyFont="1" applyFill="1" applyAlignment="1">
      <alignment horizontal="left" vertical="center"/>
    </xf>
    <xf numFmtId="0" fontId="4" fillId="6" borderId="0" xfId="5" applyFont="1" applyFill="1" applyAlignment="1">
      <alignment horizontal="left" vertical="center" indent="1"/>
    </xf>
    <xf numFmtId="0" fontId="5" fillId="2" borderId="0" xfId="5" applyFont="1" applyFill="1" applyAlignment="1">
      <alignment vertical="center" wrapText="1"/>
    </xf>
    <xf numFmtId="0" fontId="12" fillId="7" borderId="0" xfId="5" applyFont="1" applyFill="1" applyAlignment="1">
      <alignment horizontal="left" vertical="center" wrapText="1"/>
    </xf>
    <xf numFmtId="0" fontId="12" fillId="0" borderId="0" xfId="5" applyFont="1" applyAlignment="1">
      <alignment horizontal="left" vertical="center" wrapText="1"/>
    </xf>
    <xf numFmtId="0" fontId="7" fillId="0" borderId="0" xfId="2" applyFont="1" applyAlignment="1">
      <alignment horizontal="center" vertical="center"/>
    </xf>
    <xf numFmtId="0" fontId="7" fillId="7" borderId="5" xfId="2" applyFont="1" applyFill="1" applyBorder="1" applyAlignment="1">
      <alignment horizontal="center" vertical="center"/>
    </xf>
    <xf numFmtId="0" fontId="4" fillId="0" borderId="0" xfId="5" applyFont="1" applyAlignment="1">
      <alignment vertical="center"/>
    </xf>
    <xf numFmtId="0" fontId="4" fillId="0" borderId="0" xfId="5" applyFont="1" applyFill="1" applyAlignment="1">
      <alignment vertical="center"/>
    </xf>
    <xf numFmtId="0" fontId="4" fillId="0" borderId="0" xfId="5" applyFont="1" applyAlignment="1">
      <alignment horizontal="center" vertical="center"/>
    </xf>
    <xf numFmtId="0" fontId="5" fillId="3" borderId="0" xfId="5" applyFont="1" applyFill="1" applyAlignment="1">
      <alignment vertical="center"/>
    </xf>
    <xf numFmtId="170" fontId="5" fillId="2" borderId="0" xfId="4" applyNumberFormat="1" applyFont="1" applyFill="1" applyBorder="1" applyAlignment="1">
      <alignment horizontal="right" vertical="center"/>
    </xf>
    <xf numFmtId="0" fontId="5" fillId="0" borderId="0" xfId="5" applyFont="1" applyFill="1" applyAlignment="1">
      <alignment vertical="center"/>
    </xf>
    <xf numFmtId="168" fontId="5" fillId="2" borderId="0" xfId="1" applyNumberFormat="1" applyFont="1" applyFill="1" applyAlignment="1">
      <alignment horizontal="right" vertical="center"/>
    </xf>
    <xf numFmtId="168" fontId="5" fillId="0" borderId="0" xfId="5" applyNumberFormat="1" applyFont="1" applyFill="1" applyAlignment="1">
      <alignment vertical="center"/>
    </xf>
    <xf numFmtId="168" fontId="4" fillId="0" borderId="0" xfId="0" applyNumberFormat="1" applyFont="1"/>
    <xf numFmtId="170" fontId="4" fillId="0" borderId="0" xfId="0" applyNumberFormat="1" applyFont="1"/>
    <xf numFmtId="0" fontId="4" fillId="3" borderId="0" xfId="5" applyFont="1" applyFill="1" applyAlignment="1">
      <alignment horizontal="left" vertical="center"/>
    </xf>
    <xf numFmtId="170" fontId="4" fillId="6" borderId="0" xfId="5" applyNumberFormat="1" applyFont="1" applyFill="1" applyAlignment="1">
      <alignment horizontal="right" vertical="center"/>
    </xf>
    <xf numFmtId="0" fontId="4" fillId="0" borderId="0" xfId="5" applyFont="1" applyFill="1" applyAlignment="1">
      <alignment horizontal="left" vertical="center"/>
    </xf>
    <xf numFmtId="168" fontId="4" fillId="6" borderId="0" xfId="1" applyNumberFormat="1" applyFont="1" applyFill="1" applyAlignment="1">
      <alignment horizontal="right" vertical="center"/>
    </xf>
    <xf numFmtId="0" fontId="5" fillId="3" borderId="0" xfId="5" applyFont="1" applyFill="1" applyAlignment="1">
      <alignment horizontal="center" vertical="center"/>
    </xf>
    <xf numFmtId="0" fontId="4" fillId="0" borderId="0" xfId="5" applyFont="1" applyFill="1" applyAlignment="1">
      <alignment horizontal="left" vertical="center" indent="1"/>
    </xf>
    <xf numFmtId="165" fontId="4" fillId="0" borderId="0" xfId="1" applyNumberFormat="1" applyFont="1" applyFill="1" applyBorder="1" applyAlignment="1">
      <alignment horizontal="right"/>
    </xf>
    <xf numFmtId="0" fontId="5" fillId="0" borderId="0" xfId="5" applyFont="1" applyFill="1" applyAlignment="1">
      <alignment vertical="center" wrapText="1"/>
    </xf>
    <xf numFmtId="165" fontId="5" fillId="2" borderId="0" xfId="1" applyNumberFormat="1" applyFont="1" applyFill="1" applyBorder="1"/>
    <xf numFmtId="165" fontId="5" fillId="2" borderId="0" xfId="1" applyNumberFormat="1" applyFont="1" applyFill="1" applyBorder="1" applyAlignment="1">
      <alignment horizontal="right"/>
    </xf>
    <xf numFmtId="165" fontId="4" fillId="0" borderId="0" xfId="1" applyNumberFormat="1" applyFont="1" applyFill="1" applyBorder="1"/>
    <xf numFmtId="165" fontId="5" fillId="2" borderId="0" xfId="1" applyNumberFormat="1" applyFont="1" applyFill="1" applyBorder="1" applyAlignment="1">
      <alignment horizontal="center"/>
    </xf>
    <xf numFmtId="0" fontId="5" fillId="0" borderId="0" xfId="5" applyFont="1" applyAlignment="1">
      <alignment vertical="center"/>
    </xf>
    <xf numFmtId="170" fontId="5" fillId="0" borderId="0" xfId="4" applyNumberFormat="1" applyFont="1" applyFill="1" applyBorder="1" applyAlignment="1">
      <alignment horizontal="right" vertical="center"/>
    </xf>
    <xf numFmtId="0" fontId="4" fillId="0" borderId="0" xfId="5" applyFont="1" applyAlignment="1">
      <alignment horizontal="right" vertical="center"/>
    </xf>
    <xf numFmtId="168" fontId="5" fillId="2" borderId="0" xfId="1" applyNumberFormat="1" applyFont="1" applyFill="1" applyAlignment="1">
      <alignment vertical="center"/>
    </xf>
    <xf numFmtId="168" fontId="4" fillId="6" borderId="0" xfId="1" applyNumberFormat="1" applyFont="1" applyFill="1" applyAlignment="1">
      <alignment vertical="center"/>
    </xf>
    <xf numFmtId="0" fontId="6" fillId="7" borderId="0" xfId="5" applyFont="1" applyFill="1" applyAlignment="1">
      <alignment horizontal="left" vertical="center"/>
    </xf>
    <xf numFmtId="0" fontId="6" fillId="0" borderId="0" xfId="5" applyFont="1" applyAlignment="1">
      <alignment horizontal="left" vertical="center"/>
    </xf>
    <xf numFmtId="168" fontId="6" fillId="7" borderId="0" xfId="1" applyNumberFormat="1" applyFont="1" applyFill="1" applyAlignment="1">
      <alignment horizontal="right" vertical="center"/>
    </xf>
    <xf numFmtId="170" fontId="5" fillId="0" borderId="0" xfId="5" applyNumberFormat="1" applyFont="1" applyAlignment="1">
      <alignment vertical="center"/>
    </xf>
    <xf numFmtId="0" fontId="5" fillId="3" borderId="0" xfId="0" applyFont="1" applyFill="1" applyAlignment="1">
      <alignment horizontal="center"/>
    </xf>
    <xf numFmtId="168" fontId="5" fillId="3" borderId="0" xfId="1" applyNumberFormat="1" applyFont="1" applyFill="1"/>
    <xf numFmtId="164" fontId="5" fillId="3" borderId="5" xfId="0" applyNumberFormat="1" applyFont="1" applyFill="1" applyBorder="1"/>
    <xf numFmtId="165" fontId="5" fillId="3" borderId="0" xfId="1" applyNumberFormat="1" applyFont="1" applyFill="1" applyBorder="1"/>
    <xf numFmtId="0" fontId="5" fillId="0" borderId="0" xfId="0" applyFont="1" applyAlignment="1">
      <alignment horizontal="center"/>
    </xf>
    <xf numFmtId="0" fontId="4" fillId="0" borderId="0" xfId="0" applyFont="1" applyBorder="1" applyAlignment="1">
      <alignment horizontal="left" indent="2"/>
    </xf>
    <xf numFmtId="170" fontId="4" fillId="0" borderId="0" xfId="4" applyNumberFormat="1" applyFont="1" applyFill="1" applyBorder="1" applyAlignment="1">
      <alignment horizontal="right" vertical="center"/>
    </xf>
    <xf numFmtId="168" fontId="4" fillId="0" borderId="0" xfId="1" applyNumberFormat="1" applyFont="1" applyFill="1" applyBorder="1" applyAlignment="1">
      <alignment horizontal="right" vertical="center"/>
    </xf>
    <xf numFmtId="170" fontId="4" fillId="0" borderId="5" xfId="4" applyNumberFormat="1" applyFont="1" applyFill="1" applyBorder="1" applyAlignment="1">
      <alignment horizontal="right" vertical="center"/>
    </xf>
    <xf numFmtId="43" fontId="4" fillId="0" borderId="0" xfId="3" applyFont="1" applyFill="1" applyBorder="1" applyAlignment="1">
      <alignment horizontal="right" vertical="center"/>
    </xf>
    <xf numFmtId="170" fontId="5" fillId="3" borderId="0" xfId="4" applyNumberFormat="1" applyFont="1" applyFill="1" applyBorder="1" applyAlignment="1">
      <alignment horizontal="right" vertical="center"/>
    </xf>
    <xf numFmtId="168" fontId="5" fillId="3" borderId="0" xfId="1" applyNumberFormat="1" applyFont="1" applyFill="1" applyBorder="1" applyAlignment="1">
      <alignment horizontal="right" vertical="center"/>
    </xf>
    <xf numFmtId="170" fontId="5" fillId="3" borderId="5" xfId="4" applyNumberFormat="1" applyFont="1" applyFill="1" applyBorder="1" applyAlignment="1">
      <alignment horizontal="right" vertical="center"/>
    </xf>
    <xf numFmtId="0" fontId="5" fillId="5" borderId="0" xfId="0" applyFont="1" applyFill="1" applyAlignment="1">
      <alignment horizontal="center"/>
    </xf>
    <xf numFmtId="0" fontId="5" fillId="5" borderId="0" xfId="0" applyFont="1" applyFill="1" applyBorder="1"/>
    <xf numFmtId="170" fontId="5" fillId="5" borderId="0" xfId="4" applyNumberFormat="1" applyFont="1" applyFill="1" applyBorder="1" applyAlignment="1">
      <alignment horizontal="right" vertical="center"/>
    </xf>
    <xf numFmtId="168" fontId="5" fillId="5" borderId="0" xfId="1" applyNumberFormat="1" applyFont="1" applyFill="1" applyBorder="1" applyAlignment="1">
      <alignment horizontal="center" vertical="center"/>
    </xf>
    <xf numFmtId="165" fontId="5" fillId="5" borderId="0" xfId="1" applyNumberFormat="1" applyFont="1" applyFill="1" applyBorder="1"/>
    <xf numFmtId="170" fontId="5" fillId="5" borderId="5" xfId="4" applyNumberFormat="1" applyFont="1" applyFill="1" applyBorder="1" applyAlignment="1">
      <alignment horizontal="right" vertical="center"/>
    </xf>
    <xf numFmtId="165" fontId="5" fillId="5" borderId="0" xfId="1" applyNumberFormat="1" applyFont="1" applyFill="1" applyBorder="1" applyAlignment="1">
      <alignment horizontal="right"/>
    </xf>
    <xf numFmtId="0" fontId="6" fillId="8" borderId="0" xfId="0" applyFont="1" applyFill="1" applyAlignment="1">
      <alignment horizontal="center"/>
    </xf>
    <xf numFmtId="0" fontId="6" fillId="8" borderId="0" xfId="0" applyFont="1" applyFill="1"/>
    <xf numFmtId="171" fontId="6" fillId="8" borderId="0" xfId="4" applyNumberFormat="1" applyFont="1" applyFill="1" applyBorder="1" applyAlignment="1">
      <alignment horizontal="right" vertical="center"/>
    </xf>
    <xf numFmtId="10" fontId="4" fillId="0" borderId="0" xfId="0" applyNumberFormat="1" applyFont="1" applyAlignment="1">
      <alignment horizontal="left" vertical="center" wrapText="1"/>
    </xf>
    <xf numFmtId="0" fontId="4" fillId="0" borderId="0" xfId="0" applyFont="1" applyAlignment="1">
      <alignment vertical="center" wrapText="1"/>
    </xf>
    <xf numFmtId="0" fontId="7" fillId="7" borderId="3" xfId="2" applyFont="1" applyFill="1" applyBorder="1" applyAlignment="1">
      <alignment horizontal="left" vertical="center"/>
    </xf>
    <xf numFmtId="0" fontId="7" fillId="7" borderId="0" xfId="2" applyFont="1" applyFill="1" applyAlignment="1">
      <alignment horizontal="center" vertical="center"/>
    </xf>
    <xf numFmtId="169" fontId="4" fillId="0" borderId="0" xfId="6" applyNumberFormat="1" applyFont="1" applyFill="1"/>
    <xf numFmtId="168" fontId="5" fillId="0" borderId="0" xfId="1" applyNumberFormat="1" applyFont="1" applyFill="1" applyAlignment="1">
      <alignment horizontal="right"/>
    </xf>
    <xf numFmtId="164" fontId="4" fillId="0" borderId="5" xfId="0" applyNumberFormat="1" applyFont="1" applyFill="1" applyBorder="1"/>
    <xf numFmtId="164" fontId="4" fillId="0" borderId="0" xfId="0" applyNumberFormat="1" applyFont="1" applyFill="1" applyBorder="1"/>
    <xf numFmtId="165" fontId="5" fillId="0" borderId="0" xfId="1" applyNumberFormat="1" applyFont="1" applyFill="1" applyBorder="1"/>
    <xf numFmtId="169" fontId="4" fillId="0" borderId="0" xfId="0" applyNumberFormat="1" applyFont="1" applyFill="1"/>
    <xf numFmtId="168" fontId="5" fillId="5" borderId="0" xfId="1" applyNumberFormat="1" applyFont="1" applyFill="1" applyBorder="1"/>
    <xf numFmtId="166" fontId="13" fillId="5" borderId="0" xfId="0" applyNumberFormat="1" applyFont="1" applyFill="1" applyBorder="1" applyAlignment="1">
      <alignment horizontal="right"/>
    </xf>
    <xf numFmtId="166" fontId="13" fillId="5" borderId="0" xfId="0" applyNumberFormat="1" applyFont="1" applyFill="1" applyAlignment="1">
      <alignment horizontal="right"/>
    </xf>
    <xf numFmtId="168" fontId="5" fillId="5" borderId="5" xfId="1" applyNumberFormat="1" applyFont="1" applyFill="1" applyBorder="1" applyAlignment="1">
      <alignment horizontal="right" vertical="center"/>
    </xf>
    <xf numFmtId="168" fontId="5" fillId="5" borderId="0" xfId="1" applyNumberFormat="1" applyFont="1" applyFill="1" applyBorder="1" applyAlignment="1">
      <alignment horizontal="right" vertical="center"/>
    </xf>
    <xf numFmtId="9" fontId="4" fillId="0" borderId="0" xfId="1" applyFont="1" applyFill="1"/>
    <xf numFmtId="175" fontId="13" fillId="0" borderId="0" xfId="1" applyNumberFormat="1" applyFont="1" applyFill="1" applyAlignment="1">
      <alignment horizontal="right"/>
    </xf>
    <xf numFmtId="173" fontId="13" fillId="0" borderId="0" xfId="0" applyNumberFormat="1" applyFont="1" applyAlignment="1">
      <alignment horizontal="right"/>
    </xf>
    <xf numFmtId="9" fontId="4" fillId="0" borderId="5" xfId="1" applyFont="1" applyFill="1" applyBorder="1"/>
    <xf numFmtId="9" fontId="4" fillId="0" borderId="0" xfId="1" applyFont="1" applyFill="1" applyBorder="1"/>
    <xf numFmtId="173" fontId="13" fillId="0" borderId="0" xfId="0" applyNumberFormat="1" applyFont="1" applyBorder="1" applyAlignment="1">
      <alignment horizontal="right"/>
    </xf>
    <xf numFmtId="43" fontId="13" fillId="0" borderId="0" xfId="3" applyFont="1" applyBorder="1" applyAlignment="1">
      <alignment horizontal="right"/>
    </xf>
    <xf numFmtId="43" fontId="4" fillId="0" borderId="0" xfId="3" applyFont="1" applyFill="1" applyBorder="1"/>
    <xf numFmtId="175" fontId="13" fillId="0" borderId="0" xfId="0" applyNumberFormat="1" applyFont="1" applyBorder="1" applyAlignment="1">
      <alignment horizontal="right"/>
    </xf>
    <xf numFmtId="169" fontId="5" fillId="3" borderId="0" xfId="3" applyNumberFormat="1" applyFont="1" applyFill="1"/>
    <xf numFmtId="168" fontId="5" fillId="3" borderId="0" xfId="1" applyNumberFormat="1" applyFont="1" applyFill="1" applyAlignment="1">
      <alignment horizontal="right"/>
    </xf>
    <xf numFmtId="169" fontId="4" fillId="0" borderId="0" xfId="3" applyNumberFormat="1" applyFont="1"/>
    <xf numFmtId="169" fontId="4" fillId="0" borderId="5" xfId="3" applyNumberFormat="1" applyFont="1" applyBorder="1"/>
    <xf numFmtId="169" fontId="4" fillId="0" borderId="0" xfId="3" applyNumberFormat="1" applyFont="1" applyFill="1" applyBorder="1"/>
    <xf numFmtId="168" fontId="4" fillId="0" borderId="0" xfId="1" applyNumberFormat="1" applyFont="1" applyAlignment="1">
      <alignment horizontal="right"/>
    </xf>
    <xf numFmtId="164" fontId="4" fillId="0" borderId="5" xfId="0" applyNumberFormat="1" applyFont="1" applyBorder="1"/>
    <xf numFmtId="169" fontId="5" fillId="3" borderId="5" xfId="3" applyNumberFormat="1" applyFont="1" applyFill="1" applyBorder="1"/>
    <xf numFmtId="164" fontId="4" fillId="0" borderId="0" xfId="3" applyNumberFormat="1" applyFont="1" applyFill="1"/>
    <xf numFmtId="169" fontId="4" fillId="0" borderId="5" xfId="3" applyNumberFormat="1" applyFont="1" applyFill="1" applyBorder="1"/>
    <xf numFmtId="169" fontId="4" fillId="0" borderId="0" xfId="3" applyNumberFormat="1" applyFont="1" applyFill="1"/>
    <xf numFmtId="0" fontId="4" fillId="0" borderId="5" xfId="0" applyFont="1" applyBorder="1"/>
    <xf numFmtId="165" fontId="5" fillId="3" borderId="5" xfId="0" applyNumberFormat="1" applyFont="1" applyFill="1" applyBorder="1" applyAlignment="1">
      <alignment horizontal="right"/>
    </xf>
    <xf numFmtId="2" fontId="4" fillId="0" borderId="0" xfId="0" applyNumberFormat="1" applyFont="1" applyFill="1"/>
    <xf numFmtId="2" fontId="4" fillId="0" borderId="0" xfId="0" applyNumberFormat="1" applyFont="1"/>
    <xf numFmtId="172" fontId="4" fillId="0" borderId="5" xfId="0" applyNumberFormat="1" applyFont="1" applyFill="1" applyBorder="1"/>
    <xf numFmtId="172" fontId="4" fillId="0" borderId="0" xfId="0" applyNumberFormat="1" applyFont="1"/>
    <xf numFmtId="172" fontId="4" fillId="0" borderId="5" xfId="0" applyNumberFormat="1" applyFont="1" applyBorder="1"/>
    <xf numFmtId="43" fontId="4" fillId="0" borderId="0" xfId="0" applyNumberFormat="1" applyFont="1"/>
    <xf numFmtId="9" fontId="4" fillId="0" borderId="0" xfId="1" applyNumberFormat="1" applyFont="1"/>
    <xf numFmtId="43" fontId="11" fillId="0" borderId="0" xfId="0" applyNumberFormat="1" applyFont="1" applyFill="1"/>
    <xf numFmtId="168" fontId="11" fillId="0" borderId="0" xfId="1" applyNumberFormat="1" applyFont="1" applyFill="1"/>
    <xf numFmtId="43" fontId="4" fillId="0" borderId="0" xfId="0" applyNumberFormat="1" applyFont="1" applyFill="1"/>
    <xf numFmtId="0" fontId="5" fillId="0" borderId="4" xfId="0" applyFont="1" applyFill="1" applyBorder="1" applyAlignment="1">
      <alignment horizontal="left"/>
    </xf>
    <xf numFmtId="164" fontId="5" fillId="0" borderId="4" xfId="0" applyNumberFormat="1" applyFont="1" applyFill="1" applyBorder="1"/>
    <xf numFmtId="164" fontId="5" fillId="0" borderId="4" xfId="0" applyNumberFormat="1" applyFont="1" applyBorder="1"/>
    <xf numFmtId="168" fontId="5" fillId="0" borderId="4" xfId="1" applyNumberFormat="1" applyFont="1" applyFill="1" applyBorder="1" applyAlignment="1">
      <alignment horizontal="right"/>
    </xf>
    <xf numFmtId="169" fontId="5" fillId="0" borderId="6" xfId="3" applyNumberFormat="1" applyFont="1" applyFill="1" applyBorder="1" applyAlignment="1">
      <alignment horizontal="right"/>
    </xf>
    <xf numFmtId="169" fontId="5" fillId="0" borderId="4" xfId="3" applyNumberFormat="1" applyFont="1" applyFill="1" applyBorder="1"/>
    <xf numFmtId="169" fontId="5" fillId="0" borderId="6" xfId="3" applyNumberFormat="1" applyFont="1" applyFill="1" applyBorder="1"/>
    <xf numFmtId="169" fontId="5" fillId="0" borderId="4" xfId="0" applyNumberFormat="1" applyFont="1" applyFill="1" applyBorder="1"/>
    <xf numFmtId="169" fontId="5" fillId="0" borderId="5" xfId="3" applyNumberFormat="1" applyFont="1" applyFill="1" applyBorder="1"/>
    <xf numFmtId="168" fontId="4" fillId="0" borderId="4" xfId="0" applyNumberFormat="1" applyFont="1" applyBorder="1"/>
    <xf numFmtId="166" fontId="10" fillId="0" borderId="4" xfId="0" applyNumberFormat="1" applyFont="1" applyBorder="1" applyAlignment="1">
      <alignment horizontal="right"/>
    </xf>
    <xf numFmtId="168" fontId="4" fillId="0" borderId="6" xfId="1" applyNumberFormat="1" applyFont="1" applyFill="1" applyBorder="1"/>
    <xf numFmtId="168" fontId="4" fillId="0" borderId="4" xfId="1" applyNumberFormat="1" applyFont="1" applyFill="1" applyBorder="1"/>
    <xf numFmtId="168" fontId="5" fillId="0" borderId="0" xfId="1" quotePrefix="1" applyNumberFormat="1" applyFont="1" applyFill="1" applyAlignment="1">
      <alignment horizontal="center"/>
    </xf>
    <xf numFmtId="165" fontId="4" fillId="0" borderId="6" xfId="1" applyNumberFormat="1" applyFont="1" applyFill="1" applyBorder="1"/>
    <xf numFmtId="165" fontId="4" fillId="0" borderId="4" xfId="1" applyNumberFormat="1" applyFont="1" applyFill="1" applyBorder="1"/>
    <xf numFmtId="165" fontId="4" fillId="0" borderId="4" xfId="0" applyNumberFormat="1" applyFont="1" applyBorder="1"/>
    <xf numFmtId="166" fontId="13" fillId="0" borderId="0" xfId="0" applyNumberFormat="1" applyFont="1" applyAlignment="1">
      <alignment horizontal="right"/>
    </xf>
    <xf numFmtId="168" fontId="4" fillId="0" borderId="0" xfId="1" applyNumberFormat="1" applyFont="1" applyFill="1" applyBorder="1" applyAlignment="1"/>
    <xf numFmtId="0" fontId="4" fillId="0" borderId="0" xfId="0" applyFont="1" applyAlignment="1">
      <alignment vertical="center"/>
    </xf>
    <xf numFmtId="0" fontId="4" fillId="0" borderId="0" xfId="0" applyFont="1" applyFill="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right" vertical="center"/>
    </xf>
    <xf numFmtId="168" fontId="4" fillId="0" borderId="0" xfId="1" applyNumberFormat="1" applyFont="1" applyAlignment="1">
      <alignment vertical="center"/>
    </xf>
    <xf numFmtId="0" fontId="8" fillId="0" borderId="0" xfId="0" applyFont="1" applyAlignment="1">
      <alignment vertical="center"/>
    </xf>
    <xf numFmtId="0" fontId="4" fillId="0" borderId="1" xfId="0" applyFont="1" applyBorder="1" applyAlignment="1">
      <alignment vertical="center"/>
    </xf>
    <xf numFmtId="0" fontId="6" fillId="4" borderId="0" xfId="0" applyFont="1" applyFill="1" applyAlignment="1" applyProtection="1">
      <alignment vertical="center"/>
      <protection locked="0"/>
    </xf>
    <xf numFmtId="164" fontId="6" fillId="4" borderId="0" xfId="0" applyNumberFormat="1" applyFont="1" applyFill="1" applyAlignment="1">
      <alignment vertical="center"/>
    </xf>
    <xf numFmtId="165" fontId="6" fillId="4" borderId="0" xfId="0" applyNumberFormat="1" applyFont="1" applyFill="1" applyAlignment="1">
      <alignment horizontal="right" vertical="center"/>
    </xf>
    <xf numFmtId="164" fontId="6" fillId="4" borderId="1" xfId="0" applyNumberFormat="1" applyFont="1" applyFill="1" applyBorder="1" applyAlignment="1">
      <alignment vertical="center"/>
    </xf>
    <xf numFmtId="164" fontId="4" fillId="0" borderId="0" xfId="0" applyNumberFormat="1" applyFont="1" applyAlignment="1">
      <alignment vertical="center"/>
    </xf>
    <xf numFmtId="165" fontId="4" fillId="0" borderId="0" xfId="0" applyNumberFormat="1" applyFont="1" applyAlignment="1">
      <alignment horizontal="right" vertical="center"/>
    </xf>
    <xf numFmtId="164" fontId="4" fillId="0" borderId="1" xfId="0" applyNumberFormat="1" applyFont="1" applyBorder="1" applyAlignment="1">
      <alignment vertical="center"/>
    </xf>
    <xf numFmtId="165" fontId="4" fillId="0" borderId="0" xfId="0" applyNumberFormat="1" applyFont="1" applyAlignment="1">
      <alignment vertical="center"/>
    </xf>
    <xf numFmtId="0" fontId="5" fillId="2" borderId="0" xfId="0" applyFont="1" applyFill="1" applyAlignment="1">
      <alignment vertical="center"/>
    </xf>
    <xf numFmtId="164" fontId="5" fillId="2" borderId="0" xfId="0" applyNumberFormat="1" applyFont="1" applyFill="1" applyAlignment="1">
      <alignment vertical="center"/>
    </xf>
    <xf numFmtId="165" fontId="5" fillId="2" borderId="0" xfId="0" applyNumberFormat="1" applyFont="1" applyFill="1" applyAlignment="1">
      <alignment horizontal="right" vertical="center"/>
    </xf>
    <xf numFmtId="164" fontId="5" fillId="2" borderId="1" xfId="0" applyNumberFormat="1" applyFont="1" applyFill="1" applyBorder="1" applyAlignment="1">
      <alignment vertical="center"/>
    </xf>
    <xf numFmtId="165" fontId="5" fillId="2" borderId="0" xfId="0" applyNumberFormat="1" applyFont="1" applyFill="1" applyAlignment="1">
      <alignment vertical="center"/>
    </xf>
    <xf numFmtId="0" fontId="4" fillId="0" borderId="0" xfId="0" applyFont="1" applyAlignment="1">
      <alignment horizontal="left" vertical="center"/>
    </xf>
    <xf numFmtId="174" fontId="4" fillId="0" borderId="0" xfId="0" applyNumberFormat="1" applyFont="1" applyAlignment="1">
      <alignment vertical="center"/>
    </xf>
    <xf numFmtId="164" fontId="4" fillId="0" borderId="1" xfId="0" applyNumberFormat="1" applyFont="1" applyFill="1" applyBorder="1" applyAlignment="1">
      <alignment vertical="center"/>
    </xf>
    <xf numFmtId="0" fontId="6" fillId="8" borderId="0" xfId="0" applyFont="1" applyFill="1" applyAlignment="1" applyProtection="1">
      <alignment vertical="center"/>
      <protection locked="0"/>
    </xf>
    <xf numFmtId="164" fontId="6" fillId="8" borderId="0" xfId="0" applyNumberFormat="1" applyFont="1" applyFill="1" applyAlignment="1">
      <alignment vertical="center"/>
    </xf>
    <xf numFmtId="165" fontId="6" fillId="8" borderId="0" xfId="0" applyNumberFormat="1" applyFont="1" applyFill="1" applyAlignment="1">
      <alignment horizontal="right" vertical="center"/>
    </xf>
    <xf numFmtId="164" fontId="6" fillId="8" borderId="1" xfId="0" applyNumberFormat="1" applyFont="1" applyFill="1" applyBorder="1" applyAlignment="1">
      <alignment vertical="center"/>
    </xf>
    <xf numFmtId="0" fontId="7" fillId="7" borderId="7" xfId="2" applyFont="1" applyFill="1" applyBorder="1" applyAlignment="1">
      <alignment horizontal="center" vertical="center"/>
    </xf>
    <xf numFmtId="168" fontId="4" fillId="0" borderId="7" xfId="1" applyNumberFormat="1" applyFont="1" applyBorder="1"/>
    <xf numFmtId="168" fontId="5" fillId="0" borderId="8" xfId="1" applyNumberFormat="1" applyFont="1" applyFill="1" applyBorder="1" applyAlignment="1">
      <alignment horizontal="right"/>
    </xf>
    <xf numFmtId="166" fontId="10" fillId="0" borderId="8" xfId="0" applyNumberFormat="1" applyFont="1" applyBorder="1" applyAlignment="1">
      <alignment horizontal="right"/>
    </xf>
    <xf numFmtId="166" fontId="13" fillId="0" borderId="7" xfId="0" applyNumberFormat="1" applyFont="1" applyBorder="1" applyAlignment="1">
      <alignment horizontal="right"/>
    </xf>
    <xf numFmtId="169" fontId="5" fillId="0" borderId="0" xfId="0" applyNumberFormat="1" applyFont="1"/>
    <xf numFmtId="164" fontId="5" fillId="0" borderId="5" xfId="3" applyNumberFormat="1" applyFont="1" applyFill="1" applyBorder="1"/>
    <xf numFmtId="164" fontId="5" fillId="0" borderId="5" xfId="0" applyNumberFormat="1" applyFont="1" applyBorder="1"/>
    <xf numFmtId="165" fontId="5" fillId="0" borderId="7" xfId="1" applyNumberFormat="1" applyFont="1" applyFill="1" applyBorder="1"/>
    <xf numFmtId="169" fontId="5" fillId="3" borderId="7" xfId="3" applyNumberFormat="1" applyFont="1" applyFill="1" applyBorder="1"/>
    <xf numFmtId="169" fontId="4" fillId="0" borderId="7" xfId="3" applyNumberFormat="1" applyFont="1" applyBorder="1"/>
    <xf numFmtId="164" fontId="4" fillId="0" borderId="7" xfId="0" applyNumberFormat="1" applyFont="1" applyBorder="1"/>
    <xf numFmtId="169" fontId="4" fillId="0" borderId="7" xfId="3" applyNumberFormat="1" applyFont="1" applyFill="1" applyBorder="1"/>
    <xf numFmtId="0" fontId="4" fillId="0" borderId="7" xfId="0" applyFont="1" applyBorder="1"/>
    <xf numFmtId="165" fontId="5" fillId="3" borderId="7" xfId="0" applyNumberFormat="1" applyFont="1" applyFill="1" applyBorder="1" applyAlignment="1">
      <alignment horizontal="right"/>
    </xf>
    <xf numFmtId="172" fontId="4" fillId="0" borderId="7" xfId="0" applyNumberFormat="1" applyFont="1" applyBorder="1"/>
    <xf numFmtId="168" fontId="5" fillId="3" borderId="7" xfId="1" applyNumberFormat="1" applyFont="1" applyFill="1" applyBorder="1" applyAlignment="1">
      <alignment horizontal="right"/>
    </xf>
    <xf numFmtId="168" fontId="4" fillId="0" borderId="7" xfId="1" applyNumberFormat="1" applyFont="1" applyBorder="1" applyAlignment="1">
      <alignment horizontal="right"/>
    </xf>
    <xf numFmtId="165" fontId="4" fillId="0" borderId="7" xfId="1" applyNumberFormat="1" applyFont="1" applyFill="1" applyBorder="1"/>
    <xf numFmtId="166" fontId="13" fillId="5" borderId="7" xfId="0" applyNumberFormat="1" applyFont="1" applyFill="1" applyBorder="1" applyAlignment="1">
      <alignment horizontal="right"/>
    </xf>
    <xf numFmtId="173" fontId="13" fillId="0" borderId="7" xfId="0" applyNumberFormat="1" applyFont="1" applyBorder="1" applyAlignment="1">
      <alignment horizontal="right"/>
    </xf>
    <xf numFmtId="168" fontId="5" fillId="0" borderId="7" xfId="1" applyNumberFormat="1" applyFont="1" applyBorder="1"/>
    <xf numFmtId="171" fontId="6" fillId="8" borderId="7" xfId="4" applyNumberFormat="1" applyFont="1" applyFill="1" applyBorder="1" applyAlignment="1">
      <alignment horizontal="right" vertical="center"/>
    </xf>
    <xf numFmtId="165" fontId="5" fillId="3" borderId="7" xfId="1" applyNumberFormat="1" applyFont="1" applyFill="1" applyBorder="1"/>
    <xf numFmtId="43" fontId="4" fillId="0" borderId="7" xfId="3" applyFont="1" applyFill="1" applyBorder="1" applyAlignment="1">
      <alignment horizontal="right" vertical="center"/>
    </xf>
    <xf numFmtId="165" fontId="5" fillId="5" borderId="7" xfId="1" applyNumberFormat="1" applyFont="1" applyFill="1" applyBorder="1" applyAlignment="1">
      <alignment horizontal="right"/>
    </xf>
    <xf numFmtId="168" fontId="4" fillId="0" borderId="7" xfId="1" applyNumberFormat="1" applyFont="1" applyFill="1" applyBorder="1" applyAlignment="1">
      <alignment horizontal="right" vertical="center"/>
    </xf>
    <xf numFmtId="0" fontId="4" fillId="0" borderId="7" xfId="5" applyFont="1" applyBorder="1" applyAlignment="1">
      <alignment horizontal="center" vertical="center"/>
    </xf>
    <xf numFmtId="170" fontId="5" fillId="2" borderId="7" xfId="4" applyNumberFormat="1" applyFont="1" applyFill="1" applyBorder="1" applyAlignment="1">
      <alignment horizontal="right" vertical="center"/>
    </xf>
    <xf numFmtId="170" fontId="4" fillId="6" borderId="7" xfId="5" applyNumberFormat="1" applyFont="1" applyFill="1" applyBorder="1" applyAlignment="1">
      <alignment horizontal="right" vertical="center"/>
    </xf>
    <xf numFmtId="0" fontId="4" fillId="0" borderId="7" xfId="5" applyFont="1" applyBorder="1" applyAlignment="1">
      <alignment horizontal="right" vertical="center"/>
    </xf>
    <xf numFmtId="170" fontId="6" fillId="7" borderId="7" xfId="5" applyNumberFormat="1" applyFont="1" applyFill="1" applyBorder="1" applyAlignment="1">
      <alignment horizontal="right" vertical="center"/>
    </xf>
    <xf numFmtId="0" fontId="4" fillId="0" borderId="7" xfId="5" applyFont="1" applyBorder="1" applyAlignment="1">
      <alignment vertical="center"/>
    </xf>
    <xf numFmtId="168" fontId="5" fillId="2" borderId="7" xfId="1" applyNumberFormat="1" applyFont="1" applyFill="1" applyBorder="1" applyAlignment="1">
      <alignment horizontal="right" vertical="center"/>
    </xf>
    <xf numFmtId="168" fontId="4" fillId="6" borderId="7" xfId="1" applyNumberFormat="1" applyFont="1" applyFill="1" applyBorder="1" applyAlignment="1">
      <alignment vertical="center"/>
    </xf>
    <xf numFmtId="168" fontId="5" fillId="2" borderId="7" xfId="1" applyNumberFormat="1" applyFont="1" applyFill="1" applyBorder="1" applyAlignment="1">
      <alignment vertical="center"/>
    </xf>
    <xf numFmtId="168" fontId="4" fillId="0" borderId="7" xfId="1" applyNumberFormat="1" applyFont="1" applyFill="1" applyBorder="1" applyAlignment="1"/>
    <xf numFmtId="165" fontId="5" fillId="2" borderId="7" xfId="1" applyNumberFormat="1" applyFont="1" applyFill="1" applyBorder="1" applyAlignment="1">
      <alignment horizontal="right"/>
    </xf>
    <xf numFmtId="165" fontId="4" fillId="0" borderId="7" xfId="1" applyNumberFormat="1" applyFont="1" applyFill="1" applyBorder="1" applyAlignment="1">
      <alignment horizontal="right"/>
    </xf>
    <xf numFmtId="168" fontId="4" fillId="6" borderId="7" xfId="1" applyNumberFormat="1" applyFont="1" applyFill="1" applyBorder="1" applyAlignment="1">
      <alignment horizontal="right" vertical="center"/>
    </xf>
    <xf numFmtId="165" fontId="5" fillId="2" borderId="7" xfId="1" applyNumberFormat="1" applyFont="1" applyFill="1" applyBorder="1" applyAlignment="1"/>
    <xf numFmtId="165" fontId="6" fillId="7" borderId="7" xfId="1" applyNumberFormat="1" applyFont="1" applyFill="1" applyBorder="1" applyAlignment="1"/>
    <xf numFmtId="0" fontId="4" fillId="0" borderId="0" xfId="5" applyFont="1" applyAlignment="1">
      <alignment horizontal="left" vertical="center" indent="1"/>
    </xf>
    <xf numFmtId="43" fontId="4" fillId="6" borderId="0" xfId="3" applyFont="1" applyFill="1" applyAlignment="1">
      <alignment horizontal="right" vertical="center"/>
    </xf>
    <xf numFmtId="0" fontId="4" fillId="0" borderId="0" xfId="5" applyFont="1" applyAlignment="1">
      <alignment horizontal="left" vertical="center"/>
    </xf>
    <xf numFmtId="43" fontId="4" fillId="6" borderId="0" xfId="3" applyFont="1" applyFill="1" applyAlignment="1">
      <alignment vertical="center"/>
    </xf>
    <xf numFmtId="43" fontId="4" fillId="0" borderId="0" xfId="3" applyFont="1" applyFill="1" applyBorder="1" applyAlignment="1">
      <alignment horizontal="right"/>
    </xf>
    <xf numFmtId="43" fontId="4" fillId="0" borderId="7" xfId="3" applyFont="1" applyFill="1" applyBorder="1" applyAlignment="1">
      <alignment horizontal="right"/>
    </xf>
    <xf numFmtId="164" fontId="5" fillId="2" borderId="7" xfId="0" applyNumberFormat="1" applyFont="1" applyFill="1" applyBorder="1"/>
    <xf numFmtId="164" fontId="5" fillId="0" borderId="7" xfId="0" applyNumberFormat="1" applyFont="1" applyBorder="1"/>
    <xf numFmtId="165" fontId="4" fillId="0" borderId="7" xfId="0" applyNumberFormat="1" applyFont="1" applyBorder="1" applyAlignment="1">
      <alignment horizontal="right"/>
    </xf>
    <xf numFmtId="165" fontId="5" fillId="2" borderId="7" xfId="0" applyNumberFormat="1" applyFont="1" applyFill="1" applyBorder="1" applyAlignment="1">
      <alignment horizontal="right"/>
    </xf>
    <xf numFmtId="165" fontId="5" fillId="0" borderId="7" xfId="0" applyNumberFormat="1" applyFont="1" applyBorder="1" applyAlignment="1">
      <alignment horizontal="right"/>
    </xf>
    <xf numFmtId="165" fontId="4" fillId="0" borderId="7" xfId="0" applyNumberFormat="1" applyFont="1" applyBorder="1" applyAlignment="1">
      <alignment horizontal="right" vertical="center"/>
    </xf>
    <xf numFmtId="165" fontId="5" fillId="2" borderId="7" xfId="0" applyNumberFormat="1" applyFont="1" applyFill="1" applyBorder="1" applyAlignment="1">
      <alignment horizontal="right" vertical="center"/>
    </xf>
    <xf numFmtId="165" fontId="5" fillId="3" borderId="7" xfId="0" applyNumberFormat="1" applyFont="1" applyFill="1" applyBorder="1" applyAlignment="1">
      <alignment horizontal="right" vertical="center"/>
    </xf>
    <xf numFmtId="165" fontId="4" fillId="0" borderId="7" xfId="0" applyNumberFormat="1" applyFont="1" applyBorder="1" applyAlignment="1">
      <alignment horizontal="center" vertical="center"/>
    </xf>
    <xf numFmtId="164" fontId="4" fillId="0" borderId="7" xfId="0" applyNumberFormat="1" applyFont="1" applyBorder="1" applyAlignment="1">
      <alignment vertical="center"/>
    </xf>
    <xf numFmtId="164" fontId="5" fillId="3" borderId="7" xfId="0" applyNumberFormat="1" applyFont="1" applyFill="1" applyBorder="1" applyAlignment="1">
      <alignment vertical="center"/>
    </xf>
    <xf numFmtId="165" fontId="10" fillId="0" borderId="7" xfId="0" applyNumberFormat="1" applyFont="1" applyBorder="1" applyAlignment="1">
      <alignment vertical="center"/>
    </xf>
    <xf numFmtId="164" fontId="5" fillId="2" borderId="7" xfId="0" applyNumberFormat="1" applyFont="1" applyFill="1" applyBorder="1" applyAlignment="1">
      <alignment vertical="center"/>
    </xf>
    <xf numFmtId="165" fontId="5" fillId="0" borderId="7" xfId="0" applyNumberFormat="1" applyFont="1" applyBorder="1" applyAlignment="1">
      <alignment horizontal="right" vertical="center"/>
    </xf>
    <xf numFmtId="166" fontId="10" fillId="0" borderId="7" xfId="0" quotePrefix="1" applyNumberFormat="1" applyFont="1" applyBorder="1" applyAlignment="1">
      <alignment horizontal="right" vertical="center"/>
    </xf>
    <xf numFmtId="166" fontId="10" fillId="0" borderId="7" xfId="0" applyNumberFormat="1" applyFont="1" applyBorder="1" applyAlignment="1">
      <alignment horizontal="right" vertical="center"/>
    </xf>
    <xf numFmtId="164" fontId="4" fillId="0" borderId="0" xfId="0" applyNumberFormat="1" applyFont="1" applyAlignment="1">
      <alignment horizontal="center" vertical="center"/>
    </xf>
    <xf numFmtId="165" fontId="4" fillId="0" borderId="0" xfId="0" applyNumberFormat="1" applyFont="1" applyAlignment="1">
      <alignment horizontal="center" vertical="center"/>
    </xf>
    <xf numFmtId="0" fontId="4" fillId="0" borderId="7" xfId="0" applyFont="1" applyBorder="1" applyAlignment="1">
      <alignment vertical="center"/>
    </xf>
    <xf numFmtId="164" fontId="6" fillId="4" borderId="7" xfId="0" applyNumberFormat="1" applyFont="1" applyFill="1" applyBorder="1" applyAlignment="1">
      <alignment vertical="center"/>
    </xf>
    <xf numFmtId="164" fontId="6" fillId="8" borderId="7" xfId="0" applyNumberFormat="1" applyFont="1" applyFill="1" applyBorder="1" applyAlignment="1">
      <alignment vertical="center"/>
    </xf>
    <xf numFmtId="0" fontId="7" fillId="7" borderId="7" xfId="2" applyFont="1" applyFill="1" applyBorder="1" applyAlignment="1">
      <alignment horizontal="center" vertical="center" wrapText="1"/>
    </xf>
    <xf numFmtId="165" fontId="6" fillId="4" borderId="7" xfId="0" applyNumberFormat="1" applyFont="1" applyFill="1" applyBorder="1" applyAlignment="1">
      <alignment horizontal="right" vertical="center"/>
    </xf>
    <xf numFmtId="165" fontId="4" fillId="0" borderId="7" xfId="0" applyNumberFormat="1" applyFont="1" applyBorder="1" applyAlignment="1">
      <alignment vertical="center"/>
    </xf>
    <xf numFmtId="165" fontId="5" fillId="2" borderId="7" xfId="0" applyNumberFormat="1" applyFont="1" applyFill="1" applyBorder="1" applyAlignment="1">
      <alignment vertical="center"/>
    </xf>
    <xf numFmtId="174" fontId="4" fillId="0" borderId="7" xfId="0" applyNumberFormat="1" applyFont="1" applyBorder="1" applyAlignment="1">
      <alignment vertical="center"/>
    </xf>
    <xf numFmtId="165" fontId="6" fillId="8" borderId="7" xfId="0" applyNumberFormat="1" applyFont="1" applyFill="1" applyBorder="1" applyAlignment="1">
      <alignment horizontal="right" vertical="center"/>
    </xf>
    <xf numFmtId="164" fontId="5" fillId="5" borderId="7" xfId="0" applyNumberFormat="1" applyFont="1" applyFill="1" applyBorder="1"/>
    <xf numFmtId="165" fontId="5" fillId="0" borderId="7" xfId="0" applyNumberFormat="1" applyFont="1" applyBorder="1"/>
    <xf numFmtId="165" fontId="6" fillId="8" borderId="7" xfId="0" applyNumberFormat="1" applyFont="1" applyFill="1" applyBorder="1" applyAlignment="1">
      <alignment horizontal="right"/>
    </xf>
    <xf numFmtId="165" fontId="4" fillId="0" borderId="7" xfId="0" applyNumberFormat="1" applyFont="1" applyBorder="1"/>
    <xf numFmtId="165" fontId="5" fillId="5" borderId="7" xfId="0" applyNumberFormat="1" applyFont="1" applyFill="1" applyBorder="1" applyAlignment="1">
      <alignment horizontal="right"/>
    </xf>
    <xf numFmtId="0" fontId="5" fillId="0" borderId="0" xfId="0" applyFont="1" applyAlignment="1">
      <alignment horizontal="left"/>
    </xf>
    <xf numFmtId="164" fontId="5" fillId="0" borderId="0" xfId="0" applyNumberFormat="1" applyFont="1" applyAlignment="1">
      <alignment horizontal="right"/>
    </xf>
    <xf numFmtId="168" fontId="5" fillId="0" borderId="9" xfId="1" applyNumberFormat="1" applyFont="1" applyFill="1" applyBorder="1" applyAlignment="1">
      <alignment horizontal="right"/>
    </xf>
    <xf numFmtId="0" fontId="4" fillId="0" borderId="4" xfId="0" applyFont="1" applyBorder="1" applyAlignment="1">
      <alignment horizontal="left"/>
    </xf>
    <xf numFmtId="168" fontId="4" fillId="0" borderId="4" xfId="0" applyNumberFormat="1" applyFont="1" applyBorder="1" applyAlignment="1">
      <alignment horizontal="right"/>
    </xf>
    <xf numFmtId="168" fontId="4" fillId="0" borderId="6" xfId="1" applyNumberFormat="1" applyFont="1" applyFill="1" applyBorder="1" applyAlignment="1">
      <alignment horizontal="right"/>
    </xf>
    <xf numFmtId="168" fontId="4" fillId="0" borderId="4" xfId="1" applyNumberFormat="1" applyFont="1" applyFill="1" applyBorder="1" applyAlignment="1">
      <alignment horizontal="right"/>
    </xf>
    <xf numFmtId="166" fontId="10" fillId="0" borderId="10" xfId="0" applyNumberFormat="1" applyFont="1" applyBorder="1" applyAlignment="1">
      <alignment horizontal="right"/>
    </xf>
    <xf numFmtId="0" fontId="4" fillId="0" borderId="4" xfId="0" applyFont="1" applyBorder="1"/>
    <xf numFmtId="165" fontId="5" fillId="0" borderId="0" xfId="1" applyNumberFormat="1" applyFont="1" applyFill="1" applyBorder="1" applyAlignment="1">
      <alignment horizontal="right"/>
    </xf>
    <xf numFmtId="165" fontId="5" fillId="0" borderId="0" xfId="1" applyNumberFormat="1" applyFont="1" applyFill="1" applyAlignment="1">
      <alignment horizontal="right"/>
    </xf>
    <xf numFmtId="165" fontId="5" fillId="0" borderId="0" xfId="1" applyNumberFormat="1" applyFont="1" applyFill="1" applyBorder="1" applyAlignment="1">
      <alignment horizontal="right" vertical="center"/>
    </xf>
    <xf numFmtId="165" fontId="5" fillId="0" borderId="0" xfId="1" applyNumberFormat="1" applyFont="1" applyFill="1" applyAlignment="1">
      <alignment horizontal="right" vertical="center"/>
    </xf>
    <xf numFmtId="169" fontId="5" fillId="0" borderId="0" xfId="3" applyNumberFormat="1" applyFont="1"/>
    <xf numFmtId="168" fontId="5" fillId="0" borderId="0" xfId="5" applyNumberFormat="1" applyFont="1" applyAlignment="1">
      <alignment vertical="center"/>
    </xf>
    <xf numFmtId="0" fontId="5" fillId="0" borderId="7" xfId="0" applyFont="1" applyBorder="1" applyAlignment="1">
      <alignment horizontal="right" vertical="center"/>
    </xf>
    <xf numFmtId="164" fontId="5" fillId="3" borderId="0" xfId="0" applyNumberFormat="1" applyFont="1" applyFill="1" applyAlignment="1">
      <alignment vertical="center"/>
    </xf>
    <xf numFmtId="165" fontId="5" fillId="3" borderId="0" xfId="0" applyNumberFormat="1" applyFont="1" applyFill="1" applyAlignment="1">
      <alignment horizontal="right" vertical="center"/>
    </xf>
    <xf numFmtId="164" fontId="5" fillId="3" borderId="1" xfId="0" applyNumberFormat="1" applyFont="1" applyFill="1" applyBorder="1" applyAlignment="1">
      <alignment vertical="center"/>
    </xf>
    <xf numFmtId="165" fontId="4" fillId="0" borderId="0" xfId="0" applyNumberFormat="1" applyFont="1" applyAlignment="1">
      <alignment horizontal="left" vertical="center"/>
    </xf>
    <xf numFmtId="10" fontId="4" fillId="0" borderId="0" xfId="0" applyNumberFormat="1" applyFont="1" applyAlignment="1">
      <alignment vertical="center"/>
    </xf>
    <xf numFmtId="165" fontId="5" fillId="2" borderId="0" xfId="0" applyNumberFormat="1" applyFont="1" applyFill="1" applyAlignment="1">
      <alignment horizontal="center" vertical="center"/>
    </xf>
    <xf numFmtId="164" fontId="5" fillId="0" borderId="7" xfId="0" applyNumberFormat="1" applyFont="1" applyBorder="1" applyAlignment="1">
      <alignment vertical="center"/>
    </xf>
    <xf numFmtId="165" fontId="5" fillId="0" borderId="0" xfId="0" applyNumberFormat="1" applyFont="1" applyAlignment="1">
      <alignment horizontal="right" vertical="center"/>
    </xf>
    <xf numFmtId="165" fontId="5" fillId="0" borderId="0" xfId="0" applyNumberFormat="1" applyFont="1" applyAlignment="1">
      <alignment horizontal="center" vertical="center"/>
    </xf>
    <xf numFmtId="164" fontId="5" fillId="0" borderId="0" xfId="0" applyNumberFormat="1" applyFont="1" applyAlignment="1">
      <alignment vertical="center"/>
    </xf>
    <xf numFmtId="164" fontId="5" fillId="0" borderId="1" xfId="0" applyNumberFormat="1" applyFont="1" applyBorder="1" applyAlignment="1">
      <alignment vertical="center"/>
    </xf>
    <xf numFmtId="165" fontId="10" fillId="0" borderId="0" xfId="0" applyNumberFormat="1" applyFont="1" applyAlignment="1">
      <alignment vertical="center"/>
    </xf>
    <xf numFmtId="166" fontId="10" fillId="0" borderId="0" xfId="0" applyNumberFormat="1" applyFont="1" applyAlignment="1">
      <alignment horizontal="right" vertical="center"/>
    </xf>
    <xf numFmtId="166" fontId="10" fillId="0" borderId="0" xfId="0" quotePrefix="1" applyNumberFormat="1" applyFont="1" applyAlignment="1">
      <alignment horizontal="right" vertical="center"/>
    </xf>
    <xf numFmtId="168" fontId="10" fillId="0" borderId="1" xfId="1" applyNumberFormat="1" applyFont="1" applyBorder="1" applyAlignment="1">
      <alignment vertical="center"/>
    </xf>
    <xf numFmtId="165" fontId="10" fillId="0" borderId="2" xfId="0" applyNumberFormat="1" applyFont="1" applyBorder="1" applyAlignment="1">
      <alignment vertical="center"/>
    </xf>
    <xf numFmtId="165" fontId="10" fillId="0" borderId="1" xfId="0" applyNumberFormat="1" applyFont="1" applyBorder="1" applyAlignment="1">
      <alignment vertical="center"/>
    </xf>
    <xf numFmtId="165" fontId="5" fillId="3" borderId="0" xfId="0" applyNumberFormat="1" applyFont="1" applyFill="1" applyAlignment="1">
      <alignment horizontal="center" vertical="center"/>
    </xf>
    <xf numFmtId="164" fontId="11" fillId="0" borderId="0" xfId="0" applyNumberFormat="1" applyFont="1" applyAlignment="1">
      <alignment vertical="center"/>
    </xf>
    <xf numFmtId="0" fontId="5" fillId="3" borderId="0" xfId="5" quotePrefix="1" applyFont="1" applyFill="1" applyAlignment="1">
      <alignment vertical="center"/>
    </xf>
    <xf numFmtId="0" fontId="7" fillId="7" borderId="0" xfId="2" applyFont="1" applyFill="1" applyBorder="1" applyAlignment="1">
      <alignment horizontal="center" vertical="center"/>
    </xf>
    <xf numFmtId="169" fontId="4" fillId="0" borderId="0" xfId="3" applyNumberFormat="1" applyFont="1" applyBorder="1"/>
    <xf numFmtId="169" fontId="5" fillId="0" borderId="0" xfId="3" applyNumberFormat="1" applyFont="1" applyFill="1" applyBorder="1"/>
    <xf numFmtId="169" fontId="5" fillId="0" borderId="5" xfId="3" applyNumberFormat="1" applyFont="1" applyBorder="1"/>
    <xf numFmtId="176" fontId="5" fillId="0" borderId="0" xfId="0" applyNumberFormat="1" applyFont="1"/>
    <xf numFmtId="0" fontId="4" fillId="0" borderId="0" xfId="0" applyFont="1" applyAlignment="1">
      <alignment horizontal="left" vertical="center" wrapText="1"/>
    </xf>
    <xf numFmtId="43" fontId="4" fillId="0" borderId="0" xfId="3" applyFont="1"/>
    <xf numFmtId="9" fontId="4" fillId="0" borderId="0" xfId="1" applyFont="1"/>
    <xf numFmtId="0" fontId="7" fillId="0" borderId="0" xfId="2" applyFont="1" applyFill="1" applyAlignment="1">
      <alignment horizontal="center" vertical="center"/>
    </xf>
    <xf numFmtId="164" fontId="5" fillId="0" borderId="0" xfId="0" applyNumberFormat="1" applyFont="1" applyFill="1" applyBorder="1"/>
    <xf numFmtId="165" fontId="5" fillId="0" borderId="0" xfId="0" applyNumberFormat="1" applyFont="1" applyFill="1" applyAlignment="1">
      <alignment horizontal="right"/>
    </xf>
    <xf numFmtId="172" fontId="4" fillId="0" borderId="0" xfId="0" applyNumberFormat="1" applyFont="1" applyFill="1" applyBorder="1"/>
    <xf numFmtId="172" fontId="4" fillId="0" borderId="0" xfId="0" applyNumberFormat="1" applyFont="1" applyFill="1"/>
    <xf numFmtId="43" fontId="4" fillId="0" borderId="0" xfId="3" applyFont="1" applyFill="1"/>
    <xf numFmtId="0" fontId="5" fillId="0" borderId="7" xfId="0" applyFont="1" applyBorder="1" applyAlignment="1">
      <alignment horizontal="right"/>
    </xf>
    <xf numFmtId="168" fontId="5" fillId="5" borderId="7" xfId="1" applyNumberFormat="1" applyFont="1" applyFill="1" applyBorder="1" applyAlignment="1">
      <alignment horizontal="right"/>
    </xf>
    <xf numFmtId="164" fontId="5" fillId="5" borderId="7" xfId="0" applyNumberFormat="1" applyFont="1" applyFill="1" applyBorder="1" applyAlignment="1">
      <alignment vertical="center"/>
    </xf>
    <xf numFmtId="169" fontId="4" fillId="0" borderId="0" xfId="0" applyNumberFormat="1" applyFont="1" applyAlignment="1">
      <alignment vertical="center"/>
    </xf>
    <xf numFmtId="165" fontId="5" fillId="0" borderId="7" xfId="0" applyNumberFormat="1" applyFont="1" applyBorder="1" applyAlignment="1">
      <alignment vertical="center"/>
    </xf>
    <xf numFmtId="165" fontId="5" fillId="5" borderId="7" xfId="0" applyNumberFormat="1" applyFont="1" applyFill="1" applyBorder="1" applyAlignment="1">
      <alignment horizontal="right" vertical="center"/>
    </xf>
    <xf numFmtId="0" fontId="4" fillId="0" borderId="0" xfId="0" applyFont="1" applyBorder="1" applyAlignment="1">
      <alignment vertical="center"/>
    </xf>
    <xf numFmtId="164" fontId="4" fillId="0" borderId="0" xfId="0" applyNumberFormat="1" applyFont="1" applyBorder="1" applyAlignment="1">
      <alignment vertical="center"/>
    </xf>
    <xf numFmtId="0" fontId="4" fillId="0" borderId="0" xfId="0" applyFont="1" applyAlignment="1">
      <alignment horizontal="left" vertical="center" indent="1"/>
    </xf>
    <xf numFmtId="0" fontId="4" fillId="0" borderId="0" xfId="0" applyFont="1" applyAlignment="1">
      <alignment horizontal="left" vertical="center" wrapText="1" indent="1"/>
    </xf>
    <xf numFmtId="0" fontId="4" fillId="0" borderId="0" xfId="5" applyFont="1" applyBorder="1" applyAlignment="1">
      <alignment horizontal="center" vertical="center"/>
    </xf>
    <xf numFmtId="0" fontId="4" fillId="0" borderId="0" xfId="5" applyFont="1" applyBorder="1" applyAlignment="1">
      <alignment horizontal="right" vertical="center"/>
    </xf>
    <xf numFmtId="165" fontId="6" fillId="4" borderId="0" xfId="0" applyNumberFormat="1" applyFont="1" applyFill="1" applyAlignment="1">
      <alignment vertical="center"/>
    </xf>
    <xf numFmtId="0" fontId="4" fillId="0" borderId="0" xfId="0" applyFont="1" applyFill="1" applyAlignment="1">
      <alignment vertical="top" wrapText="1"/>
    </xf>
    <xf numFmtId="10" fontId="4" fillId="0" borderId="0" xfId="0" applyNumberFormat="1" applyFont="1" applyAlignment="1">
      <alignment horizontal="left" vertical="center" wrapText="1"/>
    </xf>
  </cellXfs>
  <cellStyles count="8">
    <cellStyle name="Normal" xfId="0" builtinId="0"/>
    <cellStyle name="Normal 3 2" xfId="5" xr:uid="{C21253B1-8B28-4D22-981D-06912C80E340}"/>
    <cellStyle name="Normal_Template Consolidado Mar.2009 Novo 2" xfId="2" xr:uid="{59903BDC-9E28-40AD-81F3-19B1E11BDA5A}"/>
    <cellStyle name="Porcentagem" xfId="1" builtinId="5"/>
    <cellStyle name="Vírgula" xfId="3" builtinId="3"/>
    <cellStyle name="Vírgula 2" xfId="6" xr:uid="{FC175E68-B61C-4474-B1C3-86277B2F72D2}"/>
    <cellStyle name="Vírgula 3 2" xfId="4" xr:uid="{8D5BAB7A-7382-47D3-9CBF-27A379891A76}"/>
    <cellStyle name="Vírgula 3 2 2" xfId="7" xr:uid="{4D5C9E66-4A47-4564-95AB-9559DFEDDD6C}"/>
  </cellStyles>
  <dxfs count="0"/>
  <tableStyles count="0" defaultTableStyle="TableStyleMedium2" defaultPivotStyle="PivotStyleLight16"/>
  <colors>
    <mruColors>
      <color rgb="FFD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1600200</xdr:colOff>
      <xdr:row>0</xdr:row>
      <xdr:rowOff>542925</xdr:rowOff>
    </xdr:to>
    <xdr:pic>
      <xdr:nvPicPr>
        <xdr:cNvPr id="3" name="Imagem 2">
          <a:extLst>
            <a:ext uri="{FF2B5EF4-FFF2-40B4-BE49-F238E27FC236}">
              <a16:creationId xmlns:a16="http://schemas.microsoft.com/office/drawing/2014/main" id="{4613049C-7E59-477D-AF03-AF8EE0FD27FB}"/>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1600200</xdr:colOff>
      <xdr:row>0</xdr:row>
      <xdr:rowOff>542925</xdr:rowOff>
    </xdr:to>
    <xdr:pic>
      <xdr:nvPicPr>
        <xdr:cNvPr id="3" name="Imagem 2">
          <a:extLst>
            <a:ext uri="{FF2B5EF4-FFF2-40B4-BE49-F238E27FC236}">
              <a16:creationId xmlns:a16="http://schemas.microsoft.com/office/drawing/2014/main" id="{F7A72387-028B-4307-8C24-FC63EB1CC216}"/>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0</xdr:row>
      <xdr:rowOff>542925</xdr:rowOff>
    </xdr:to>
    <xdr:pic>
      <xdr:nvPicPr>
        <xdr:cNvPr id="3" name="Imagem 2">
          <a:extLst>
            <a:ext uri="{FF2B5EF4-FFF2-40B4-BE49-F238E27FC236}">
              <a16:creationId xmlns:a16="http://schemas.microsoft.com/office/drawing/2014/main" id="{CF02CB43-9BA3-4065-9E4D-077750B6F738}"/>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1028700</xdr:colOff>
      <xdr:row>3</xdr:row>
      <xdr:rowOff>542925</xdr:rowOff>
    </xdr:to>
    <xdr:pic>
      <xdr:nvPicPr>
        <xdr:cNvPr id="3" name="Imagem 2">
          <a:extLst>
            <a:ext uri="{FF2B5EF4-FFF2-40B4-BE49-F238E27FC236}">
              <a16:creationId xmlns:a16="http://schemas.microsoft.com/office/drawing/2014/main" id="{14F27633-C252-4695-8008-C3B1A0BBAC0A}"/>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485775"/>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495300</xdr:colOff>
      <xdr:row>0</xdr:row>
      <xdr:rowOff>542925</xdr:rowOff>
    </xdr:to>
    <xdr:pic>
      <xdr:nvPicPr>
        <xdr:cNvPr id="3" name="Imagem 2">
          <a:extLst>
            <a:ext uri="{FF2B5EF4-FFF2-40B4-BE49-F238E27FC236}">
              <a16:creationId xmlns:a16="http://schemas.microsoft.com/office/drawing/2014/main" id="{3E4F0378-E7B0-4618-AC47-EA65CB18D689}"/>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1600200</xdr:colOff>
      <xdr:row>0</xdr:row>
      <xdr:rowOff>542925</xdr:rowOff>
    </xdr:to>
    <xdr:pic>
      <xdr:nvPicPr>
        <xdr:cNvPr id="2" name="Imagem 1">
          <a:extLst>
            <a:ext uri="{FF2B5EF4-FFF2-40B4-BE49-F238E27FC236}">
              <a16:creationId xmlns:a16="http://schemas.microsoft.com/office/drawing/2014/main" id="{046F9979-E3B4-4EA0-8EF5-2182A1868999}"/>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1600200</xdr:colOff>
      <xdr:row>0</xdr:row>
      <xdr:rowOff>542925</xdr:rowOff>
    </xdr:to>
    <xdr:pic>
      <xdr:nvPicPr>
        <xdr:cNvPr id="3" name="Imagem 2">
          <a:extLst>
            <a:ext uri="{FF2B5EF4-FFF2-40B4-BE49-F238E27FC236}">
              <a16:creationId xmlns:a16="http://schemas.microsoft.com/office/drawing/2014/main" id="{2F372188-F125-4A4A-AD4F-2202C5DB48B3}"/>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1600200</xdr:colOff>
      <xdr:row>0</xdr:row>
      <xdr:rowOff>542925</xdr:rowOff>
    </xdr:to>
    <xdr:pic>
      <xdr:nvPicPr>
        <xdr:cNvPr id="3" name="Imagem 2">
          <a:extLst>
            <a:ext uri="{FF2B5EF4-FFF2-40B4-BE49-F238E27FC236}">
              <a16:creationId xmlns:a16="http://schemas.microsoft.com/office/drawing/2014/main" id="{3C9FC7A1-3D70-4BA2-895E-3E97D8818510}"/>
            </a:ext>
          </a:extLst>
        </xdr:cNvPr>
        <xdr:cNvPicPr>
          <a:picLocks noChangeAspect="1"/>
        </xdr:cNvPicPr>
      </xdr:nvPicPr>
      <xdr:blipFill rotWithShape="1">
        <a:blip xmlns:r="http://schemas.openxmlformats.org/officeDocument/2006/relationships" r:embed="rId1"/>
        <a:srcRect l="2416" t="30859" r="85285" b="61719"/>
        <a:stretch/>
      </xdr:blipFill>
      <xdr:spPr bwMode="auto">
        <a:xfrm>
          <a:off x="0" y="0"/>
          <a:ext cx="1600200" cy="5429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88A24-E223-441D-B8B2-0FEC44C0B7F8}">
  <dimension ref="A1:Y25"/>
  <sheetViews>
    <sheetView showGridLines="0" zoomScaleNormal="100" workbookViewId="0">
      <selection activeCell="A11" sqref="A11"/>
    </sheetView>
  </sheetViews>
  <sheetFormatPr defaultColWidth="9.1796875" defaultRowHeight="10"/>
  <cols>
    <col min="1" max="1" width="63.54296875" style="1" bestFit="1" customWidth="1"/>
    <col min="2" max="4" width="12" style="1" customWidth="1"/>
    <col min="5" max="5" width="2.54296875" style="1" customWidth="1"/>
    <col min="6" max="7" width="10.7265625" style="1" customWidth="1"/>
    <col min="8" max="8" width="9.1796875" style="1" customWidth="1"/>
    <col min="9" max="17" width="12" style="1" customWidth="1"/>
    <col min="18" max="18" width="11.54296875" style="1" customWidth="1"/>
    <col min="19" max="19" width="1.81640625" style="1" customWidth="1"/>
    <col min="20" max="23" width="10.7265625" style="1" customWidth="1"/>
    <col min="24" max="24" width="9.1796875" style="1"/>
    <col min="25" max="25" width="9.7265625" style="1" bestFit="1" customWidth="1"/>
    <col min="26" max="16384" width="9.1796875" style="1"/>
  </cols>
  <sheetData>
    <row r="1" spans="1:25" ht="55.5" customHeight="1"/>
    <row r="2" spans="1:25">
      <c r="F2" s="3" t="s">
        <v>40</v>
      </c>
      <c r="G2" s="3" t="s">
        <v>40</v>
      </c>
      <c r="T2" s="3" t="s">
        <v>40</v>
      </c>
      <c r="U2" s="3" t="s">
        <v>40</v>
      </c>
      <c r="V2" s="3" t="s">
        <v>40</v>
      </c>
      <c r="W2" s="3" t="s">
        <v>40</v>
      </c>
      <c r="X2" s="3" t="s">
        <v>40</v>
      </c>
      <c r="Y2" s="3" t="s">
        <v>40</v>
      </c>
    </row>
    <row r="3" spans="1:25">
      <c r="A3" s="4" t="s">
        <v>29</v>
      </c>
      <c r="B3" s="5">
        <v>2019</v>
      </c>
      <c r="C3" s="5">
        <v>2020</v>
      </c>
      <c r="D3" s="5">
        <v>2021</v>
      </c>
      <c r="E3" s="42"/>
      <c r="F3" s="5">
        <v>2020</v>
      </c>
      <c r="G3" s="5">
        <v>2021</v>
      </c>
      <c r="H3" s="6"/>
      <c r="I3" s="62" t="s">
        <v>30</v>
      </c>
      <c r="J3" s="5" t="s">
        <v>31</v>
      </c>
      <c r="K3" s="5" t="s">
        <v>32</v>
      </c>
      <c r="L3" s="5" t="s">
        <v>33</v>
      </c>
      <c r="M3" s="62" t="s">
        <v>34</v>
      </c>
      <c r="N3" s="5" t="s">
        <v>35</v>
      </c>
      <c r="O3" s="5" t="s">
        <v>194</v>
      </c>
      <c r="P3" s="5" t="s">
        <v>200</v>
      </c>
      <c r="Q3" s="62" t="s">
        <v>213</v>
      </c>
      <c r="R3" s="62" t="s">
        <v>241</v>
      </c>
      <c r="T3" s="5" t="s">
        <v>34</v>
      </c>
      <c r="U3" s="5" t="s">
        <v>35</v>
      </c>
      <c r="V3" s="5" t="s">
        <v>194</v>
      </c>
      <c r="W3" s="5" t="s">
        <v>200</v>
      </c>
      <c r="X3" s="211" t="s">
        <v>213</v>
      </c>
      <c r="Y3" s="5" t="s">
        <v>241</v>
      </c>
    </row>
    <row r="4" spans="1:25">
      <c r="A4" s="24" t="s">
        <v>8</v>
      </c>
      <c r="B4" s="151">
        <v>23111</v>
      </c>
      <c r="C4" s="143">
        <v>36974</v>
      </c>
      <c r="D4" s="143">
        <v>47525</v>
      </c>
      <c r="F4" s="40">
        <v>0.6</v>
      </c>
      <c r="G4" s="40">
        <v>0.28499999999999998</v>
      </c>
      <c r="I4" s="150">
        <v>7507</v>
      </c>
      <c r="J4" s="151">
        <v>7805</v>
      </c>
      <c r="K4" s="151">
        <v>10581</v>
      </c>
      <c r="L4" s="145">
        <v>11081</v>
      </c>
      <c r="M4" s="144">
        <v>9664</v>
      </c>
      <c r="N4" s="151">
        <v>9579</v>
      </c>
      <c r="O4" s="151">
        <v>11133</v>
      </c>
      <c r="P4" s="151">
        <v>17149</v>
      </c>
      <c r="Q4" s="144">
        <v>18142</v>
      </c>
      <c r="R4" s="143">
        <v>19339.340596100381</v>
      </c>
      <c r="T4" s="40">
        <v>0.28699999999999998</v>
      </c>
      <c r="U4" s="40">
        <v>0.22700000000000001</v>
      </c>
      <c r="V4" s="40">
        <v>5.1999999999999998E-2</v>
      </c>
      <c r="W4" s="40">
        <v>0.54800000000000004</v>
      </c>
      <c r="X4" s="212">
        <v>0.877</v>
      </c>
      <c r="Y4" s="40">
        <f t="shared" ref="Y4:Y11" si="0">ROUND(R4/N4-1,3)</f>
        <v>1.0189999999999999</v>
      </c>
    </row>
    <row r="5" spans="1:25">
      <c r="A5" s="24" t="s">
        <v>9</v>
      </c>
      <c r="B5" s="151">
        <v>3506</v>
      </c>
      <c r="C5" s="143">
        <v>4296</v>
      </c>
      <c r="D5" s="143">
        <v>5532</v>
      </c>
      <c r="F5" s="40">
        <v>0.22500000000000001</v>
      </c>
      <c r="G5" s="40">
        <v>0.28799999999999998</v>
      </c>
      <c r="I5" s="150">
        <v>908</v>
      </c>
      <c r="J5" s="151">
        <v>894</v>
      </c>
      <c r="K5" s="151">
        <v>1232</v>
      </c>
      <c r="L5" s="145">
        <v>1262</v>
      </c>
      <c r="M5" s="144">
        <v>1127</v>
      </c>
      <c r="N5" s="151">
        <v>1440</v>
      </c>
      <c r="O5" s="151">
        <v>1464</v>
      </c>
      <c r="P5" s="151">
        <v>1501</v>
      </c>
      <c r="Q5" s="144">
        <v>1417</v>
      </c>
      <c r="R5" s="143">
        <v>1562.5000937139378</v>
      </c>
      <c r="T5" s="40">
        <v>0.24118942731277501</v>
      </c>
      <c r="U5" s="40">
        <v>0.61099999999999999</v>
      </c>
      <c r="V5" s="40">
        <v>0.188</v>
      </c>
      <c r="W5" s="40">
        <v>0.189</v>
      </c>
      <c r="X5" s="212">
        <v>0.25700000000000001</v>
      </c>
      <c r="Y5" s="40">
        <f t="shared" si="0"/>
        <v>8.5000000000000006E-2</v>
      </c>
    </row>
    <row r="6" spans="1:25" s="2" customFormat="1">
      <c r="A6" s="164" t="s">
        <v>23</v>
      </c>
      <c r="B6" s="165">
        <v>26617</v>
      </c>
      <c r="C6" s="165">
        <v>41270</v>
      </c>
      <c r="D6" s="166">
        <v>53057</v>
      </c>
      <c r="F6" s="167">
        <v>0.55100000000000005</v>
      </c>
      <c r="G6" s="167">
        <v>0.28599999999999998</v>
      </c>
      <c r="I6" s="168">
        <v>8415</v>
      </c>
      <c r="J6" s="169">
        <v>8699</v>
      </c>
      <c r="K6" s="169">
        <v>11813</v>
      </c>
      <c r="L6" s="169">
        <v>12343</v>
      </c>
      <c r="M6" s="168">
        <v>10790</v>
      </c>
      <c r="N6" s="169">
        <v>11020</v>
      </c>
      <c r="O6" s="169">
        <v>12597</v>
      </c>
      <c r="P6" s="169">
        <v>18650</v>
      </c>
      <c r="Q6" s="168">
        <v>19559</v>
      </c>
      <c r="R6" s="168">
        <f>SUM(R4:R5)</f>
        <v>20901.840689814318</v>
      </c>
      <c r="S6" s="49"/>
      <c r="T6" s="167">
        <v>0.28199999999999997</v>
      </c>
      <c r="U6" s="167">
        <v>0.26700000000000002</v>
      </c>
      <c r="V6" s="167">
        <v>6.6000000000000003E-2</v>
      </c>
      <c r="W6" s="167">
        <v>0.51100000000000001</v>
      </c>
      <c r="X6" s="213">
        <v>0.81299999999999994</v>
      </c>
      <c r="Y6" s="167">
        <f t="shared" si="0"/>
        <v>0.89700000000000002</v>
      </c>
    </row>
    <row r="7" spans="1:25">
      <c r="A7" s="24" t="s">
        <v>8</v>
      </c>
      <c r="B7" s="143">
        <v>258102</v>
      </c>
      <c r="C7" s="143">
        <v>602622</v>
      </c>
      <c r="D7" s="143">
        <v>1088667</v>
      </c>
      <c r="F7" s="40">
        <v>1.335</v>
      </c>
      <c r="G7" s="40">
        <v>0.80700000000000005</v>
      </c>
      <c r="I7" s="144">
        <v>86705</v>
      </c>
      <c r="J7" s="143">
        <v>117916</v>
      </c>
      <c r="K7" s="143">
        <v>163468</v>
      </c>
      <c r="L7" s="145">
        <v>234533</v>
      </c>
      <c r="M7" s="144">
        <v>229947</v>
      </c>
      <c r="N7" s="143">
        <v>257082</v>
      </c>
      <c r="O7" s="143">
        <v>262877</v>
      </c>
      <c r="P7" s="143">
        <v>338761</v>
      </c>
      <c r="Q7" s="144">
        <v>360851</v>
      </c>
      <c r="R7" s="144">
        <v>399668.05653188616</v>
      </c>
      <c r="T7" s="40">
        <v>1.6519999999999999</v>
      </c>
      <c r="U7" s="40">
        <v>1.18</v>
      </c>
      <c r="V7" s="40">
        <v>0.60799999999999998</v>
      </c>
      <c r="W7" s="40">
        <v>0.44400000000000001</v>
      </c>
      <c r="X7" s="212">
        <v>0.56899999999999995</v>
      </c>
      <c r="Y7" s="40">
        <f t="shared" si="0"/>
        <v>0.55500000000000005</v>
      </c>
    </row>
    <row r="8" spans="1:25">
      <c r="A8" s="24" t="s">
        <v>9</v>
      </c>
      <c r="B8" s="143">
        <v>252831</v>
      </c>
      <c r="C8" s="143">
        <v>437577</v>
      </c>
      <c r="D8" s="143">
        <v>533421</v>
      </c>
      <c r="F8" s="40">
        <v>0.73099999999999998</v>
      </c>
      <c r="G8" s="40">
        <v>0.219</v>
      </c>
      <c r="I8" s="144">
        <v>76434</v>
      </c>
      <c r="J8" s="143">
        <v>96790</v>
      </c>
      <c r="K8" s="143">
        <v>130059</v>
      </c>
      <c r="L8" s="145">
        <v>134295</v>
      </c>
      <c r="M8" s="144">
        <v>114328</v>
      </c>
      <c r="N8" s="143">
        <v>134299</v>
      </c>
      <c r="O8" s="143">
        <v>136883</v>
      </c>
      <c r="P8" s="143">
        <v>147911</v>
      </c>
      <c r="Q8" s="144">
        <v>129397</v>
      </c>
      <c r="R8" s="144">
        <v>149644.05643038495</v>
      </c>
      <c r="T8" s="40">
        <v>0.496</v>
      </c>
      <c r="U8" s="40">
        <v>0.38800000000000001</v>
      </c>
      <c r="V8" s="40">
        <v>5.1999999999999998E-2</v>
      </c>
      <c r="W8" s="40">
        <v>0.10100000000000001</v>
      </c>
      <c r="X8" s="212">
        <v>0.13200000000000001</v>
      </c>
      <c r="Y8" s="40">
        <f t="shared" si="0"/>
        <v>0.114</v>
      </c>
    </row>
    <row r="9" spans="1:25">
      <c r="A9" s="24" t="s">
        <v>24</v>
      </c>
      <c r="B9" s="143">
        <v>96964</v>
      </c>
      <c r="C9" s="143">
        <v>139837</v>
      </c>
      <c r="D9" s="143">
        <v>186807</v>
      </c>
      <c r="F9" s="40">
        <v>0.442</v>
      </c>
      <c r="G9" s="40">
        <v>0.33600000000000002</v>
      </c>
      <c r="I9" s="144">
        <v>29414</v>
      </c>
      <c r="J9" s="143">
        <v>33644</v>
      </c>
      <c r="K9" s="143">
        <v>36050</v>
      </c>
      <c r="L9" s="145">
        <v>40729</v>
      </c>
      <c r="M9" s="144">
        <v>42893</v>
      </c>
      <c r="N9" s="143">
        <v>45274</v>
      </c>
      <c r="O9" s="143">
        <v>46127</v>
      </c>
      <c r="P9" s="143">
        <v>52513</v>
      </c>
      <c r="Q9" s="144">
        <v>47803</v>
      </c>
      <c r="R9" s="144">
        <v>45647.089147728846</v>
      </c>
      <c r="T9" s="40">
        <v>0.45800000000000002</v>
      </c>
      <c r="U9" s="40">
        <v>0.34599999999999997</v>
      </c>
      <c r="V9" s="40">
        <v>0.28000000000000003</v>
      </c>
      <c r="W9" s="40">
        <v>0.28899999999999998</v>
      </c>
      <c r="X9" s="212">
        <v>0.114</v>
      </c>
      <c r="Y9" s="40">
        <f t="shared" si="0"/>
        <v>8.0000000000000002E-3</v>
      </c>
    </row>
    <row r="10" spans="1:25" s="2" customFormat="1">
      <c r="A10" s="164" t="s">
        <v>25</v>
      </c>
      <c r="B10" s="165">
        <v>607897</v>
      </c>
      <c r="C10" s="165">
        <v>1180036</v>
      </c>
      <c r="D10" s="166">
        <v>1808895</v>
      </c>
      <c r="F10" s="167">
        <v>0.94099999999999995</v>
      </c>
      <c r="G10" s="167">
        <v>0.53300000000000003</v>
      </c>
      <c r="I10" s="170">
        <v>192553</v>
      </c>
      <c r="J10" s="169">
        <v>248350</v>
      </c>
      <c r="K10" s="169">
        <v>329577</v>
      </c>
      <c r="L10" s="171">
        <v>409557</v>
      </c>
      <c r="M10" s="170">
        <v>387168</v>
      </c>
      <c r="N10" s="169">
        <v>436655</v>
      </c>
      <c r="O10" s="169">
        <v>445887</v>
      </c>
      <c r="P10" s="169">
        <v>539185</v>
      </c>
      <c r="Q10" s="170">
        <v>538051</v>
      </c>
      <c r="R10" s="170">
        <f>SUM(R7:R9)</f>
        <v>594959.20210999995</v>
      </c>
      <c r="S10" s="49"/>
      <c r="T10" s="167">
        <v>1.0109999999999999</v>
      </c>
      <c r="U10" s="167">
        <v>0.75800000000000001</v>
      </c>
      <c r="V10" s="167">
        <v>0.35299999999999998</v>
      </c>
      <c r="W10" s="167">
        <v>0.317</v>
      </c>
      <c r="X10" s="213">
        <v>0.39</v>
      </c>
      <c r="Y10" s="167">
        <f t="shared" si="0"/>
        <v>0.36299999999999999</v>
      </c>
    </row>
    <row r="11" spans="1:25" s="2" customFormat="1">
      <c r="A11" s="164" t="s">
        <v>26</v>
      </c>
      <c r="B11" s="165">
        <v>527263</v>
      </c>
      <c r="C11" s="165">
        <v>998109</v>
      </c>
      <c r="D11" s="166">
        <v>1520357</v>
      </c>
      <c r="F11" s="167">
        <v>0.89300000000000002</v>
      </c>
      <c r="G11" s="167">
        <v>0.52300000000000002</v>
      </c>
      <c r="I11" s="170">
        <v>165286</v>
      </c>
      <c r="J11" s="169">
        <v>211215</v>
      </c>
      <c r="K11" s="171">
        <v>277543</v>
      </c>
      <c r="L11" s="171">
        <v>344066</v>
      </c>
      <c r="M11" s="170">
        <v>326440</v>
      </c>
      <c r="N11" s="165">
        <v>368886</v>
      </c>
      <c r="O11" s="165">
        <v>374167</v>
      </c>
      <c r="P11" s="166">
        <v>450864</v>
      </c>
      <c r="Q11" s="170">
        <v>449140</v>
      </c>
      <c r="R11" s="170">
        <v>496445.83783147502</v>
      </c>
      <c r="S11" s="49"/>
      <c r="T11" s="167">
        <v>0.97499999999999998</v>
      </c>
      <c r="U11" s="167">
        <v>0.746</v>
      </c>
      <c r="V11" s="167">
        <v>0.34799999999999998</v>
      </c>
      <c r="W11" s="167">
        <v>0.31</v>
      </c>
      <c r="X11" s="213">
        <v>0.376</v>
      </c>
      <c r="Y11" s="167">
        <f t="shared" si="0"/>
        <v>0.34599999999999997</v>
      </c>
    </row>
    <row r="12" spans="1:25" s="39" customFormat="1">
      <c r="A12" s="291" t="s">
        <v>27</v>
      </c>
      <c r="B12" s="304">
        <v>104611</v>
      </c>
      <c r="C12" s="304">
        <v>215430</v>
      </c>
      <c r="D12" s="292">
        <v>266415.27727457788</v>
      </c>
      <c r="F12" s="40">
        <f>C12/B12-1</f>
        <v>1.0593436636682565</v>
      </c>
      <c r="G12" s="40">
        <f>D12/C12-1</f>
        <v>0.23666748955381278</v>
      </c>
      <c r="I12" s="304">
        <v>30813</v>
      </c>
      <c r="J12" s="304">
        <v>44002</v>
      </c>
      <c r="K12" s="304">
        <v>62919</v>
      </c>
      <c r="L12" s="304">
        <v>77696</v>
      </c>
      <c r="M12" s="304">
        <v>55096</v>
      </c>
      <c r="N12" s="304">
        <v>58086</v>
      </c>
      <c r="O12" s="304">
        <v>67475</v>
      </c>
      <c r="P12" s="304">
        <v>85758</v>
      </c>
      <c r="Q12" s="304">
        <v>81524.693280899897</v>
      </c>
      <c r="R12" s="330">
        <v>90219.024420000045</v>
      </c>
      <c r="S12" s="143"/>
      <c r="T12" s="122">
        <f t="shared" ref="T12:Y12" si="1">ROUND(M12/I12-1,3)</f>
        <v>0.78800000000000003</v>
      </c>
      <c r="U12" s="122">
        <f t="shared" si="1"/>
        <v>0.32</v>
      </c>
      <c r="V12" s="122">
        <f t="shared" si="1"/>
        <v>7.1999999999999995E-2</v>
      </c>
      <c r="W12" s="122">
        <f t="shared" si="1"/>
        <v>0.104</v>
      </c>
      <c r="X12" s="122">
        <f t="shared" si="1"/>
        <v>0.48</v>
      </c>
      <c r="Y12" s="122">
        <f t="shared" si="1"/>
        <v>0.55300000000000005</v>
      </c>
    </row>
    <row r="13" spans="1:25" s="39" customFormat="1">
      <c r="A13" s="294" t="s">
        <v>28</v>
      </c>
      <c r="B13" s="295">
        <f t="shared" ref="B13:D13" si="2">ROUND(B12/B11,3)</f>
        <v>0.19800000000000001</v>
      </c>
      <c r="C13" s="295">
        <f t="shared" si="2"/>
        <v>0.216</v>
      </c>
      <c r="D13" s="295">
        <f t="shared" si="2"/>
        <v>0.17499999999999999</v>
      </c>
      <c r="F13" s="296">
        <f>C13-B13</f>
        <v>1.7999999999999988E-2</v>
      </c>
      <c r="G13" s="296">
        <f>D13-C13</f>
        <v>-4.1000000000000009E-2</v>
      </c>
      <c r="I13" s="296">
        <f t="shared" ref="I13:R13" si="3">ROUND(I12/I11,3)</f>
        <v>0.186</v>
      </c>
      <c r="J13" s="296">
        <f t="shared" si="3"/>
        <v>0.20799999999999999</v>
      </c>
      <c r="K13" s="296">
        <f t="shared" si="3"/>
        <v>0.22700000000000001</v>
      </c>
      <c r="L13" s="296">
        <f t="shared" si="3"/>
        <v>0.22600000000000001</v>
      </c>
      <c r="M13" s="296">
        <f t="shared" si="3"/>
        <v>0.16900000000000001</v>
      </c>
      <c r="N13" s="297">
        <f t="shared" si="3"/>
        <v>0.157</v>
      </c>
      <c r="O13" s="297">
        <f t="shared" si="3"/>
        <v>0.18</v>
      </c>
      <c r="P13" s="297">
        <f t="shared" si="3"/>
        <v>0.19</v>
      </c>
      <c r="Q13" s="296">
        <f t="shared" si="3"/>
        <v>0.182</v>
      </c>
      <c r="R13" s="296">
        <f t="shared" si="3"/>
        <v>0.182</v>
      </c>
      <c r="T13" s="174">
        <f t="shared" ref="T13:Y13" si="4">(M13-I13)*100</f>
        <v>-1.6999999999999988</v>
      </c>
      <c r="U13" s="174">
        <f t="shared" si="4"/>
        <v>-5.0999999999999988</v>
      </c>
      <c r="V13" s="174">
        <f t="shared" si="4"/>
        <v>-4.7000000000000011</v>
      </c>
      <c r="W13" s="174">
        <f t="shared" si="4"/>
        <v>-3.6000000000000005</v>
      </c>
      <c r="X13" s="174">
        <f t="shared" si="4"/>
        <v>1.2999999999999985</v>
      </c>
      <c r="Y13" s="174">
        <f t="shared" si="4"/>
        <v>2.4999999999999996</v>
      </c>
    </row>
    <row r="14" spans="1:25">
      <c r="A14" s="291" t="s">
        <v>20</v>
      </c>
      <c r="B14" s="9">
        <v>64860.061949999828</v>
      </c>
      <c r="C14" s="9">
        <f>SUM(I14:L14)</f>
        <v>113489.50833481859</v>
      </c>
      <c r="D14" s="9">
        <f>SUM(M14:P14)</f>
        <v>184043.31496000075</v>
      </c>
      <c r="F14" s="122">
        <f>ROUND(C14/B14-1,3)</f>
        <v>0.75</v>
      </c>
      <c r="G14" s="122">
        <f>ROUND(D14/C14-1,3)</f>
        <v>0.622</v>
      </c>
      <c r="I14" s="172">
        <v>8877.6614824087756</v>
      </c>
      <c r="J14" s="216">
        <v>22405.729622408813</v>
      </c>
      <c r="K14" s="216">
        <v>37883.08633000034</v>
      </c>
      <c r="L14" s="216">
        <v>44323.03090000066</v>
      </c>
      <c r="M14" s="172">
        <v>20942.722729999699</v>
      </c>
      <c r="N14" s="9">
        <v>47896.840950000704</v>
      </c>
      <c r="O14" s="9">
        <v>56209.294280000344</v>
      </c>
      <c r="P14" s="216">
        <v>58994.457000000002</v>
      </c>
      <c r="Q14" s="304">
        <v>38421.479284933404</v>
      </c>
      <c r="R14" s="216">
        <v>75801.799600000057</v>
      </c>
      <c r="S14" s="9"/>
      <c r="T14" s="122">
        <f>ROUND(M14/I14-1,3)</f>
        <v>1.359</v>
      </c>
      <c r="U14" s="122">
        <f t="shared" ref="U14:W14" si="5">ROUND(N14/J14-1,3)</f>
        <v>1.1379999999999999</v>
      </c>
      <c r="V14" s="122">
        <f t="shared" si="5"/>
        <v>0.48399999999999999</v>
      </c>
      <c r="W14" s="293">
        <f t="shared" si="5"/>
        <v>0.33100000000000002</v>
      </c>
      <c r="X14" s="122">
        <f>ROUND(Q14/M14-1,3)</f>
        <v>0.83499999999999996</v>
      </c>
      <c r="Y14" s="122">
        <f>ROUND(R14/N14-1,3)</f>
        <v>0.58299999999999996</v>
      </c>
    </row>
    <row r="15" spans="1:25" s="2" customFormat="1">
      <c r="A15" s="299" t="s">
        <v>101</v>
      </c>
      <c r="B15" s="173">
        <v>0.12301273169177399</v>
      </c>
      <c r="C15" s="173">
        <v>0.11370452358892524</v>
      </c>
      <c r="D15" s="173">
        <v>0.12040961269024966</v>
      </c>
      <c r="E15" s="1"/>
      <c r="F15" s="174">
        <v>-0.93082081028487418</v>
      </c>
      <c r="G15" s="174">
        <v>0.67050891013244185</v>
      </c>
      <c r="H15" s="1"/>
      <c r="I15" s="175">
        <v>5.3710910073501539E-2</v>
      </c>
      <c r="J15" s="176">
        <v>0.10608020084941322</v>
      </c>
      <c r="K15" s="176">
        <v>0.13649447591904801</v>
      </c>
      <c r="L15" s="176">
        <v>0.12882130434277336</v>
      </c>
      <c r="M15" s="175">
        <v>6.4000000000000001E-2</v>
      </c>
      <c r="N15" s="176">
        <v>0.12984185073437512</v>
      </c>
      <c r="O15" s="176">
        <v>0.15022515154997726</v>
      </c>
      <c r="P15" s="176">
        <v>0.128679024186693</v>
      </c>
      <c r="Q15" s="175">
        <v>8.5544550218046495E-2</v>
      </c>
      <c r="R15" s="175">
        <f>R14/R11</f>
        <v>0.15268896186361414</v>
      </c>
      <c r="S15" s="1"/>
      <c r="T15" s="174">
        <v>1.0289089926498463</v>
      </c>
      <c r="U15" s="174">
        <v>2.3761649884961904</v>
      </c>
      <c r="V15" s="174">
        <v>1.373067563092925</v>
      </c>
      <c r="W15" s="298">
        <v>-1.4228015608036548E-2</v>
      </c>
      <c r="X15" s="174">
        <v>2.1544550218046492</v>
      </c>
      <c r="Y15" s="174">
        <f>(R15-N15)*100</f>
        <v>2.2847111129239011</v>
      </c>
    </row>
    <row r="16" spans="1:25" s="2" customFormat="1" ht="10.5">
      <c r="A16" s="291" t="s">
        <v>212</v>
      </c>
      <c r="B16" s="9">
        <v>72300</v>
      </c>
      <c r="C16" s="9">
        <v>130539</v>
      </c>
      <c r="D16" s="9">
        <v>202291</v>
      </c>
      <c r="E16" s="1"/>
      <c r="F16" s="122">
        <v>0.80600000000000005</v>
      </c>
      <c r="G16" s="122">
        <v>0.55000000000000004</v>
      </c>
      <c r="H16" s="1"/>
      <c r="I16" s="172">
        <v>12439</v>
      </c>
      <c r="J16" s="9">
        <v>26826</v>
      </c>
      <c r="K16" s="9">
        <v>40785</v>
      </c>
      <c r="L16" s="9">
        <v>50490</v>
      </c>
      <c r="M16" s="217">
        <v>30640</v>
      </c>
      <c r="N16" s="9">
        <v>46151</v>
      </c>
      <c r="O16" s="9">
        <v>57789</v>
      </c>
      <c r="P16" s="9">
        <v>67711</v>
      </c>
      <c r="Q16" s="217">
        <v>46691.150219170617</v>
      </c>
      <c r="R16" s="216">
        <v>61691.298660000044</v>
      </c>
      <c r="S16" s="122"/>
      <c r="T16" s="122">
        <v>1.4630000000000001</v>
      </c>
      <c r="U16" s="122">
        <v>0.72</v>
      </c>
      <c r="V16" s="122">
        <v>0.41699999999999998</v>
      </c>
      <c r="W16" s="293">
        <v>0.34100000000000003</v>
      </c>
      <c r="X16" s="122">
        <v>0.52400000000000002</v>
      </c>
      <c r="Y16" s="122">
        <f>ROUND(R16/N16-1,3)</f>
        <v>0.33700000000000002</v>
      </c>
    </row>
    <row r="17" spans="1:25" s="2" customFormat="1">
      <c r="A17" s="299" t="s">
        <v>207</v>
      </c>
      <c r="B17" s="173">
        <v>0.13700000000000001</v>
      </c>
      <c r="C17" s="173">
        <v>0.13100000000000001</v>
      </c>
      <c r="D17" s="173">
        <v>0.13300000000000001</v>
      </c>
      <c r="E17" s="1"/>
      <c r="F17" s="174">
        <v>-0.60000000000000053</v>
      </c>
      <c r="G17" s="174">
        <v>0.20000000000000018</v>
      </c>
      <c r="H17" s="1"/>
      <c r="I17" s="175">
        <v>7.4999999999999997E-2</v>
      </c>
      <c r="J17" s="173">
        <v>0.127</v>
      </c>
      <c r="K17" s="176">
        <v>0.14699999999999999</v>
      </c>
      <c r="L17" s="176">
        <v>0.14699999999999999</v>
      </c>
      <c r="M17" s="175">
        <v>9.4E-2</v>
      </c>
      <c r="N17" s="173">
        <v>0.125</v>
      </c>
      <c r="O17" s="173">
        <v>0.154</v>
      </c>
      <c r="P17" s="176">
        <v>0.15</v>
      </c>
      <c r="Q17" s="175">
        <v>0.104</v>
      </c>
      <c r="R17" s="175">
        <f>ROUND(R16/R11,3)</f>
        <v>0.124</v>
      </c>
      <c r="S17" s="53"/>
      <c r="T17" s="174">
        <v>1.9000000000000004</v>
      </c>
      <c r="U17" s="174">
        <v>-0.20000000000000018</v>
      </c>
      <c r="V17" s="174">
        <v>0.70000000000000062</v>
      </c>
      <c r="W17" s="298">
        <v>0.30000000000000027</v>
      </c>
      <c r="X17" s="174">
        <v>0.99999999999999956</v>
      </c>
      <c r="Y17" s="174">
        <f>(R17-N17)*100</f>
        <v>-0.10000000000000009</v>
      </c>
    </row>
    <row r="18" spans="1:25" s="2" customFormat="1">
      <c r="A18" s="291" t="s">
        <v>218</v>
      </c>
      <c r="B18" s="9">
        <v>15124</v>
      </c>
      <c r="C18" s="9">
        <v>42707</v>
      </c>
      <c r="D18" s="9">
        <v>51727</v>
      </c>
      <c r="E18" s="1"/>
      <c r="F18" s="122">
        <v>1.8240000000000001</v>
      </c>
      <c r="G18" s="122">
        <v>0.21099999999999999</v>
      </c>
      <c r="H18" s="1"/>
      <c r="I18" s="218">
        <v>-2485</v>
      </c>
      <c r="J18" s="9">
        <v>654</v>
      </c>
      <c r="K18" s="9">
        <v>13862</v>
      </c>
      <c r="L18" s="9">
        <v>30677</v>
      </c>
      <c r="M18" s="218">
        <v>-3687</v>
      </c>
      <c r="N18" s="9">
        <v>17582</v>
      </c>
      <c r="O18" s="9">
        <v>17128</v>
      </c>
      <c r="P18" s="9">
        <v>20705</v>
      </c>
      <c r="Q18" s="218">
        <v>-4580.1438279117374</v>
      </c>
      <c r="R18" s="331">
        <v>7767.1045761971291</v>
      </c>
      <c r="S18" s="9"/>
      <c r="T18" s="177" t="s">
        <v>224</v>
      </c>
      <c r="U18" s="122">
        <v>25.884</v>
      </c>
      <c r="V18" s="122">
        <v>0.23599999999999999</v>
      </c>
      <c r="W18" s="125">
        <v>-0.32500000000000001</v>
      </c>
      <c r="X18" s="219">
        <v>-0.24199999999999999</v>
      </c>
      <c r="Y18" s="219">
        <f>-ROUND(R18/N18-1,3)</f>
        <v>0.55800000000000005</v>
      </c>
    </row>
    <row r="19" spans="1:25" s="2" customFormat="1">
      <c r="A19" s="299" t="s">
        <v>199</v>
      </c>
      <c r="B19" s="173">
        <v>2.9000000000000001E-2</v>
      </c>
      <c r="C19" s="173">
        <v>4.2999999999999997E-2</v>
      </c>
      <c r="D19" s="173">
        <v>3.4000000000000002E-2</v>
      </c>
      <c r="E19" s="1"/>
      <c r="F19" s="174">
        <v>1.3999999999999995</v>
      </c>
      <c r="G19" s="174">
        <v>-0.9</v>
      </c>
      <c r="H19" s="1"/>
      <c r="I19" s="178">
        <v>-1.4999999999999999E-2</v>
      </c>
      <c r="J19" s="179">
        <v>3.0000000000000001E-3</v>
      </c>
      <c r="K19" s="179">
        <v>0.05</v>
      </c>
      <c r="L19" s="179">
        <v>8.8999999999999996E-2</v>
      </c>
      <c r="M19" s="178">
        <v>-1.0999999999999999E-2</v>
      </c>
      <c r="N19" s="180">
        <v>4.8000000000000001E-2</v>
      </c>
      <c r="O19" s="180">
        <v>4.5999999999999999E-2</v>
      </c>
      <c r="P19" s="179">
        <v>4.5999999999999999E-2</v>
      </c>
      <c r="Q19" s="178">
        <v>-0.01</v>
      </c>
      <c r="R19" s="178">
        <f>R18/R11</f>
        <v>1.5645421885546705E-2</v>
      </c>
      <c r="S19" s="1"/>
      <c r="T19" s="174">
        <v>0.4</v>
      </c>
      <c r="U19" s="174">
        <v>4.5</v>
      </c>
      <c r="V19" s="174">
        <v>-0.40000000000000036</v>
      </c>
      <c r="W19" s="174">
        <v>-4.3</v>
      </c>
      <c r="X19" s="214">
        <v>9.9999999999999922E-2</v>
      </c>
      <c r="Y19" s="214">
        <f>(R19-N19)*100</f>
        <v>-3.2354578114453294</v>
      </c>
    </row>
    <row r="20" spans="1:25" ht="12">
      <c r="A20" s="291" t="s">
        <v>220</v>
      </c>
      <c r="B20" s="122" t="s">
        <v>223</v>
      </c>
      <c r="C20" s="122">
        <v>0.44665118424623768</v>
      </c>
      <c r="D20" s="122">
        <v>0.34112397855710264</v>
      </c>
      <c r="E20" s="39"/>
      <c r="F20" s="181" t="s">
        <v>223</v>
      </c>
      <c r="G20" s="215">
        <f>(D20-C20)*100</f>
        <v>-10.552720568913504</v>
      </c>
      <c r="H20" s="39"/>
      <c r="I20" s="300">
        <v>0.36722978066845141</v>
      </c>
      <c r="J20" s="301">
        <v>0.46340931940748564</v>
      </c>
      <c r="K20" s="301">
        <v>0.52711002006933916</v>
      </c>
      <c r="L20" s="301">
        <v>0.44665118424623768</v>
      </c>
      <c r="M20" s="302">
        <v>0.34382455235074749</v>
      </c>
      <c r="N20" s="302">
        <v>0.32513177150119071</v>
      </c>
      <c r="O20" s="302">
        <v>0.32380997887282087</v>
      </c>
      <c r="P20" s="303">
        <v>0.34112397855710264</v>
      </c>
      <c r="Q20" s="302">
        <v>0.37532654930382148</v>
      </c>
      <c r="R20" s="302">
        <v>0.438</v>
      </c>
      <c r="S20" s="143"/>
      <c r="T20" s="215">
        <f>(M20-I20)*100</f>
        <v>-2.3405228317703921</v>
      </c>
      <c r="U20" s="215">
        <f>(N20-J20)*100</f>
        <v>-13.827754790629493</v>
      </c>
      <c r="V20" s="215">
        <f>(O20-K20)*100</f>
        <v>-20.330004119651829</v>
      </c>
      <c r="W20" s="215">
        <f>(P20-L20)*100</f>
        <v>-10.552720568913504</v>
      </c>
      <c r="X20" s="215">
        <f>(Q20-M20)*100</f>
        <v>3.1501996953073985</v>
      </c>
      <c r="Y20" s="215">
        <f>(R20-N20)*100</f>
        <v>11.286822849880929</v>
      </c>
    </row>
    <row r="21" spans="1:25">
      <c r="F21" s="43"/>
      <c r="M21" s="71"/>
      <c r="R21" s="40"/>
    </row>
    <row r="22" spans="1:25" ht="66" customHeight="1">
      <c r="A22" s="354" t="s">
        <v>219</v>
      </c>
      <c r="B22" s="354"/>
      <c r="C22" s="354"/>
      <c r="D22" s="354"/>
      <c r="E22" s="354"/>
      <c r="F22" s="354"/>
      <c r="G22" s="354"/>
      <c r="H22" s="354"/>
      <c r="I22" s="354"/>
      <c r="J22" s="354"/>
      <c r="K22" s="354"/>
      <c r="L22" s="354"/>
      <c r="M22" s="354"/>
      <c r="N22" s="354"/>
      <c r="O22" s="50"/>
      <c r="P22" s="50"/>
      <c r="Q22" s="50"/>
      <c r="R22" s="332"/>
    </row>
    <row r="23" spans="1:25">
      <c r="D23" s="118"/>
      <c r="G23" s="118"/>
      <c r="R23" s="332"/>
    </row>
    <row r="24" spans="1:25">
      <c r="D24" s="50"/>
      <c r="G24" s="50"/>
      <c r="R24" s="47"/>
    </row>
    <row r="25" spans="1:25">
      <c r="D25" s="50"/>
      <c r="G25" s="50"/>
      <c r="R25" s="50"/>
    </row>
  </sheetData>
  <mergeCells count="1">
    <mergeCell ref="A22:N22"/>
  </mergeCells>
  <pageMargins left="0.511811024" right="0.511811024" top="0.78740157499999996" bottom="0.78740157499999996" header="0.31496062000000002" footer="0.31496062000000002"/>
  <pageSetup paperSize="9" orientation="portrait" horizontalDpi="300" verticalDpi="300" r:id="rId1"/>
  <ignoredErrors>
    <ignoredError sqref="A1:XFD9 A12:XFD1048576 A11:R11 T11:XFD11 A10:R10 T10:XFD10"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4CA8-5232-4094-A8AA-2CBEAD2B499A}">
  <dimension ref="A1:Y22"/>
  <sheetViews>
    <sheetView showGridLines="0" zoomScaleNormal="100" workbookViewId="0">
      <pane xSplit="1" ySplit="3" topLeftCell="H4" activePane="bottomRight" state="frozen"/>
      <selection pane="topRight" activeCell="B1" sqref="B1"/>
      <selection pane="bottomLeft" activeCell="A4" sqref="A4"/>
      <selection pane="bottomRight" activeCell="R6" sqref="R6"/>
    </sheetView>
  </sheetViews>
  <sheetFormatPr defaultColWidth="9.1796875" defaultRowHeight="10"/>
  <cols>
    <col min="1" max="1" width="24.1796875" style="1" customWidth="1"/>
    <col min="2" max="4" width="12.26953125" style="1" customWidth="1"/>
    <col min="5" max="5" width="2.54296875" style="1" customWidth="1"/>
    <col min="6" max="7" width="10.81640625" style="1" customWidth="1"/>
    <col min="8" max="8" width="9.1796875" style="1"/>
    <col min="9" max="17" width="12.26953125" style="1" customWidth="1"/>
    <col min="18" max="18" width="11.81640625" style="1" customWidth="1"/>
    <col min="19" max="19" width="11.81640625" style="2" customWidth="1"/>
    <col min="20" max="25" width="10.81640625" style="1" customWidth="1"/>
    <col min="26" max="16384" width="9.1796875" style="1"/>
  </cols>
  <sheetData>
    <row r="1" spans="1:25" ht="55.5" customHeight="1"/>
    <row r="2" spans="1:25">
      <c r="F2" s="3" t="s">
        <v>40</v>
      </c>
      <c r="G2" s="3" t="s">
        <v>40</v>
      </c>
      <c r="T2" s="3" t="s">
        <v>40</v>
      </c>
      <c r="U2" s="3" t="s">
        <v>40</v>
      </c>
      <c r="V2" s="3" t="s">
        <v>40</v>
      </c>
      <c r="W2" s="3" t="s">
        <v>40</v>
      </c>
      <c r="X2" s="3" t="s">
        <v>57</v>
      </c>
      <c r="Y2" s="3" t="s">
        <v>57</v>
      </c>
    </row>
    <row r="3" spans="1:25">
      <c r="A3" s="4" t="s">
        <v>36</v>
      </c>
      <c r="B3" s="5">
        <v>2019</v>
      </c>
      <c r="C3" s="5">
        <v>2020</v>
      </c>
      <c r="D3" s="5">
        <v>2021</v>
      </c>
      <c r="E3" s="42"/>
      <c r="F3" s="5">
        <v>2020</v>
      </c>
      <c r="G3" s="5">
        <v>2021</v>
      </c>
      <c r="H3" s="6"/>
      <c r="I3" s="62" t="s">
        <v>30</v>
      </c>
      <c r="J3" s="5" t="s">
        <v>31</v>
      </c>
      <c r="K3" s="5" t="s">
        <v>32</v>
      </c>
      <c r="L3" s="5" t="s">
        <v>33</v>
      </c>
      <c r="M3" s="62" t="s">
        <v>34</v>
      </c>
      <c r="N3" s="5" t="s">
        <v>35</v>
      </c>
      <c r="O3" s="5" t="s">
        <v>194</v>
      </c>
      <c r="P3" s="5" t="s">
        <v>200</v>
      </c>
      <c r="Q3" s="62" t="s">
        <v>213</v>
      </c>
      <c r="R3" s="120" t="s">
        <v>241</v>
      </c>
      <c r="S3" s="335"/>
      <c r="T3" s="5" t="s">
        <v>34</v>
      </c>
      <c r="U3" s="5" t="s">
        <v>35</v>
      </c>
      <c r="V3" s="5" t="s">
        <v>194</v>
      </c>
      <c r="W3" s="5" t="s">
        <v>200</v>
      </c>
      <c r="X3" s="62" t="s">
        <v>213</v>
      </c>
      <c r="Y3" s="211" t="s">
        <v>241</v>
      </c>
    </row>
    <row r="4" spans="1:25">
      <c r="A4" s="44" t="s">
        <v>25</v>
      </c>
      <c r="B4" s="141">
        <v>607898</v>
      </c>
      <c r="C4" s="141">
        <v>1180036</v>
      </c>
      <c r="D4" s="141">
        <v>1808895</v>
      </c>
      <c r="E4" s="2"/>
      <c r="F4" s="142">
        <v>0.94099999999999995</v>
      </c>
      <c r="G4" s="142">
        <v>0.53300000000000003</v>
      </c>
      <c r="I4" s="96">
        <v>192553</v>
      </c>
      <c r="J4" s="141">
        <v>248349</v>
      </c>
      <c r="K4" s="141">
        <v>329578</v>
      </c>
      <c r="L4" s="45">
        <v>409556</v>
      </c>
      <c r="M4" s="96">
        <v>387168</v>
      </c>
      <c r="N4" s="45">
        <v>436655</v>
      </c>
      <c r="O4" s="45">
        <v>445887</v>
      </c>
      <c r="P4" s="141">
        <v>539185</v>
      </c>
      <c r="Q4" s="220">
        <v>538051</v>
      </c>
      <c r="R4" s="96">
        <f>SUM(R5:R7)</f>
        <v>594900</v>
      </c>
      <c r="S4" s="336"/>
      <c r="T4" s="142">
        <v>1.0109999999999999</v>
      </c>
      <c r="U4" s="142">
        <v>0.75800000000000001</v>
      </c>
      <c r="V4" s="142">
        <v>0.35299999999999998</v>
      </c>
      <c r="W4" s="142">
        <v>0.317</v>
      </c>
      <c r="X4" s="227">
        <v>0.39</v>
      </c>
      <c r="Y4" s="227">
        <f>ROUND(R4/N4-1,3)</f>
        <v>0.36199999999999999</v>
      </c>
    </row>
    <row r="5" spans="1:25">
      <c r="A5" s="1" t="s">
        <v>8</v>
      </c>
      <c r="B5" s="143">
        <v>258102</v>
      </c>
      <c r="C5" s="143">
        <v>602622</v>
      </c>
      <c r="D5" s="143">
        <v>1088667</v>
      </c>
      <c r="F5" s="40">
        <v>1.335</v>
      </c>
      <c r="G5" s="40">
        <v>0.80700000000000005</v>
      </c>
      <c r="I5" s="144">
        <v>86705</v>
      </c>
      <c r="J5" s="143">
        <v>117916</v>
      </c>
      <c r="K5" s="143">
        <v>163468</v>
      </c>
      <c r="L5" s="145">
        <v>234533</v>
      </c>
      <c r="M5" s="144">
        <v>229947</v>
      </c>
      <c r="N5" s="143">
        <v>257082</v>
      </c>
      <c r="O5" s="143">
        <v>262877</v>
      </c>
      <c r="P5" s="143">
        <v>338761</v>
      </c>
      <c r="Q5" s="221">
        <v>360851</v>
      </c>
      <c r="R5" s="328">
        <v>399700</v>
      </c>
      <c r="S5" s="145"/>
      <c r="T5" s="40">
        <v>1.6519999999999999</v>
      </c>
      <c r="U5" s="40">
        <v>1.18</v>
      </c>
      <c r="V5" s="40">
        <v>0.60799999999999998</v>
      </c>
      <c r="W5" s="40">
        <v>0.44400000000000001</v>
      </c>
      <c r="X5" s="212">
        <v>0.56899999999999995</v>
      </c>
      <c r="Y5" s="229">
        <f>ROUND(R5/N5-1,3)</f>
        <v>0.55500000000000005</v>
      </c>
    </row>
    <row r="6" spans="1:25">
      <c r="A6" s="1" t="s">
        <v>9</v>
      </c>
      <c r="B6" s="143">
        <v>252831</v>
      </c>
      <c r="C6" s="143">
        <v>437577</v>
      </c>
      <c r="D6" s="143">
        <v>533421</v>
      </c>
      <c r="F6" s="40">
        <v>0.73099999999999998</v>
      </c>
      <c r="G6" s="40">
        <v>0.219</v>
      </c>
      <c r="I6" s="144">
        <v>76434</v>
      </c>
      <c r="J6" s="143">
        <v>96790</v>
      </c>
      <c r="K6" s="143">
        <v>130059</v>
      </c>
      <c r="L6" s="145">
        <v>134294</v>
      </c>
      <c r="M6" s="144">
        <v>114328</v>
      </c>
      <c r="N6" s="143">
        <v>134299</v>
      </c>
      <c r="O6" s="143">
        <v>136883</v>
      </c>
      <c r="P6" s="143">
        <v>147911</v>
      </c>
      <c r="Q6" s="221">
        <v>129397</v>
      </c>
      <c r="R6" s="328">
        <v>149600</v>
      </c>
      <c r="S6" s="145"/>
      <c r="T6" s="40">
        <v>0.496</v>
      </c>
      <c r="U6" s="40">
        <v>0.38800000000000001</v>
      </c>
      <c r="V6" s="40">
        <v>5.1999999999999998E-2</v>
      </c>
      <c r="W6" s="40">
        <v>0.10100000000000001</v>
      </c>
      <c r="X6" s="212">
        <v>0.13200000000000001</v>
      </c>
      <c r="Y6" s="229">
        <f>ROUND(R6/N6-1,3)</f>
        <v>0.114</v>
      </c>
    </row>
    <row r="7" spans="1:25">
      <c r="A7" s="1" t="s">
        <v>24</v>
      </c>
      <c r="B7" s="143">
        <v>96964</v>
      </c>
      <c r="C7" s="143">
        <v>139837</v>
      </c>
      <c r="D7" s="143">
        <v>186807</v>
      </c>
      <c r="F7" s="40">
        <v>0.442</v>
      </c>
      <c r="G7" s="40">
        <v>0.33600000000000002</v>
      </c>
      <c r="I7" s="144">
        <v>29414</v>
      </c>
      <c r="J7" s="143">
        <v>33644</v>
      </c>
      <c r="K7" s="143">
        <v>36050</v>
      </c>
      <c r="L7" s="145">
        <v>40729</v>
      </c>
      <c r="M7" s="144">
        <v>42893</v>
      </c>
      <c r="N7" s="143">
        <v>45274</v>
      </c>
      <c r="O7" s="143">
        <v>46127</v>
      </c>
      <c r="P7" s="143">
        <v>52513</v>
      </c>
      <c r="Q7" s="221">
        <v>47803</v>
      </c>
      <c r="R7" s="144">
        <v>45600</v>
      </c>
      <c r="S7" s="145"/>
      <c r="T7" s="40">
        <v>0.45800000000000002</v>
      </c>
      <c r="U7" s="40">
        <v>0.34599999999999997</v>
      </c>
      <c r="V7" s="40">
        <v>0.28000000000000003</v>
      </c>
      <c r="W7" s="40">
        <v>0.28899999999999998</v>
      </c>
      <c r="X7" s="212">
        <v>0.114</v>
      </c>
      <c r="Y7" s="229">
        <f>ROUND(R7/N7-1,3)</f>
        <v>7.0000000000000001E-3</v>
      </c>
    </row>
    <row r="8" spans="1:25" ht="5.15" customHeight="1">
      <c r="B8" s="12"/>
      <c r="C8" s="12"/>
      <c r="D8" s="12"/>
      <c r="E8" s="2"/>
      <c r="F8" s="146"/>
      <c r="G8" s="146"/>
      <c r="I8" s="147"/>
      <c r="J8" s="12"/>
      <c r="K8" s="12"/>
      <c r="L8" s="12"/>
      <c r="M8" s="147"/>
      <c r="N8" s="15"/>
      <c r="O8" s="15"/>
      <c r="P8" s="12"/>
      <c r="Q8" s="222"/>
      <c r="R8" s="12"/>
      <c r="S8" s="48"/>
      <c r="T8" s="146"/>
      <c r="U8" s="146"/>
      <c r="V8" s="146"/>
      <c r="W8" s="146"/>
      <c r="X8" s="228"/>
      <c r="Y8" s="228"/>
    </row>
    <row r="9" spans="1:25">
      <c r="A9" s="44" t="s">
        <v>23</v>
      </c>
      <c r="B9" s="45">
        <v>26617</v>
      </c>
      <c r="C9" s="45">
        <v>41270</v>
      </c>
      <c r="D9" s="45">
        <v>53057</v>
      </c>
      <c r="E9" s="2"/>
      <c r="F9" s="142">
        <v>0.55100000000000005</v>
      </c>
      <c r="G9" s="142">
        <v>0.28599999999999998</v>
      </c>
      <c r="I9" s="148">
        <v>8415</v>
      </c>
      <c r="J9" s="141">
        <v>8699</v>
      </c>
      <c r="K9" s="141">
        <v>11813</v>
      </c>
      <c r="L9" s="141">
        <v>12343</v>
      </c>
      <c r="M9" s="148">
        <v>10790</v>
      </c>
      <c r="N9" s="45">
        <v>11020</v>
      </c>
      <c r="O9" s="45">
        <v>12597</v>
      </c>
      <c r="P9" s="141">
        <v>18650</v>
      </c>
      <c r="Q9" s="220">
        <v>19559</v>
      </c>
      <c r="R9" s="148">
        <f>SUM(R10:R11)</f>
        <v>20902</v>
      </c>
      <c r="S9" s="329"/>
      <c r="T9" s="142">
        <v>0.28199999999999997</v>
      </c>
      <c r="U9" s="142">
        <v>0.26700000000000002</v>
      </c>
      <c r="V9" s="142">
        <v>6.6000000000000003E-2</v>
      </c>
      <c r="W9" s="142">
        <v>0.51100000000000001</v>
      </c>
      <c r="X9" s="227">
        <v>0.81299999999999994</v>
      </c>
      <c r="Y9" s="227">
        <f>ROUND(R9/N9-1,3)</f>
        <v>0.89700000000000002</v>
      </c>
    </row>
    <row r="10" spans="1:25">
      <c r="A10" s="1" t="s">
        <v>8</v>
      </c>
      <c r="B10" s="48">
        <v>23111</v>
      </c>
      <c r="C10" s="149">
        <v>36974</v>
      </c>
      <c r="D10" s="149">
        <v>47525</v>
      </c>
      <c r="F10" s="40">
        <v>0.6</v>
      </c>
      <c r="G10" s="40">
        <v>0.28499999999999998</v>
      </c>
      <c r="I10" s="150">
        <v>7507</v>
      </c>
      <c r="J10" s="151">
        <v>7805</v>
      </c>
      <c r="K10" s="151">
        <v>10581</v>
      </c>
      <c r="L10" s="151">
        <v>11081</v>
      </c>
      <c r="M10" s="144">
        <v>9664</v>
      </c>
      <c r="N10" s="151">
        <v>9579</v>
      </c>
      <c r="O10" s="151">
        <v>11133</v>
      </c>
      <c r="P10" s="151">
        <v>17149</v>
      </c>
      <c r="Q10" s="223">
        <v>18142</v>
      </c>
      <c r="R10" s="328">
        <v>19339</v>
      </c>
      <c r="S10" s="145"/>
      <c r="T10" s="40">
        <v>0.28699999999999998</v>
      </c>
      <c r="U10" s="40">
        <v>0.22700000000000001</v>
      </c>
      <c r="V10" s="40">
        <v>5.1999999999999998E-2</v>
      </c>
      <c r="W10" s="40">
        <v>0.54800000000000004</v>
      </c>
      <c r="X10" s="212">
        <v>0.877</v>
      </c>
      <c r="Y10" s="229">
        <f>ROUND(R10/N10-1,3)</f>
        <v>1.0189999999999999</v>
      </c>
    </row>
    <row r="11" spans="1:25">
      <c r="A11" s="1" t="s">
        <v>9</v>
      </c>
      <c r="B11" s="48">
        <v>3506</v>
      </c>
      <c r="C11" s="149">
        <v>4296</v>
      </c>
      <c r="D11" s="149">
        <v>5532</v>
      </c>
      <c r="F11" s="40">
        <v>0.22500000000000001</v>
      </c>
      <c r="G11" s="40">
        <v>0.28799999999999998</v>
      </c>
      <c r="I11" s="150">
        <v>908</v>
      </c>
      <c r="J11" s="151">
        <v>894</v>
      </c>
      <c r="K11" s="151">
        <v>1232</v>
      </c>
      <c r="L11" s="151">
        <v>1262</v>
      </c>
      <c r="M11" s="144">
        <v>1127</v>
      </c>
      <c r="N11" s="151">
        <v>1440</v>
      </c>
      <c r="O11" s="151">
        <v>1464</v>
      </c>
      <c r="P11" s="151">
        <v>1501</v>
      </c>
      <c r="Q11" s="223">
        <v>1417</v>
      </c>
      <c r="R11" s="328">
        <v>1563</v>
      </c>
      <c r="S11" s="145"/>
      <c r="T11" s="40">
        <v>0.24099999999999999</v>
      </c>
      <c r="U11" s="40">
        <v>0.61099999999999999</v>
      </c>
      <c r="V11" s="40">
        <v>0.188</v>
      </c>
      <c r="W11" s="40">
        <v>0.189</v>
      </c>
      <c r="X11" s="212">
        <v>0.25700000000000001</v>
      </c>
      <c r="Y11" s="229">
        <f>ROUND(R11/N11-1,3)</f>
        <v>8.5000000000000006E-2</v>
      </c>
    </row>
    <row r="12" spans="1:25" ht="4.5" customHeight="1">
      <c r="F12" s="40"/>
      <c r="G12" s="40"/>
      <c r="I12" s="152"/>
      <c r="M12" s="152"/>
      <c r="Q12" s="224"/>
      <c r="T12" s="40"/>
      <c r="U12" s="40"/>
      <c r="V12" s="40"/>
      <c r="W12" s="40"/>
      <c r="X12" s="212"/>
      <c r="Y12" s="212"/>
    </row>
    <row r="13" spans="1:25">
      <c r="A13" s="44" t="s">
        <v>37</v>
      </c>
      <c r="B13" s="45"/>
      <c r="C13" s="45"/>
      <c r="D13" s="45"/>
      <c r="E13" s="2"/>
      <c r="F13" s="142"/>
      <c r="G13" s="142"/>
      <c r="I13" s="153"/>
      <c r="J13" s="46"/>
      <c r="K13" s="46"/>
      <c r="L13" s="46"/>
      <c r="M13" s="153"/>
      <c r="N13" s="46"/>
      <c r="O13" s="46"/>
      <c r="P13" s="46"/>
      <c r="Q13" s="225"/>
      <c r="R13" s="46"/>
      <c r="S13" s="337"/>
      <c r="T13" s="142"/>
      <c r="U13" s="142"/>
      <c r="V13" s="142"/>
      <c r="W13" s="142"/>
      <c r="X13" s="227"/>
      <c r="Y13" s="227"/>
    </row>
    <row r="14" spans="1:25">
      <c r="A14" s="1" t="s">
        <v>38</v>
      </c>
      <c r="B14" s="154">
        <v>11.17</v>
      </c>
      <c r="C14" s="154">
        <v>16.3</v>
      </c>
      <c r="D14" s="155">
        <v>22.91</v>
      </c>
      <c r="F14" s="40">
        <v>0.45900000000000002</v>
      </c>
      <c r="G14" s="40">
        <v>0.40600000000000003</v>
      </c>
      <c r="I14" s="156">
        <v>11.55</v>
      </c>
      <c r="J14" s="157">
        <v>15.11</v>
      </c>
      <c r="K14" s="157">
        <v>15.45</v>
      </c>
      <c r="L14" s="157">
        <v>21.17</v>
      </c>
      <c r="M14" s="158">
        <v>23.8</v>
      </c>
      <c r="N14" s="159">
        <v>26.84</v>
      </c>
      <c r="O14" s="159">
        <v>23.61</v>
      </c>
      <c r="P14" s="157">
        <v>19.75</v>
      </c>
      <c r="Q14" s="226">
        <v>19.89</v>
      </c>
      <c r="R14" s="158">
        <v>20.667999999999999</v>
      </c>
      <c r="S14" s="338"/>
      <c r="T14" s="40">
        <v>1.0609999999999999</v>
      </c>
      <c r="U14" s="40">
        <v>0.77600000000000002</v>
      </c>
      <c r="V14" s="40">
        <v>0.52800000000000002</v>
      </c>
      <c r="W14" s="83">
        <v>-6.7000000000000004E-2</v>
      </c>
      <c r="X14" s="229">
        <f>ROUND(Q14/M14-1,3)</f>
        <v>-0.16400000000000001</v>
      </c>
      <c r="Y14" s="229">
        <f>ROUND(R14/N14-1,3)</f>
        <v>-0.23</v>
      </c>
    </row>
    <row r="15" spans="1:25">
      <c r="A15" s="1" t="s">
        <v>39</v>
      </c>
      <c r="B15" s="155">
        <v>72.12</v>
      </c>
      <c r="C15" s="1">
        <v>101.85</v>
      </c>
      <c r="D15" s="155">
        <v>96.42</v>
      </c>
      <c r="F15" s="40">
        <v>0.41199999999999998</v>
      </c>
      <c r="G15" s="83">
        <v>-5.2999999999999999E-2</v>
      </c>
      <c r="I15" s="158">
        <v>84.14</v>
      </c>
      <c r="J15" s="157">
        <v>108.32</v>
      </c>
      <c r="K15" s="157">
        <v>105.55</v>
      </c>
      <c r="L15" s="157">
        <v>106.41</v>
      </c>
      <c r="M15" s="158">
        <v>101.48</v>
      </c>
      <c r="N15" s="159">
        <v>93.23</v>
      </c>
      <c r="O15" s="159">
        <v>93.48</v>
      </c>
      <c r="P15" s="157">
        <v>98.54</v>
      </c>
      <c r="Q15" s="226">
        <v>91.29</v>
      </c>
      <c r="R15" s="158">
        <v>95.77</v>
      </c>
      <c r="S15" s="338"/>
      <c r="T15" s="40">
        <v>0.20599999999999999</v>
      </c>
      <c r="U15" s="83">
        <v>-0.13900000000000001</v>
      </c>
      <c r="V15" s="83">
        <v>-0.114</v>
      </c>
      <c r="W15" s="83">
        <v>-7.3999999999999996E-2</v>
      </c>
      <c r="X15" s="229">
        <f>ROUND(Q15/M15-1,3)</f>
        <v>-0.1</v>
      </c>
      <c r="Y15" s="229">
        <f>ROUND(R15/N15-1,3)</f>
        <v>2.7E-2</v>
      </c>
    </row>
    <row r="16" spans="1:25" ht="4.5" customHeight="1">
      <c r="I16" s="152"/>
      <c r="M16" s="152"/>
      <c r="R16" s="157"/>
      <c r="S16" s="339"/>
      <c r="Y16" s="229"/>
    </row>
    <row r="18" spans="2:19">
      <c r="I18" s="38"/>
      <c r="K18" s="160"/>
      <c r="R18" s="333"/>
      <c r="S18" s="340"/>
    </row>
    <row r="19" spans="2:19">
      <c r="H19" s="2"/>
      <c r="I19" s="126"/>
      <c r="J19" s="2"/>
      <c r="K19" s="2"/>
      <c r="L19" s="2"/>
      <c r="M19" s="2"/>
      <c r="N19" s="126"/>
      <c r="O19" s="126"/>
      <c r="P19" s="126"/>
      <c r="Q19" s="126"/>
      <c r="R19" s="334"/>
      <c r="S19" s="132"/>
    </row>
    <row r="20" spans="2:19">
      <c r="B20" s="161"/>
      <c r="C20" s="161"/>
      <c r="D20" s="161"/>
      <c r="E20" s="2"/>
      <c r="F20" s="2"/>
      <c r="G20" s="2"/>
      <c r="H20" s="2"/>
      <c r="I20" s="162"/>
      <c r="J20" s="163"/>
      <c r="K20" s="163"/>
      <c r="L20" s="163"/>
      <c r="M20" s="163"/>
      <c r="N20" s="163"/>
      <c r="O20" s="163"/>
      <c r="P20" s="163"/>
      <c r="Q20" s="163"/>
      <c r="R20" s="334"/>
      <c r="S20" s="132"/>
    </row>
    <row r="21" spans="2:19">
      <c r="B21" s="163"/>
      <c r="C21" s="163"/>
      <c r="D21" s="163"/>
      <c r="E21" s="2"/>
      <c r="F21" s="2"/>
      <c r="G21" s="2"/>
      <c r="H21" s="2"/>
      <c r="I21" s="163"/>
      <c r="J21" s="163"/>
      <c r="K21" s="163"/>
      <c r="L21" s="163"/>
      <c r="M21" s="163"/>
      <c r="N21" s="163"/>
      <c r="O21" s="163"/>
      <c r="P21" s="163"/>
      <c r="Q21" s="163"/>
      <c r="R21" s="159"/>
      <c r="S21" s="163"/>
    </row>
    <row r="22" spans="2:19">
      <c r="H22" s="2"/>
      <c r="I22" s="2"/>
      <c r="J22" s="2"/>
      <c r="K22" s="2"/>
      <c r="L22" s="2"/>
      <c r="M22" s="2"/>
      <c r="N22" s="2"/>
      <c r="O22" s="2"/>
      <c r="P22" s="2"/>
      <c r="Q22" s="2"/>
    </row>
  </sheetData>
  <pageMargins left="0.511811024" right="0.511811024" top="0.78740157499999996" bottom="0.78740157499999996" header="0.31496062000000002" footer="0.31496062000000002"/>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A0284-CDB6-4A73-B10D-39BC81A95E13}">
  <dimension ref="A1:Z12"/>
  <sheetViews>
    <sheetView showGridLines="0" zoomScaleNormal="100" workbookViewId="0">
      <pane xSplit="1" ySplit="3" topLeftCell="L4" activePane="bottomRight" state="frozen"/>
      <selection pane="topRight" activeCell="B1" sqref="B1"/>
      <selection pane="bottomLeft" activeCell="A4" sqref="A4"/>
      <selection pane="bottomRight" activeCell="Y5" sqref="Y5"/>
    </sheetView>
  </sheetViews>
  <sheetFormatPr defaultColWidth="9.1796875" defaultRowHeight="10"/>
  <cols>
    <col min="1" max="1" width="17.7265625" style="1" bestFit="1" customWidth="1"/>
    <col min="2" max="4" width="10.81640625" style="1" customWidth="1"/>
    <col min="5" max="5" width="2.54296875" style="1" customWidth="1"/>
    <col min="6" max="7" width="10.81640625" style="1" customWidth="1"/>
    <col min="8" max="8" width="9.1796875" style="1"/>
    <col min="9" max="18" width="10.81640625" style="1" customWidth="1"/>
    <col min="19" max="19" width="2.54296875" style="1" customWidth="1"/>
    <col min="20" max="24" width="10.81640625" style="1" customWidth="1"/>
    <col min="25" max="25" width="9.54296875" style="1" bestFit="1" customWidth="1"/>
    <col min="26" max="16384" width="9.1796875" style="1"/>
  </cols>
  <sheetData>
    <row r="1" spans="1:26" ht="55.5" customHeight="1"/>
    <row r="2" spans="1:26">
      <c r="F2" s="3" t="s">
        <v>40</v>
      </c>
      <c r="G2" s="3" t="s">
        <v>40</v>
      </c>
      <c r="T2" s="3" t="s">
        <v>40</v>
      </c>
      <c r="U2" s="3" t="s">
        <v>40</v>
      </c>
      <c r="V2" s="3" t="s">
        <v>40</v>
      </c>
      <c r="W2" s="3" t="s">
        <v>40</v>
      </c>
      <c r="X2" s="3" t="s">
        <v>40</v>
      </c>
      <c r="Y2" s="3" t="s">
        <v>40</v>
      </c>
    </row>
    <row r="3" spans="1:26">
      <c r="A3" s="119" t="s">
        <v>47</v>
      </c>
      <c r="B3" s="5">
        <v>2019</v>
      </c>
      <c r="C3" s="5">
        <v>2020</v>
      </c>
      <c r="D3" s="5">
        <v>2021</v>
      </c>
      <c r="E3" s="42"/>
      <c r="F3" s="5">
        <v>2020</v>
      </c>
      <c r="G3" s="120">
        <v>2021</v>
      </c>
      <c r="H3" s="6"/>
      <c r="I3" s="62" t="s">
        <v>30</v>
      </c>
      <c r="J3" s="5" t="s">
        <v>31</v>
      </c>
      <c r="K3" s="5" t="s">
        <v>32</v>
      </c>
      <c r="L3" s="5" t="s">
        <v>33</v>
      </c>
      <c r="M3" s="62" t="s">
        <v>34</v>
      </c>
      <c r="N3" s="5" t="s">
        <v>35</v>
      </c>
      <c r="O3" s="5" t="s">
        <v>194</v>
      </c>
      <c r="P3" s="5" t="s">
        <v>200</v>
      </c>
      <c r="Q3" s="211" t="s">
        <v>213</v>
      </c>
      <c r="R3" s="120" t="s">
        <v>241</v>
      </c>
      <c r="T3" s="5" t="s">
        <v>34</v>
      </c>
      <c r="U3" s="5" t="s">
        <v>35</v>
      </c>
      <c r="V3" s="5" t="s">
        <v>194</v>
      </c>
      <c r="W3" s="5" t="s">
        <v>200</v>
      </c>
      <c r="X3" s="211" t="s">
        <v>213</v>
      </c>
      <c r="Y3" s="211" t="s">
        <v>241</v>
      </c>
    </row>
    <row r="4" spans="1:26" s="2" customFormat="1">
      <c r="A4" s="28" t="s">
        <v>45</v>
      </c>
      <c r="B4" s="121">
        <v>21559</v>
      </c>
      <c r="C4" s="121">
        <v>35561</v>
      </c>
      <c r="D4" s="121">
        <v>52315</v>
      </c>
      <c r="F4" s="122">
        <v>0.64900000000000002</v>
      </c>
      <c r="G4" s="122">
        <v>0.47099999999999997</v>
      </c>
      <c r="I4" s="123">
        <v>4860</v>
      </c>
      <c r="J4" s="48">
        <v>6450</v>
      </c>
      <c r="K4" s="48">
        <v>8975</v>
      </c>
      <c r="L4" s="48">
        <v>15276</v>
      </c>
      <c r="M4" s="123">
        <v>9767</v>
      </c>
      <c r="N4" s="124">
        <v>15370</v>
      </c>
      <c r="O4" s="12">
        <v>15616</v>
      </c>
      <c r="P4" s="12">
        <v>11562</v>
      </c>
      <c r="Q4" s="147">
        <v>17384</v>
      </c>
      <c r="R4" s="12">
        <v>6803</v>
      </c>
      <c r="T4" s="122">
        <v>1.01</v>
      </c>
      <c r="U4" s="122">
        <v>1.3829457364341087</v>
      </c>
      <c r="V4" s="122">
        <v>0.74</v>
      </c>
      <c r="W4" s="125">
        <v>-0.24299999999999999</v>
      </c>
      <c r="X4" s="232">
        <f>ROUND(Q4/M4-1,3)</f>
        <v>0.78</v>
      </c>
      <c r="Y4" s="232">
        <f>ROUND(R4/N4-1,3)</f>
        <v>-0.55700000000000005</v>
      </c>
      <c r="Z4" s="126"/>
    </row>
    <row r="5" spans="1:26">
      <c r="A5" s="108" t="s">
        <v>46</v>
      </c>
      <c r="B5" s="127">
        <v>3.5000000000000003E-2</v>
      </c>
      <c r="C5" s="127">
        <v>0.03</v>
      </c>
      <c r="D5" s="127">
        <v>2.9000000000000001E-2</v>
      </c>
      <c r="F5" s="128">
        <v>-0.5</v>
      </c>
      <c r="G5" s="129">
        <v>-0.1</v>
      </c>
      <c r="I5" s="130">
        <v>2.5000000000000001E-2</v>
      </c>
      <c r="J5" s="131">
        <v>2.5999999999999999E-2</v>
      </c>
      <c r="K5" s="131">
        <v>2.7E-2</v>
      </c>
      <c r="L5" s="131">
        <v>3.6999999999999998E-2</v>
      </c>
      <c r="M5" s="130">
        <v>2.5000000000000001E-2</v>
      </c>
      <c r="N5" s="131">
        <v>3.5000000000000003E-2</v>
      </c>
      <c r="O5" s="131">
        <v>3.5000000000000003E-2</v>
      </c>
      <c r="P5" s="131">
        <v>2.1000000000000001E-2</v>
      </c>
      <c r="Q5" s="130">
        <v>3.2000000000000001E-2</v>
      </c>
      <c r="R5" s="130" t="e">
        <f>R4/#REF!</f>
        <v>#REF!</v>
      </c>
      <c r="T5" s="128">
        <v>0</v>
      </c>
      <c r="U5" s="128">
        <v>0.90284983565762578</v>
      </c>
      <c r="V5" s="129">
        <v>0.8</v>
      </c>
      <c r="W5" s="129">
        <v>-1.5</v>
      </c>
      <c r="X5" s="230">
        <f>(Q5-M5)*100</f>
        <v>0.7</v>
      </c>
      <c r="Y5" s="230" t="e">
        <f>(R5-N5)*100</f>
        <v>#REF!</v>
      </c>
    </row>
    <row r="7" spans="1:26" s="2" customFormat="1">
      <c r="A7" s="28" t="s">
        <v>41</v>
      </c>
      <c r="B7" s="132">
        <v>0.42</v>
      </c>
      <c r="C7" s="132">
        <v>0.44</v>
      </c>
      <c r="D7" s="132">
        <v>0.42</v>
      </c>
      <c r="F7" s="133">
        <v>2.6</v>
      </c>
      <c r="G7" s="134">
        <v>-2.0000000000000018</v>
      </c>
      <c r="I7" s="135">
        <v>0.51</v>
      </c>
      <c r="J7" s="132">
        <v>0.42</v>
      </c>
      <c r="K7" s="132">
        <v>0.43</v>
      </c>
      <c r="L7" s="132">
        <v>0.43</v>
      </c>
      <c r="M7" s="135">
        <v>0.38</v>
      </c>
      <c r="N7" s="136">
        <v>0.4</v>
      </c>
      <c r="O7" s="136">
        <v>0.45</v>
      </c>
      <c r="P7" s="136">
        <v>0.43</v>
      </c>
      <c r="Q7" s="135">
        <v>0.49</v>
      </c>
      <c r="R7" s="136">
        <v>0.15772393884436398</v>
      </c>
      <c r="T7" s="137">
        <v>-13</v>
      </c>
      <c r="U7" s="137">
        <v>-10.999999999999998</v>
      </c>
      <c r="V7" s="134">
        <v>2</v>
      </c>
      <c r="W7" s="134">
        <v>0</v>
      </c>
      <c r="X7" s="231">
        <f t="shared" ref="X7:Y10" si="0">(Q7-M7)*100</f>
        <v>10.999999999999998</v>
      </c>
      <c r="Y7" s="231">
        <f t="shared" si="0"/>
        <v>-24.227606115563603</v>
      </c>
    </row>
    <row r="8" spans="1:26" s="2" customFormat="1">
      <c r="A8" s="28" t="s">
        <v>42</v>
      </c>
      <c r="B8" s="132">
        <v>0.48</v>
      </c>
      <c r="C8" s="132">
        <v>0.48</v>
      </c>
      <c r="D8" s="132">
        <v>0.43</v>
      </c>
      <c r="F8" s="138">
        <v>0</v>
      </c>
      <c r="G8" s="134">
        <v>-4.9999999999999991</v>
      </c>
      <c r="I8" s="135">
        <v>0.43</v>
      </c>
      <c r="J8" s="132">
        <v>0.47</v>
      </c>
      <c r="K8" s="132">
        <v>0.5</v>
      </c>
      <c r="L8" s="132">
        <v>0.49</v>
      </c>
      <c r="M8" s="135">
        <v>0.48</v>
      </c>
      <c r="N8" s="136">
        <v>0.36</v>
      </c>
      <c r="O8" s="136">
        <v>0.38</v>
      </c>
      <c r="P8" s="136">
        <v>0.52</v>
      </c>
      <c r="Q8" s="135">
        <v>0.37</v>
      </c>
      <c r="R8" s="136">
        <v>0.6733033568281539</v>
      </c>
      <c r="T8" s="137">
        <v>4.9999999999999991</v>
      </c>
      <c r="U8" s="137">
        <v>-7.0000000000000009</v>
      </c>
      <c r="V8" s="134">
        <v>-12</v>
      </c>
      <c r="W8" s="134">
        <v>3.0000000000000027</v>
      </c>
      <c r="X8" s="231">
        <f t="shared" si="0"/>
        <v>-10.999999999999998</v>
      </c>
      <c r="Y8" s="231">
        <f t="shared" si="0"/>
        <v>31.330335682815392</v>
      </c>
    </row>
    <row r="9" spans="1:26" s="2" customFormat="1">
      <c r="A9" s="28" t="s">
        <v>43</v>
      </c>
      <c r="B9" s="132">
        <v>0.02</v>
      </c>
      <c r="C9" s="132">
        <v>0.05</v>
      </c>
      <c r="D9" s="132">
        <v>0.08</v>
      </c>
      <c r="F9" s="133">
        <v>2.9</v>
      </c>
      <c r="G9" s="134">
        <v>3</v>
      </c>
      <c r="I9" s="135">
        <v>0.05</v>
      </c>
      <c r="J9" s="132">
        <v>0.04</v>
      </c>
      <c r="K9" s="132">
        <v>0.05</v>
      </c>
      <c r="L9" s="132">
        <v>0.05</v>
      </c>
      <c r="M9" s="135">
        <v>0.08</v>
      </c>
      <c r="N9" s="136">
        <v>0.14000000000000001</v>
      </c>
      <c r="O9" s="136">
        <v>0.12</v>
      </c>
      <c r="P9" s="139">
        <v>0</v>
      </c>
      <c r="Q9" s="135">
        <v>0.12</v>
      </c>
      <c r="R9" s="136">
        <v>2.4474404303435789E-2</v>
      </c>
      <c r="T9" s="137">
        <v>3</v>
      </c>
      <c r="U9" s="137">
        <v>9.0000000000000018</v>
      </c>
      <c r="V9" s="134">
        <v>7</v>
      </c>
      <c r="W9" s="134">
        <v>-5</v>
      </c>
      <c r="X9" s="231">
        <f t="shared" si="0"/>
        <v>3.9999999999999996</v>
      </c>
      <c r="Y9" s="231">
        <f t="shared" si="0"/>
        <v>-11.552559569656424</v>
      </c>
    </row>
    <row r="10" spans="1:26" s="2" customFormat="1">
      <c r="A10" s="28" t="s">
        <v>44</v>
      </c>
      <c r="B10" s="132">
        <v>0.08</v>
      </c>
      <c r="C10" s="132">
        <v>0.03</v>
      </c>
      <c r="D10" s="132">
        <v>7.0000000000000007E-2</v>
      </c>
      <c r="F10" s="140">
        <v>-5.2</v>
      </c>
      <c r="G10" s="134">
        <v>4.0000000000000009</v>
      </c>
      <c r="I10" s="135">
        <v>0.01</v>
      </c>
      <c r="J10" s="132">
        <v>7.0000000000000007E-2</v>
      </c>
      <c r="K10" s="132">
        <v>0.02</v>
      </c>
      <c r="L10" s="132">
        <v>0.03</v>
      </c>
      <c r="M10" s="135">
        <v>0.06</v>
      </c>
      <c r="N10" s="136">
        <v>0.1</v>
      </c>
      <c r="O10" s="136">
        <v>0.05</v>
      </c>
      <c r="P10" s="136">
        <v>0.05</v>
      </c>
      <c r="Q10" s="135">
        <v>0.02</v>
      </c>
      <c r="R10" s="136">
        <v>0.14449830002404629</v>
      </c>
      <c r="T10" s="137">
        <v>5</v>
      </c>
      <c r="U10" s="137">
        <v>9.0000000000000018</v>
      </c>
      <c r="V10" s="134">
        <v>3</v>
      </c>
      <c r="W10" s="134">
        <v>2.0000000000000004</v>
      </c>
      <c r="X10" s="231">
        <f t="shared" si="0"/>
        <v>-3.9999999999999996</v>
      </c>
      <c r="Y10" s="231">
        <f t="shared" si="0"/>
        <v>4.449830002404628</v>
      </c>
    </row>
    <row r="12" spans="1:26">
      <c r="R12" s="40"/>
    </row>
  </sheetData>
  <pageMargins left="0.511811024" right="0.511811024" top="0.78740157499999996" bottom="0.78740157499999996" header="0.31496062000000002" footer="0.31496062000000002"/>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EC6E-DFD3-48EE-B398-2B7AFEB918E3}">
  <dimension ref="A4:Z21"/>
  <sheetViews>
    <sheetView showGridLines="0" topLeftCell="A4" zoomScaleNormal="100" workbookViewId="0">
      <pane xSplit="2" ySplit="4" topLeftCell="R8" activePane="bottomRight" state="frozen"/>
      <selection activeCell="A4" sqref="A4"/>
      <selection pane="topRight" activeCell="C4" sqref="C4"/>
      <selection pane="bottomLeft" activeCell="A8" sqref="A8"/>
      <selection pane="bottomRight" activeCell="Z7" sqref="Z7"/>
    </sheetView>
  </sheetViews>
  <sheetFormatPr defaultColWidth="9.1796875" defaultRowHeight="10"/>
  <cols>
    <col min="1" max="1" width="8.54296875" style="1" customWidth="1"/>
    <col min="2" max="2" width="55.1796875" style="1" bestFit="1" customWidth="1"/>
    <col min="3" max="5" width="10.81640625" style="1" customWidth="1"/>
    <col min="6" max="6" width="2.54296875" style="1" customWidth="1"/>
    <col min="7" max="7" width="10.81640625" style="1" customWidth="1"/>
    <col min="8" max="8" width="11.54296875" style="1" bestFit="1" customWidth="1"/>
    <col min="9" max="9" width="9.1796875" style="1"/>
    <col min="10" max="19" width="10.81640625" style="1" customWidth="1"/>
    <col min="20" max="20" width="2.54296875" style="1" customWidth="1"/>
    <col min="21" max="25" width="10.81640625" style="1" customWidth="1"/>
    <col min="26" max="16384" width="9.1796875" style="1"/>
  </cols>
  <sheetData>
    <row r="4" spans="1:26" ht="55.5" customHeight="1"/>
    <row r="6" spans="1:26">
      <c r="G6" s="3" t="s">
        <v>40</v>
      </c>
      <c r="H6" s="3" t="s">
        <v>40</v>
      </c>
      <c r="T6" s="2"/>
      <c r="U6" s="3" t="s">
        <v>40</v>
      </c>
      <c r="V6" s="3" t="s">
        <v>40</v>
      </c>
      <c r="W6" s="3" t="s">
        <v>40</v>
      </c>
      <c r="X6" s="3" t="s">
        <v>40</v>
      </c>
      <c r="Y6" s="3" t="s">
        <v>40</v>
      </c>
      <c r="Z6" s="341" t="s">
        <v>57</v>
      </c>
    </row>
    <row r="7" spans="1:26" ht="20">
      <c r="B7" s="4" t="s">
        <v>49</v>
      </c>
      <c r="C7" s="5">
        <v>2019</v>
      </c>
      <c r="D7" s="5">
        <v>2020</v>
      </c>
      <c r="E7" s="5">
        <v>2021</v>
      </c>
      <c r="G7" s="5">
        <v>2020</v>
      </c>
      <c r="H7" s="5">
        <v>2021</v>
      </c>
      <c r="J7" s="62" t="s">
        <v>30</v>
      </c>
      <c r="K7" s="5" t="s">
        <v>31</v>
      </c>
      <c r="L7" s="5" t="s">
        <v>32</v>
      </c>
      <c r="M7" s="5" t="s">
        <v>33</v>
      </c>
      <c r="N7" s="62" t="s">
        <v>34</v>
      </c>
      <c r="O7" s="5" t="s">
        <v>35</v>
      </c>
      <c r="P7" s="5" t="s">
        <v>194</v>
      </c>
      <c r="Q7" s="5" t="s">
        <v>200</v>
      </c>
      <c r="R7" s="62" t="s">
        <v>213</v>
      </c>
      <c r="S7" s="120" t="s">
        <v>241</v>
      </c>
      <c r="U7" s="41" t="s">
        <v>48</v>
      </c>
      <c r="V7" s="41" t="s">
        <v>201</v>
      </c>
      <c r="W7" s="41" t="s">
        <v>195</v>
      </c>
      <c r="X7" s="41" t="s">
        <v>202</v>
      </c>
      <c r="Y7" s="41" t="s">
        <v>214</v>
      </c>
      <c r="Z7" s="280" t="s">
        <v>243</v>
      </c>
    </row>
    <row r="8" spans="1:26">
      <c r="A8" s="94" t="s">
        <v>10</v>
      </c>
      <c r="B8" s="44" t="s">
        <v>49</v>
      </c>
      <c r="C8" s="45">
        <v>275451</v>
      </c>
      <c r="D8" s="45">
        <v>397055</v>
      </c>
      <c r="E8" s="45">
        <v>502243</v>
      </c>
      <c r="G8" s="95">
        <v>0.441</v>
      </c>
      <c r="H8" s="95">
        <v>0.26500000000000001</v>
      </c>
      <c r="J8" s="96">
        <v>304190</v>
      </c>
      <c r="K8" s="45">
        <v>316575</v>
      </c>
      <c r="L8" s="45">
        <v>365300</v>
      </c>
      <c r="M8" s="45">
        <v>397055</v>
      </c>
      <c r="N8" s="96">
        <v>462196</v>
      </c>
      <c r="O8" s="45">
        <v>527377</v>
      </c>
      <c r="P8" s="45">
        <v>503934</v>
      </c>
      <c r="Q8" s="45">
        <v>502243</v>
      </c>
      <c r="R8" s="96">
        <v>497775</v>
      </c>
      <c r="S8" s="96">
        <f>SUM(S9:S10)</f>
        <v>495827</v>
      </c>
      <c r="U8" s="95">
        <v>0.16400000000000001</v>
      </c>
      <c r="V8" s="95">
        <v>0.14099999999999999</v>
      </c>
      <c r="W8" s="97">
        <v>-4.3999999999999997E-2</v>
      </c>
      <c r="X8" s="97">
        <v>-3.0000000000000001E-3</v>
      </c>
      <c r="Y8" s="234">
        <f>ROUND(R8/Q8-1,3)</f>
        <v>-8.9999999999999993E-3</v>
      </c>
      <c r="Z8" s="234">
        <f>ROUND(S8/R8-1,3)</f>
        <v>-4.0000000000000001E-3</v>
      </c>
    </row>
    <row r="9" spans="1:26">
      <c r="A9" s="98"/>
      <c r="B9" s="99" t="s">
        <v>53</v>
      </c>
      <c r="C9" s="100">
        <v>228402</v>
      </c>
      <c r="D9" s="100">
        <v>357446</v>
      </c>
      <c r="E9" s="100">
        <v>381418</v>
      </c>
      <c r="G9" s="101">
        <v>0.56499999999999995</v>
      </c>
      <c r="H9" s="101">
        <v>6.7000000000000004E-2</v>
      </c>
      <c r="J9" s="102">
        <v>256167</v>
      </c>
      <c r="K9" s="100">
        <v>270294</v>
      </c>
      <c r="L9" s="100">
        <v>319679</v>
      </c>
      <c r="M9" s="100">
        <v>357446</v>
      </c>
      <c r="N9" s="102">
        <v>409467</v>
      </c>
      <c r="O9" s="100">
        <v>391885</v>
      </c>
      <c r="P9" s="100">
        <v>382014</v>
      </c>
      <c r="Q9" s="100">
        <v>381418</v>
      </c>
      <c r="R9" s="102">
        <v>383141</v>
      </c>
      <c r="S9" s="102">
        <v>407974</v>
      </c>
      <c r="U9" s="101">
        <v>0.14599999999999999</v>
      </c>
      <c r="V9" s="83">
        <v>-4.2999999999999997E-2</v>
      </c>
      <c r="W9" s="83">
        <v>-2.5000000000000001E-2</v>
      </c>
      <c r="X9" s="83">
        <v>-2E-3</v>
      </c>
      <c r="Y9" s="229">
        <f t="shared" ref="Y9:Z14" si="0">ROUND(R9/Q9-1,3)</f>
        <v>5.0000000000000001E-3</v>
      </c>
      <c r="Z9" s="229">
        <f t="shared" si="0"/>
        <v>6.5000000000000002E-2</v>
      </c>
    </row>
    <row r="10" spans="1:26">
      <c r="A10" s="98"/>
      <c r="B10" s="99" t="s">
        <v>54</v>
      </c>
      <c r="C10" s="100">
        <v>34776</v>
      </c>
      <c r="D10" s="100">
        <v>39609</v>
      </c>
      <c r="E10" s="100">
        <v>120825</v>
      </c>
      <c r="G10" s="101">
        <v>0.13900000000000001</v>
      </c>
      <c r="H10" s="101">
        <v>2.0499999999999998</v>
      </c>
      <c r="J10" s="102">
        <v>35625</v>
      </c>
      <c r="K10" s="100">
        <v>33791</v>
      </c>
      <c r="L10" s="100">
        <v>33067</v>
      </c>
      <c r="M10" s="100">
        <v>39609</v>
      </c>
      <c r="N10" s="102">
        <v>52729</v>
      </c>
      <c r="O10" s="100">
        <v>135492</v>
      </c>
      <c r="P10" s="100">
        <v>121920</v>
      </c>
      <c r="Q10" s="100">
        <v>120825</v>
      </c>
      <c r="R10" s="102">
        <v>113624</v>
      </c>
      <c r="S10" s="102">
        <v>87853</v>
      </c>
      <c r="U10" s="101">
        <v>0.33100000000000002</v>
      </c>
      <c r="V10" s="101">
        <v>1.57</v>
      </c>
      <c r="W10" s="83">
        <v>-0.1</v>
      </c>
      <c r="X10" s="83">
        <v>-8.9999999999999993E-3</v>
      </c>
      <c r="Y10" s="229">
        <f t="shared" si="0"/>
        <v>-0.06</v>
      </c>
      <c r="Z10" s="229">
        <f t="shared" si="0"/>
        <v>-0.22700000000000001</v>
      </c>
    </row>
    <row r="11" spans="1:26">
      <c r="A11" s="98"/>
      <c r="B11" s="99" t="s">
        <v>55</v>
      </c>
      <c r="C11" s="100">
        <v>12273</v>
      </c>
      <c r="D11" s="100">
        <v>0</v>
      </c>
      <c r="E11" s="100">
        <v>0</v>
      </c>
      <c r="G11" s="100">
        <v>0</v>
      </c>
      <c r="H11" s="100">
        <v>0</v>
      </c>
      <c r="J11" s="102">
        <v>12398</v>
      </c>
      <c r="K11" s="100">
        <v>12490</v>
      </c>
      <c r="L11" s="100">
        <v>12554</v>
      </c>
      <c r="M11" s="100">
        <v>0</v>
      </c>
      <c r="N11" s="102">
        <v>0</v>
      </c>
      <c r="O11" s="100">
        <v>0</v>
      </c>
      <c r="P11" s="100">
        <v>0</v>
      </c>
      <c r="Q11" s="100">
        <v>0</v>
      </c>
      <c r="R11" s="102">
        <v>0</v>
      </c>
      <c r="S11" s="102">
        <v>0</v>
      </c>
      <c r="U11" s="103">
        <v>0</v>
      </c>
      <c r="V11" s="103">
        <v>0</v>
      </c>
      <c r="W11" s="103">
        <v>0</v>
      </c>
      <c r="X11" s="103">
        <v>0</v>
      </c>
      <c r="Y11" s="235">
        <v>0</v>
      </c>
      <c r="Z11" s="235">
        <v>0</v>
      </c>
    </row>
    <row r="12" spans="1:26">
      <c r="A12" s="94" t="s">
        <v>11</v>
      </c>
      <c r="B12" s="44" t="s">
        <v>50</v>
      </c>
      <c r="C12" s="45">
        <v>-99430</v>
      </c>
      <c r="D12" s="104">
        <v>-417199</v>
      </c>
      <c r="E12" s="104">
        <v>-203461</v>
      </c>
      <c r="G12" s="105">
        <v>3.1960000000000002</v>
      </c>
      <c r="H12" s="97">
        <v>-0.51200000000000001</v>
      </c>
      <c r="J12" s="106">
        <v>-72098</v>
      </c>
      <c r="K12" s="104">
        <v>-80402</v>
      </c>
      <c r="L12" s="104">
        <v>-122513</v>
      </c>
      <c r="M12" s="104">
        <v>-417199</v>
      </c>
      <c r="N12" s="106">
        <v>-356842</v>
      </c>
      <c r="O12" s="104">
        <v>-325946</v>
      </c>
      <c r="P12" s="104">
        <v>-244065</v>
      </c>
      <c r="Q12" s="104">
        <v>-203461</v>
      </c>
      <c r="R12" s="106">
        <v>-198960</v>
      </c>
      <c r="S12" s="104">
        <v>-168050</v>
      </c>
      <c r="U12" s="97">
        <v>-0.14499999999999999</v>
      </c>
      <c r="V12" s="97">
        <v>-8.6999999999999994E-2</v>
      </c>
      <c r="W12" s="97">
        <v>-0.251</v>
      </c>
      <c r="X12" s="97">
        <v>-0.16600000000000001</v>
      </c>
      <c r="Y12" s="234">
        <f t="shared" si="0"/>
        <v>-2.1999999999999999E-2</v>
      </c>
      <c r="Z12" s="234">
        <f t="shared" si="0"/>
        <v>-0.155</v>
      </c>
    </row>
    <row r="13" spans="1:26">
      <c r="A13" s="107" t="s">
        <v>12</v>
      </c>
      <c r="B13" s="108" t="s">
        <v>51</v>
      </c>
      <c r="C13" s="112">
        <f>C8+C12</f>
        <v>176021</v>
      </c>
      <c r="D13" s="112">
        <f>D8+D12</f>
        <v>-20144</v>
      </c>
      <c r="E13" s="112">
        <f>E8+E12</f>
        <v>298782</v>
      </c>
      <c r="G13" s="110" t="s">
        <v>22</v>
      </c>
      <c r="H13" s="113" t="s">
        <v>22</v>
      </c>
      <c r="J13" s="112">
        <v>232092</v>
      </c>
      <c r="K13" s="109">
        <v>236173</v>
      </c>
      <c r="L13" s="109">
        <v>242787</v>
      </c>
      <c r="M13" s="109">
        <v>-20144</v>
      </c>
      <c r="N13" s="112">
        <v>105354</v>
      </c>
      <c r="O13" s="109">
        <v>201431</v>
      </c>
      <c r="P13" s="109">
        <v>259869</v>
      </c>
      <c r="Q13" s="109">
        <v>298782</v>
      </c>
      <c r="R13" s="112">
        <v>297805</v>
      </c>
      <c r="S13" s="112">
        <f t="shared" ref="S13" si="1">S8+S12</f>
        <v>327777</v>
      </c>
      <c r="U13" s="111">
        <v>-6.23</v>
      </c>
      <c r="V13" s="111">
        <v>0.91200000000000003</v>
      </c>
      <c r="W13" s="111">
        <v>0.28999999999999998</v>
      </c>
      <c r="X13" s="113">
        <v>0.15</v>
      </c>
      <c r="Y13" s="236">
        <f t="shared" si="0"/>
        <v>-3.0000000000000001E-3</v>
      </c>
      <c r="Z13" s="342">
        <f t="shared" si="0"/>
        <v>0.10100000000000001</v>
      </c>
    </row>
    <row r="14" spans="1:26">
      <c r="A14" s="98" t="s">
        <v>13</v>
      </c>
      <c r="B14" s="43" t="s">
        <v>21</v>
      </c>
      <c r="C14" s="100">
        <v>64860</v>
      </c>
      <c r="D14" s="100">
        <v>113490</v>
      </c>
      <c r="E14" s="100">
        <v>184043</v>
      </c>
      <c r="G14" s="101">
        <v>0.75</v>
      </c>
      <c r="H14" s="101">
        <v>0.622</v>
      </c>
      <c r="J14" s="102">
        <v>64669</v>
      </c>
      <c r="K14" s="100">
        <v>76754</v>
      </c>
      <c r="L14" s="100">
        <v>97997</v>
      </c>
      <c r="M14" s="100">
        <v>113490</v>
      </c>
      <c r="N14" s="102">
        <v>132088</v>
      </c>
      <c r="O14" s="100">
        <v>151046</v>
      </c>
      <c r="P14" s="100">
        <v>169372</v>
      </c>
      <c r="Q14" s="100">
        <v>184043</v>
      </c>
      <c r="R14" s="100">
        <v>201522.07166493448</v>
      </c>
      <c r="S14" s="100">
        <v>229427</v>
      </c>
      <c r="U14" s="101">
        <v>0.16400000000000001</v>
      </c>
      <c r="V14" s="101">
        <v>0.14399999999999999</v>
      </c>
      <c r="W14" s="101">
        <v>0.121</v>
      </c>
      <c r="X14" s="101">
        <v>8.6999999999999994E-2</v>
      </c>
      <c r="Y14" s="237">
        <f t="shared" si="0"/>
        <v>9.5000000000000001E-2</v>
      </c>
      <c r="Z14" s="237">
        <f t="shared" si="0"/>
        <v>0.13800000000000001</v>
      </c>
    </row>
    <row r="15" spans="1:26">
      <c r="A15" s="114" t="s">
        <v>14</v>
      </c>
      <c r="B15" s="115" t="s">
        <v>52</v>
      </c>
      <c r="C15" s="116">
        <v>2.7</v>
      </c>
      <c r="D15" s="116">
        <v>-0.2</v>
      </c>
      <c r="E15" s="116">
        <v>1.6</v>
      </c>
      <c r="G15" s="116">
        <v>-2.9000000000000004</v>
      </c>
      <c r="H15" s="116">
        <v>1.8</v>
      </c>
      <c r="J15" s="116">
        <v>3.6</v>
      </c>
      <c r="K15" s="116">
        <v>3.1</v>
      </c>
      <c r="L15" s="116">
        <v>2.5</v>
      </c>
      <c r="M15" s="116">
        <v>-0.2</v>
      </c>
      <c r="N15" s="116">
        <v>0.8</v>
      </c>
      <c r="O15" s="116">
        <v>1.3</v>
      </c>
      <c r="P15" s="116">
        <v>1.5</v>
      </c>
      <c r="Q15" s="116">
        <v>1.6</v>
      </c>
      <c r="R15" s="116">
        <v>1.5</v>
      </c>
      <c r="S15" s="116">
        <f>S13/S14</f>
        <v>1.4286766596782419</v>
      </c>
      <c r="U15" s="116">
        <v>1</v>
      </c>
      <c r="V15" s="116">
        <v>0.5</v>
      </c>
      <c r="W15" s="116">
        <v>0.2</v>
      </c>
      <c r="X15" s="116">
        <v>0.10000000000000009</v>
      </c>
      <c r="Y15" s="233">
        <f>R15-Q15</f>
        <v>-0.10000000000000009</v>
      </c>
      <c r="Z15" s="116">
        <f>S15-R15</f>
        <v>-7.1323340321758133E-2</v>
      </c>
    </row>
    <row r="17" spans="1:19" ht="64.5" customHeight="1">
      <c r="A17" s="355" t="s">
        <v>56</v>
      </c>
      <c r="B17" s="355"/>
      <c r="C17" s="355"/>
      <c r="D17" s="355"/>
      <c r="E17" s="355"/>
      <c r="F17" s="355"/>
      <c r="G17" s="355"/>
      <c r="H17" s="117"/>
      <c r="I17" s="118"/>
      <c r="J17" s="118"/>
      <c r="K17" s="118"/>
      <c r="L17" s="118"/>
      <c r="M17" s="118"/>
      <c r="N17" s="118"/>
      <c r="O17" s="118"/>
      <c r="P17" s="118"/>
      <c r="Q17" s="118"/>
      <c r="R17" s="118"/>
      <c r="S17" s="118"/>
    </row>
    <row r="18" spans="1:19">
      <c r="A18" s="118"/>
      <c r="B18" s="118"/>
      <c r="C18" s="118"/>
      <c r="D18" s="118"/>
      <c r="E18" s="118"/>
      <c r="F18" s="118"/>
      <c r="G18" s="118"/>
      <c r="H18" s="118"/>
      <c r="I18" s="118"/>
      <c r="J18" s="118"/>
      <c r="K18" s="118"/>
      <c r="L18" s="118"/>
      <c r="M18" s="118"/>
      <c r="N18" s="118"/>
      <c r="O18" s="118"/>
      <c r="P18" s="118"/>
      <c r="Q18" s="118"/>
      <c r="R18" s="118"/>
      <c r="S18" s="118"/>
    </row>
    <row r="19" spans="1:19">
      <c r="A19" s="118"/>
      <c r="B19" s="118"/>
      <c r="C19" s="118"/>
      <c r="D19" s="118"/>
      <c r="E19" s="118"/>
      <c r="F19" s="118"/>
      <c r="G19" s="118"/>
      <c r="H19" s="118"/>
      <c r="I19" s="118"/>
      <c r="J19" s="118"/>
      <c r="K19" s="118"/>
      <c r="L19" s="118"/>
      <c r="M19" s="118"/>
      <c r="N19" s="118"/>
      <c r="O19" s="118"/>
      <c r="P19" s="118"/>
      <c r="Q19" s="118"/>
      <c r="R19" s="118"/>
      <c r="S19" s="118"/>
    </row>
    <row r="20" spans="1:19">
      <c r="A20" s="118"/>
      <c r="B20" s="118"/>
      <c r="C20" s="118"/>
      <c r="D20" s="118"/>
      <c r="E20" s="118"/>
      <c r="F20" s="118"/>
      <c r="G20" s="118"/>
      <c r="H20" s="118"/>
      <c r="I20" s="118"/>
      <c r="J20" s="118"/>
      <c r="K20" s="118"/>
      <c r="L20" s="118"/>
      <c r="M20" s="118"/>
      <c r="N20" s="118"/>
      <c r="O20" s="118"/>
      <c r="P20" s="118"/>
      <c r="Q20" s="118"/>
      <c r="R20" s="118"/>
      <c r="S20" s="118"/>
    </row>
    <row r="21" spans="1:19">
      <c r="A21" s="118"/>
      <c r="B21" s="118"/>
      <c r="C21" s="118"/>
      <c r="D21" s="118"/>
      <c r="E21" s="118"/>
      <c r="F21" s="118"/>
      <c r="G21" s="118"/>
      <c r="H21" s="118"/>
      <c r="I21" s="118"/>
      <c r="J21" s="118"/>
      <c r="K21" s="118"/>
      <c r="L21" s="118"/>
      <c r="M21" s="118"/>
      <c r="N21" s="118"/>
      <c r="O21" s="118"/>
      <c r="P21" s="118"/>
      <c r="Q21" s="118"/>
      <c r="R21" s="118"/>
      <c r="S21" s="118"/>
    </row>
  </sheetData>
  <mergeCells count="1">
    <mergeCell ref="A17:G17"/>
  </mergeCells>
  <pageMargins left="0.511811024" right="0.511811024" top="0.78740157499999996" bottom="0.78740157499999996" header="0.31496062000000002" footer="0.31496062000000002"/>
  <ignoredErrors>
    <ignoredError sqref="S8"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DD6D3-7323-411D-8547-433064014B51}">
  <dimension ref="A1:AA53"/>
  <sheetViews>
    <sheetView showGridLines="0" tabSelected="1" zoomScaleNormal="100" workbookViewId="0">
      <pane xSplit="2" ySplit="5" topLeftCell="J6" activePane="bottomRight" state="frozen"/>
      <selection pane="topRight" activeCell="C1" sqref="C1"/>
      <selection pane="bottomLeft" activeCell="A6" sqref="A6"/>
      <selection pane="bottomRight" activeCell="K1" sqref="K1"/>
    </sheetView>
  </sheetViews>
  <sheetFormatPr defaultColWidth="9.1796875" defaultRowHeight="10"/>
  <cols>
    <col min="1" max="1" width="16.54296875" style="1" bestFit="1" customWidth="1"/>
    <col min="2" max="2" width="55.08984375" style="1" customWidth="1"/>
    <col min="3" max="5" width="11.81640625" style="1" customWidth="1"/>
    <col min="6" max="6" width="2.54296875" style="2" customWidth="1"/>
    <col min="7" max="8" width="10.81640625" style="1" customWidth="1"/>
    <col min="9" max="9" width="9.1796875" style="2" customWidth="1"/>
    <col min="10" max="19" width="11.81640625" style="1" customWidth="1"/>
    <col min="20" max="20" width="2.54296875" style="1" customWidth="1"/>
    <col min="21" max="26" width="10.81640625" style="1" customWidth="1"/>
    <col min="27" max="16384" width="9.1796875" style="1"/>
  </cols>
  <sheetData>
    <row r="1" spans="1:27" ht="55.5" customHeight="1"/>
    <row r="3" spans="1:27">
      <c r="G3" s="3" t="s">
        <v>57</v>
      </c>
      <c r="H3" s="3" t="s">
        <v>57</v>
      </c>
      <c r="U3" s="3" t="s">
        <v>57</v>
      </c>
      <c r="V3" s="3" t="s">
        <v>57</v>
      </c>
      <c r="W3" s="3" t="s">
        <v>57</v>
      </c>
      <c r="X3" s="3" t="s">
        <v>57</v>
      </c>
      <c r="Y3" s="3" t="s">
        <v>57</v>
      </c>
      <c r="Z3" s="3" t="s">
        <v>233</v>
      </c>
    </row>
    <row r="4" spans="1:27">
      <c r="A4" s="59"/>
      <c r="B4" s="59" t="s">
        <v>80</v>
      </c>
      <c r="C4" s="5">
        <v>2019</v>
      </c>
      <c r="D4" s="5">
        <v>2020</v>
      </c>
      <c r="E4" s="5">
        <v>2021</v>
      </c>
      <c r="F4" s="60"/>
      <c r="G4" s="5">
        <v>2020</v>
      </c>
      <c r="H4" s="5">
        <v>2021</v>
      </c>
      <c r="I4" s="61"/>
      <c r="J4" s="62" t="s">
        <v>30</v>
      </c>
      <c r="K4" s="5" t="s">
        <v>31</v>
      </c>
      <c r="L4" s="5" t="s">
        <v>32</v>
      </c>
      <c r="M4" s="5" t="s">
        <v>33</v>
      </c>
      <c r="N4" s="211" t="s">
        <v>34</v>
      </c>
      <c r="O4" s="5" t="s">
        <v>35</v>
      </c>
      <c r="P4" s="5" t="s">
        <v>194</v>
      </c>
      <c r="Q4" s="5" t="s">
        <v>200</v>
      </c>
      <c r="R4" s="211" t="s">
        <v>213</v>
      </c>
      <c r="S4" s="327" t="s">
        <v>241</v>
      </c>
      <c r="U4" s="5" t="s">
        <v>34</v>
      </c>
      <c r="V4" s="5" t="s">
        <v>35</v>
      </c>
      <c r="W4" s="5" t="s">
        <v>194</v>
      </c>
      <c r="X4" s="5" t="s">
        <v>200</v>
      </c>
      <c r="Y4" s="211" t="s">
        <v>213</v>
      </c>
      <c r="Z4" s="211" t="s">
        <v>241</v>
      </c>
    </row>
    <row r="5" spans="1:27">
      <c r="A5" s="63"/>
      <c r="B5" s="63"/>
      <c r="C5" s="63"/>
      <c r="D5" s="63"/>
      <c r="E5" s="63"/>
      <c r="F5" s="64"/>
      <c r="G5" s="63"/>
      <c r="H5" s="63"/>
      <c r="I5" s="64"/>
      <c r="J5" s="65"/>
      <c r="K5" s="65"/>
      <c r="L5" s="65"/>
      <c r="M5" s="65"/>
      <c r="N5" s="238"/>
      <c r="O5" s="65"/>
      <c r="P5" s="65"/>
      <c r="Q5" s="65"/>
      <c r="R5" s="238"/>
      <c r="S5" s="351"/>
      <c r="U5" s="63"/>
      <c r="V5" s="63"/>
      <c r="W5" s="63"/>
      <c r="X5" s="63"/>
      <c r="Y5" s="243"/>
      <c r="Z5" s="243"/>
    </row>
    <row r="6" spans="1:27">
      <c r="A6" s="66"/>
      <c r="B6" s="55" t="s">
        <v>58</v>
      </c>
      <c r="C6" s="67">
        <v>607898</v>
      </c>
      <c r="D6" s="67">
        <v>1180036</v>
      </c>
      <c r="E6" s="67">
        <v>1808895.7625000007</v>
      </c>
      <c r="F6" s="68"/>
      <c r="G6" s="69">
        <v>0.94099999999999995</v>
      </c>
      <c r="H6" s="69">
        <v>0.53291514556777164</v>
      </c>
      <c r="I6" s="70"/>
      <c r="J6" s="67">
        <v>192794</v>
      </c>
      <c r="K6" s="67">
        <v>248390.13623999892</v>
      </c>
      <c r="L6" s="67">
        <v>329296</v>
      </c>
      <c r="M6" s="67">
        <v>409556</v>
      </c>
      <c r="N6" s="239">
        <v>387168</v>
      </c>
      <c r="O6" s="67">
        <v>436654.8017700006</v>
      </c>
      <c r="P6" s="67">
        <v>445887</v>
      </c>
      <c r="Q6" s="67">
        <v>539185.93213000009</v>
      </c>
      <c r="R6" s="239">
        <v>538051.52520999999</v>
      </c>
      <c r="S6" s="239">
        <v>594959.20210999984</v>
      </c>
      <c r="U6" s="69">
        <v>1.008</v>
      </c>
      <c r="V6" s="69">
        <v>0.75800000000000001</v>
      </c>
      <c r="W6" s="69">
        <v>0.35399999999999998</v>
      </c>
      <c r="X6" s="69">
        <v>0.31651221431410415</v>
      </c>
      <c r="Y6" s="244">
        <v>0.39</v>
      </c>
      <c r="Z6" s="244">
        <f t="shared" ref="Z6:Z23" si="0">ROUND(S6/O6-1,3)</f>
        <v>0.36299999999999999</v>
      </c>
      <c r="AA6" s="72"/>
    </row>
    <row r="7" spans="1:27">
      <c r="A7" s="73"/>
      <c r="B7" s="56" t="s">
        <v>59</v>
      </c>
      <c r="C7" s="74">
        <v>527263</v>
      </c>
      <c r="D7" s="74">
        <v>998109</v>
      </c>
      <c r="E7" s="74">
        <v>1520356.6511874257</v>
      </c>
      <c r="F7" s="75"/>
      <c r="G7" s="76">
        <v>0.89300000000000002</v>
      </c>
      <c r="H7" s="76">
        <v>0.52323721408606039</v>
      </c>
      <c r="I7" s="70"/>
      <c r="J7" s="74">
        <v>165286</v>
      </c>
      <c r="K7" s="74">
        <v>211214.77965882403</v>
      </c>
      <c r="L7" s="74">
        <v>277542</v>
      </c>
      <c r="M7" s="74">
        <v>344066</v>
      </c>
      <c r="N7" s="240">
        <v>326440</v>
      </c>
      <c r="O7" s="74">
        <v>368885.8958174006</v>
      </c>
      <c r="P7" s="74">
        <v>374167</v>
      </c>
      <c r="Q7" s="74">
        <v>450864.33318447508</v>
      </c>
      <c r="R7" s="240">
        <v>449139.6932808999</v>
      </c>
      <c r="S7" s="240">
        <v>496445.83783147502</v>
      </c>
      <c r="U7" s="76">
        <v>0.97499999999999998</v>
      </c>
      <c r="V7" s="76">
        <v>0.746</v>
      </c>
      <c r="W7" s="76">
        <v>0.34799999999999998</v>
      </c>
      <c r="X7" s="89">
        <v>0.31040235393105564</v>
      </c>
      <c r="Y7" s="245">
        <v>0.376</v>
      </c>
      <c r="Z7" s="245">
        <f t="shared" si="0"/>
        <v>0.34599999999999997</v>
      </c>
      <c r="AA7" s="72"/>
    </row>
    <row r="8" spans="1:27">
      <c r="A8" s="77" t="s">
        <v>10</v>
      </c>
      <c r="B8" s="55" t="s">
        <v>60</v>
      </c>
      <c r="C8" s="67">
        <v>-422652</v>
      </c>
      <c r="D8" s="67">
        <v>-782679</v>
      </c>
      <c r="E8" s="67">
        <v>-1253941.3739128478</v>
      </c>
      <c r="F8" s="68"/>
      <c r="G8" s="69">
        <v>0.85199999999999998</v>
      </c>
      <c r="H8" s="69">
        <v>0.60211639780437309</v>
      </c>
      <c r="I8" s="70"/>
      <c r="J8" s="67">
        <v>-134472</v>
      </c>
      <c r="K8" s="67">
        <v>-167213</v>
      </c>
      <c r="L8" s="67">
        <v>-214625</v>
      </c>
      <c r="M8" s="67">
        <v>-266369</v>
      </c>
      <c r="N8" s="239">
        <v>-271344</v>
      </c>
      <c r="O8" s="67">
        <v>-310800</v>
      </c>
      <c r="P8" s="67">
        <v>-306692</v>
      </c>
      <c r="Q8" s="67">
        <v>-365106.48992989812</v>
      </c>
      <c r="R8" s="239">
        <v>-367615.07696090004</v>
      </c>
      <c r="S8" s="239">
        <f>SUM(S9:S12)</f>
        <v>-406226.81341147504</v>
      </c>
      <c r="U8" s="69">
        <v>1.018</v>
      </c>
      <c r="V8" s="69">
        <v>0.85899999999999999</v>
      </c>
      <c r="W8" s="69">
        <v>0.42899999999999999</v>
      </c>
      <c r="X8" s="88">
        <v>0.37068032076149904</v>
      </c>
      <c r="Y8" s="246">
        <v>0.35499999999999998</v>
      </c>
      <c r="Z8" s="246">
        <f t="shared" si="0"/>
        <v>0.307</v>
      </c>
      <c r="AA8" s="72"/>
    </row>
    <row r="9" spans="1:27">
      <c r="A9" s="77"/>
      <c r="B9" s="57" t="s">
        <v>61</v>
      </c>
      <c r="C9" s="74">
        <v>-401786</v>
      </c>
      <c r="D9" s="74">
        <v>-738927</v>
      </c>
      <c r="E9" s="74">
        <v>-1172047.3779474248</v>
      </c>
      <c r="F9" s="78"/>
      <c r="G9" s="76">
        <v>0.83899999999999997</v>
      </c>
      <c r="H9" s="76">
        <v>0.58614860148668013</v>
      </c>
      <c r="I9" s="70"/>
      <c r="J9" s="74">
        <v>-127829</v>
      </c>
      <c r="K9" s="74">
        <v>-157822.08176882396</v>
      </c>
      <c r="L9" s="74">
        <v>-204474</v>
      </c>
      <c r="M9" s="74">
        <v>-248802</v>
      </c>
      <c r="N9" s="240">
        <v>-251937</v>
      </c>
      <c r="O9" s="74">
        <v>-290296.88681739982</v>
      </c>
      <c r="P9" s="74">
        <v>-285846</v>
      </c>
      <c r="Q9" s="74">
        <v>-343968.81035447499</v>
      </c>
      <c r="R9" s="240">
        <v>-349615.63115090004</v>
      </c>
      <c r="S9" s="240">
        <v>-389138.887081475</v>
      </c>
      <c r="U9" s="76">
        <v>0.97099999999999997</v>
      </c>
      <c r="V9" s="76">
        <v>0.83899999999999997</v>
      </c>
      <c r="W9" s="76">
        <v>0.39800000000000002</v>
      </c>
      <c r="X9" s="89">
        <v>0.38249946544803426</v>
      </c>
      <c r="Y9" s="245">
        <v>0.38800000000000001</v>
      </c>
      <c r="Z9" s="245">
        <f t="shared" si="0"/>
        <v>0.34</v>
      </c>
      <c r="AA9" s="72"/>
    </row>
    <row r="10" spans="1:27">
      <c r="A10" s="77" t="s">
        <v>15</v>
      </c>
      <c r="B10" s="57" t="s">
        <v>62</v>
      </c>
      <c r="C10" s="74">
        <v>-6126</v>
      </c>
      <c r="D10" s="74">
        <v>-6832</v>
      </c>
      <c r="E10" s="74">
        <v>-9863.92929</v>
      </c>
      <c r="F10" s="78"/>
      <c r="G10" s="76">
        <v>0.115</v>
      </c>
      <c r="H10" s="76">
        <v>0.44380754504073505</v>
      </c>
      <c r="I10" s="70"/>
      <c r="J10" s="74">
        <v>-1526</v>
      </c>
      <c r="K10" s="74">
        <v>-1560.1609199999905</v>
      </c>
      <c r="L10" s="74">
        <v>-1573</v>
      </c>
      <c r="M10" s="74">
        <v>-2173</v>
      </c>
      <c r="N10" s="240">
        <v>-2197</v>
      </c>
      <c r="O10" s="74">
        <v>-1428.3595599999976</v>
      </c>
      <c r="P10" s="74">
        <v>-2976</v>
      </c>
      <c r="Q10" s="74">
        <v>-3262.9411800000007</v>
      </c>
      <c r="R10" s="240">
        <v>-3295.3209000000006</v>
      </c>
      <c r="S10" s="240">
        <v>-1838.506239999999</v>
      </c>
      <c r="U10" s="76">
        <v>0.44</v>
      </c>
      <c r="V10" s="79">
        <v>-8.4000000000000005E-2</v>
      </c>
      <c r="W10" s="79">
        <v>0.89200000000000002</v>
      </c>
      <c r="X10" s="182">
        <v>0.5013307445746864</v>
      </c>
      <c r="Y10" s="247">
        <v>0.5</v>
      </c>
      <c r="Z10" s="247">
        <f t="shared" si="0"/>
        <v>0.28699999999999998</v>
      </c>
      <c r="AA10" s="72"/>
    </row>
    <row r="11" spans="1:27">
      <c r="A11" s="77" t="s">
        <v>16</v>
      </c>
      <c r="B11" s="57" t="s">
        <v>63</v>
      </c>
      <c r="C11" s="74">
        <v>0</v>
      </c>
      <c r="D11" s="74">
        <v>-4975</v>
      </c>
      <c r="E11" s="74">
        <v>-14226.563865423081</v>
      </c>
      <c r="F11" s="78"/>
      <c r="G11" s="76">
        <v>0</v>
      </c>
      <c r="H11" s="76">
        <v>1.8595005223473038</v>
      </c>
      <c r="I11" s="70"/>
      <c r="J11" s="74">
        <v>0</v>
      </c>
      <c r="K11" s="74">
        <v>0</v>
      </c>
      <c r="L11" s="74">
        <v>0</v>
      </c>
      <c r="M11" s="74">
        <v>-4975</v>
      </c>
      <c r="N11" s="240">
        <v>-2097</v>
      </c>
      <c r="O11" s="74">
        <v>-4210.0485999999992</v>
      </c>
      <c r="P11" s="74">
        <v>-4036</v>
      </c>
      <c r="Q11" s="74">
        <v>-3883.0967754230801</v>
      </c>
      <c r="R11" s="240">
        <v>0</v>
      </c>
      <c r="S11" s="240">
        <v>0</v>
      </c>
      <c r="U11" s="74">
        <v>0</v>
      </c>
      <c r="V11" s="74">
        <v>0</v>
      </c>
      <c r="W11" s="74">
        <v>0</v>
      </c>
      <c r="X11" s="83">
        <v>-0.21950814246619088</v>
      </c>
      <c r="Y11" s="229">
        <v>-1</v>
      </c>
      <c r="Z11" s="229">
        <f t="shared" si="0"/>
        <v>-1</v>
      </c>
      <c r="AA11" s="72"/>
    </row>
    <row r="12" spans="1:27">
      <c r="A12" s="77" t="s">
        <v>17</v>
      </c>
      <c r="B12" s="57" t="s">
        <v>64</v>
      </c>
      <c r="C12" s="74">
        <v>-14741</v>
      </c>
      <c r="D12" s="74">
        <v>-31944</v>
      </c>
      <c r="E12" s="74">
        <v>-57803.502810000005</v>
      </c>
      <c r="F12" s="78"/>
      <c r="G12" s="76">
        <v>1.167</v>
      </c>
      <c r="H12" s="76">
        <v>0.80950327457577576</v>
      </c>
      <c r="I12" s="70"/>
      <c r="J12" s="74">
        <v>-5118</v>
      </c>
      <c r="K12" s="74">
        <v>-7830.2820600000005</v>
      </c>
      <c r="L12" s="74">
        <v>-8578</v>
      </c>
      <c r="M12" s="74">
        <v>-10418</v>
      </c>
      <c r="N12" s="240">
        <v>-15113</v>
      </c>
      <c r="O12" s="74">
        <v>-14865.11332</v>
      </c>
      <c r="P12" s="74">
        <v>-13834</v>
      </c>
      <c r="Q12" s="74">
        <v>-13991.64162</v>
      </c>
      <c r="R12" s="240">
        <v>-14704.12491</v>
      </c>
      <c r="S12" s="240">
        <v>-15249.42009</v>
      </c>
      <c r="U12" s="76">
        <v>1.9530000000000001</v>
      </c>
      <c r="V12" s="76">
        <v>0.89800000000000002</v>
      </c>
      <c r="W12" s="76">
        <v>0.61299999999999999</v>
      </c>
      <c r="X12" s="89">
        <v>0.34300944397964694</v>
      </c>
      <c r="Y12" s="245">
        <v>-2.7E-2</v>
      </c>
      <c r="Z12" s="229">
        <f t="shared" si="0"/>
        <v>2.5999999999999999E-2</v>
      </c>
      <c r="AA12" s="72"/>
    </row>
    <row r="13" spans="1:27">
      <c r="A13" s="66"/>
      <c r="B13" s="55" t="s">
        <v>27</v>
      </c>
      <c r="C13" s="67">
        <v>104611</v>
      </c>
      <c r="D13" s="67">
        <v>215430</v>
      </c>
      <c r="E13" s="67">
        <v>266415.27727457788</v>
      </c>
      <c r="F13" s="68"/>
      <c r="G13" s="69">
        <v>1.0589999999999999</v>
      </c>
      <c r="H13" s="69">
        <v>0.23666262166213414</v>
      </c>
      <c r="I13" s="70"/>
      <c r="J13" s="67">
        <v>30813</v>
      </c>
      <c r="K13" s="67">
        <v>44002</v>
      </c>
      <c r="L13" s="67">
        <v>62918</v>
      </c>
      <c r="M13" s="67">
        <v>77697</v>
      </c>
      <c r="N13" s="239">
        <v>55096</v>
      </c>
      <c r="O13" s="67">
        <v>58086</v>
      </c>
      <c r="P13" s="67">
        <v>67475</v>
      </c>
      <c r="Q13" s="67">
        <v>85757.843254576961</v>
      </c>
      <c r="R13" s="239">
        <v>81524.616319999855</v>
      </c>
      <c r="S13" s="239">
        <f t="shared" ref="S13" si="1">S7+S8</f>
        <v>90219.024419999972</v>
      </c>
      <c r="U13" s="69">
        <v>0.78800000000000003</v>
      </c>
      <c r="V13" s="69">
        <v>0.32</v>
      </c>
      <c r="W13" s="69">
        <v>7.1999999999999995E-2</v>
      </c>
      <c r="X13" s="88">
        <v>0.1037471621114967</v>
      </c>
      <c r="Y13" s="246">
        <v>0.48</v>
      </c>
      <c r="Z13" s="246">
        <f t="shared" si="0"/>
        <v>0.55300000000000005</v>
      </c>
      <c r="AA13" s="72"/>
    </row>
    <row r="14" spans="1:27" ht="10.5" customHeight="1">
      <c r="A14" s="77" t="s">
        <v>11</v>
      </c>
      <c r="B14" s="58" t="s">
        <v>196</v>
      </c>
      <c r="C14" s="67">
        <v>-80177</v>
      </c>
      <c r="D14" s="67">
        <v>-171736</v>
      </c>
      <c r="E14" s="67">
        <v>-217455.23200333328</v>
      </c>
      <c r="F14" s="68"/>
      <c r="G14" s="69">
        <v>1.1419999999999999</v>
      </c>
      <c r="H14" s="69">
        <v>0.26621134098644039</v>
      </c>
      <c r="I14" s="70"/>
      <c r="J14" s="67">
        <v>-34390</v>
      </c>
      <c r="K14" s="67">
        <v>-38970</v>
      </c>
      <c r="L14" s="67">
        <v>-41640</v>
      </c>
      <c r="M14" s="67">
        <v>-56736</v>
      </c>
      <c r="N14" s="239">
        <v>-62061</v>
      </c>
      <c r="O14" s="67">
        <v>-45905</v>
      </c>
      <c r="P14" s="67">
        <v>-46771</v>
      </c>
      <c r="Q14" s="67">
        <v>-62718.564003333297</v>
      </c>
      <c r="R14" s="239">
        <v>-80337.742665066573</v>
      </c>
      <c r="S14" s="239">
        <f>SUM(S15:S17)</f>
        <v>-50190.79019</v>
      </c>
      <c r="U14" s="69">
        <v>0.80500000000000005</v>
      </c>
      <c r="V14" s="69">
        <v>0.17799999999999999</v>
      </c>
      <c r="W14" s="69">
        <v>0.123</v>
      </c>
      <c r="X14" s="88">
        <v>0.1054456430367543</v>
      </c>
      <c r="Y14" s="246">
        <v>0.29399999999999998</v>
      </c>
      <c r="Z14" s="246">
        <f t="shared" si="0"/>
        <v>9.2999999999999999E-2</v>
      </c>
      <c r="AA14" s="72"/>
    </row>
    <row r="15" spans="1:27">
      <c r="A15" s="77"/>
      <c r="B15" s="57" t="s">
        <v>65</v>
      </c>
      <c r="C15" s="74">
        <v>-60618</v>
      </c>
      <c r="D15" s="74">
        <v>-145692</v>
      </c>
      <c r="E15" s="74">
        <v>-164265.95813000001</v>
      </c>
      <c r="F15" s="253"/>
      <c r="G15" s="76">
        <v>1.403</v>
      </c>
      <c r="H15" s="83">
        <f>E15/D15-1</f>
        <v>0.12748783824781063</v>
      </c>
      <c r="I15" s="305"/>
      <c r="J15" s="74">
        <v>-28579</v>
      </c>
      <c r="K15" s="74">
        <v>-30988.968267591215</v>
      </c>
      <c r="L15" s="74">
        <v>-35184</v>
      </c>
      <c r="M15" s="74">
        <v>-50940</v>
      </c>
      <c r="N15" s="240">
        <v>-53560</v>
      </c>
      <c r="O15" s="74">
        <v>-30694.168050000011</v>
      </c>
      <c r="P15" s="74">
        <v>-32112</v>
      </c>
      <c r="Q15" s="74">
        <v>-47901.065680000014</v>
      </c>
      <c r="R15" s="74">
        <v>-61102.582845066579</v>
      </c>
      <c r="S15" s="240">
        <v>-31505.151150000002</v>
      </c>
      <c r="U15" s="229">
        <f t="shared" ref="U15:Z17" si="2">ROUND(N15/J15-1,3)</f>
        <v>0.874</v>
      </c>
      <c r="V15" s="229">
        <f t="shared" si="2"/>
        <v>-0.01</v>
      </c>
      <c r="W15" s="229">
        <f t="shared" si="2"/>
        <v>-8.6999999999999994E-2</v>
      </c>
      <c r="X15" s="229">
        <f t="shared" si="2"/>
        <v>-0.06</v>
      </c>
      <c r="Y15" s="229">
        <f t="shared" si="2"/>
        <v>0.14099999999999999</v>
      </c>
      <c r="Z15" s="229">
        <f t="shared" si="0"/>
        <v>2.5999999999999999E-2</v>
      </c>
      <c r="AA15" s="72"/>
    </row>
    <row r="16" spans="1:27">
      <c r="A16" s="77" t="s">
        <v>18</v>
      </c>
      <c r="B16" s="57" t="s">
        <v>62</v>
      </c>
      <c r="C16" s="74">
        <v>-2200</v>
      </c>
      <c r="D16" s="74">
        <v>-6592</v>
      </c>
      <c r="E16" s="74">
        <v>-9870.694830000004</v>
      </c>
      <c r="F16" s="253"/>
      <c r="G16" s="83">
        <f t="shared" ref="G16:H17" si="3">D16/C16-1</f>
        <v>1.9963636363636366</v>
      </c>
      <c r="H16" s="83">
        <f t="shared" si="3"/>
        <v>0.49737482251213661</v>
      </c>
      <c r="I16" s="305"/>
      <c r="J16" s="74">
        <v>-798</v>
      </c>
      <c r="K16" s="74">
        <v>-2251.9375399999994</v>
      </c>
      <c r="L16" s="74">
        <v>-1668</v>
      </c>
      <c r="M16" s="74">
        <v>-1874</v>
      </c>
      <c r="N16" s="240">
        <v>-2093</v>
      </c>
      <c r="O16" s="74">
        <v>-3712.8422800000035</v>
      </c>
      <c r="P16" s="74">
        <v>-2287</v>
      </c>
      <c r="Q16" s="74">
        <v>-1777.2106800000008</v>
      </c>
      <c r="R16" s="74">
        <v>-1696.6010299999987</v>
      </c>
      <c r="S16" s="240">
        <v>-2501.1010300000012</v>
      </c>
      <c r="U16" s="229">
        <f t="shared" si="2"/>
        <v>1.623</v>
      </c>
      <c r="V16" s="229">
        <f t="shared" si="2"/>
        <v>0.64900000000000002</v>
      </c>
      <c r="W16" s="229">
        <f t="shared" si="2"/>
        <v>0.371</v>
      </c>
      <c r="X16" s="229">
        <f t="shared" si="2"/>
        <v>-5.1999999999999998E-2</v>
      </c>
      <c r="Y16" s="229">
        <f t="shared" si="2"/>
        <v>-0.189</v>
      </c>
      <c r="Z16" s="229">
        <f t="shared" si="0"/>
        <v>-0.32600000000000001</v>
      </c>
      <c r="AA16" s="72"/>
    </row>
    <row r="17" spans="1:27">
      <c r="A17" s="77" t="s">
        <v>19</v>
      </c>
      <c r="B17" s="57" t="s">
        <v>66</v>
      </c>
      <c r="C17" s="74">
        <v>-17359</v>
      </c>
      <c r="D17" s="74">
        <v>-19452</v>
      </c>
      <c r="E17" s="74">
        <v>-43318.579043333273</v>
      </c>
      <c r="F17" s="253"/>
      <c r="G17" s="83">
        <f t="shared" si="3"/>
        <v>0.12057146148971709</v>
      </c>
      <c r="H17" s="83">
        <f t="shared" si="3"/>
        <v>1.2269473084172975</v>
      </c>
      <c r="I17" s="305"/>
      <c r="J17" s="74">
        <v>-5013</v>
      </c>
      <c r="K17" s="74">
        <v>-5728.6757099999668</v>
      </c>
      <c r="L17" s="74">
        <v>-4789</v>
      </c>
      <c r="M17" s="74">
        <v>-3921</v>
      </c>
      <c r="N17" s="240">
        <v>-6408</v>
      </c>
      <c r="O17" s="74">
        <v>-11498.157089999993</v>
      </c>
      <c r="P17" s="74">
        <v>-12373</v>
      </c>
      <c r="Q17" s="74">
        <v>-13040.287643333277</v>
      </c>
      <c r="R17" s="74">
        <v>-17538.558789999999</v>
      </c>
      <c r="S17" s="240">
        <v>-16184.53801</v>
      </c>
      <c r="U17" s="245">
        <f t="shared" si="2"/>
        <v>0.27800000000000002</v>
      </c>
      <c r="V17" s="245">
        <f t="shared" si="2"/>
        <v>1.0069999999999999</v>
      </c>
      <c r="W17" s="245">
        <f t="shared" si="2"/>
        <v>1.5840000000000001</v>
      </c>
      <c r="X17" s="245">
        <f t="shared" si="2"/>
        <v>2.3260000000000001</v>
      </c>
      <c r="Y17" s="245">
        <f t="shared" si="2"/>
        <v>1.7370000000000001</v>
      </c>
      <c r="Z17" s="245">
        <f t="shared" si="0"/>
        <v>0.40799999999999997</v>
      </c>
      <c r="AA17" s="72"/>
    </row>
    <row r="18" spans="1:27">
      <c r="A18" s="77"/>
      <c r="B18" s="56" t="s">
        <v>206</v>
      </c>
      <c r="C18" s="74">
        <v>0</v>
      </c>
      <c r="D18" s="74">
        <v>0</v>
      </c>
      <c r="E18" s="74">
        <v>-977.71758909090897</v>
      </c>
      <c r="F18" s="255"/>
      <c r="G18" s="74">
        <v>0</v>
      </c>
      <c r="H18" s="76" t="s">
        <v>208</v>
      </c>
      <c r="I18" s="305"/>
      <c r="J18" s="254">
        <v>0</v>
      </c>
      <c r="K18" s="254">
        <v>0</v>
      </c>
      <c r="L18" s="254">
        <v>0</v>
      </c>
      <c r="M18" s="254">
        <v>0</v>
      </c>
      <c r="N18" s="254">
        <v>0</v>
      </c>
      <c r="O18" s="254">
        <v>0</v>
      </c>
      <c r="P18" s="254">
        <v>0</v>
      </c>
      <c r="Q18" s="74">
        <v>-977.71758909090897</v>
      </c>
      <c r="R18" s="74">
        <v>-1166.2677900000001</v>
      </c>
      <c r="S18" s="240">
        <v>-3342.7639199999999</v>
      </c>
      <c r="U18" s="76" t="s">
        <v>208</v>
      </c>
      <c r="V18" s="76" t="s">
        <v>208</v>
      </c>
      <c r="W18" s="76" t="s">
        <v>208</v>
      </c>
      <c r="X18" s="76" t="s">
        <v>22</v>
      </c>
      <c r="Y18" s="76" t="s">
        <v>22</v>
      </c>
      <c r="Z18" s="76" t="s">
        <v>22</v>
      </c>
      <c r="AA18" s="72"/>
    </row>
    <row r="19" spans="1:27">
      <c r="A19" s="73"/>
      <c r="B19" s="56" t="s">
        <v>67</v>
      </c>
      <c r="C19" s="74">
        <v>-37012</v>
      </c>
      <c r="D19" s="74">
        <v>-46986</v>
      </c>
      <c r="E19" s="74">
        <v>-75489.438315596999</v>
      </c>
      <c r="F19" s="255"/>
      <c r="G19" s="83">
        <f t="shared" ref="G19:H19" si="4">D19/C19-1</f>
        <v>0.26948016859396962</v>
      </c>
      <c r="H19" s="83">
        <f t="shared" si="4"/>
        <v>0.606636834708147</v>
      </c>
      <c r="I19" s="305"/>
      <c r="J19" s="74">
        <v>-10969</v>
      </c>
      <c r="K19" s="74">
        <v>-11897.66936</v>
      </c>
      <c r="L19" s="74">
        <v>-10483</v>
      </c>
      <c r="M19" s="74">
        <v>-13637</v>
      </c>
      <c r="N19" s="240">
        <v>-17274</v>
      </c>
      <c r="O19" s="74">
        <v>-13930.093449999998</v>
      </c>
      <c r="P19" s="74">
        <v>-18195</v>
      </c>
      <c r="Q19" s="74">
        <v>-26088.958885596989</v>
      </c>
      <c r="R19" s="74">
        <v>-30959.244320000002</v>
      </c>
      <c r="S19" s="240">
        <v>-60457.957829999999</v>
      </c>
      <c r="U19" s="245">
        <f t="shared" ref="U19:X19" si="5">ROUND(N19/J19-1,3)</f>
        <v>0.57499999999999996</v>
      </c>
      <c r="V19" s="245">
        <f t="shared" si="5"/>
        <v>0.17100000000000001</v>
      </c>
      <c r="W19" s="245">
        <f t="shared" si="5"/>
        <v>0.73599999999999999</v>
      </c>
      <c r="X19" s="245">
        <f t="shared" si="5"/>
        <v>0.91300000000000003</v>
      </c>
      <c r="Y19" s="245">
        <f>ROUND(R19/N19-1,3)</f>
        <v>0.79200000000000004</v>
      </c>
      <c r="Z19" s="245">
        <f>ROUND(S19/O19-1,3)</f>
        <v>3.34</v>
      </c>
      <c r="AA19" s="72"/>
    </row>
    <row r="20" spans="1:27">
      <c r="A20" s="77"/>
      <c r="B20" s="55" t="s">
        <v>20</v>
      </c>
      <c r="C20" s="67">
        <v>64860</v>
      </c>
      <c r="D20" s="67">
        <v>113489</v>
      </c>
      <c r="E20" s="67">
        <v>184043.31511000093</v>
      </c>
      <c r="F20" s="68"/>
      <c r="G20" s="69">
        <v>0.75</v>
      </c>
      <c r="H20" s="69">
        <v>0.62167690926137009</v>
      </c>
      <c r="I20" s="70"/>
      <c r="J20" s="67">
        <v>8878</v>
      </c>
      <c r="K20" s="67">
        <v>22403.729622408853</v>
      </c>
      <c r="L20" s="67">
        <v>37885</v>
      </c>
      <c r="M20" s="67">
        <v>44323</v>
      </c>
      <c r="N20" s="239">
        <v>20943</v>
      </c>
      <c r="O20" s="67">
        <v>47894.840950000769</v>
      </c>
      <c r="P20" s="67">
        <v>56209</v>
      </c>
      <c r="Q20" s="67">
        <v>58994.457150000075</v>
      </c>
      <c r="R20" s="239">
        <v>-30959.244320000002</v>
      </c>
      <c r="S20" s="239">
        <f>SUM(S7,S9,S15:S15)</f>
        <v>75801.799600000013</v>
      </c>
      <c r="U20" s="69">
        <v>1.359</v>
      </c>
      <c r="V20" s="69">
        <v>1.1379999999999999</v>
      </c>
      <c r="W20" s="69">
        <v>0.48399999999999999</v>
      </c>
      <c r="X20" s="88">
        <v>0.33101134900048645</v>
      </c>
      <c r="Y20" s="246">
        <v>0.83499999999999996</v>
      </c>
      <c r="Z20" s="246">
        <f t="shared" si="0"/>
        <v>0.58299999999999996</v>
      </c>
      <c r="AA20" s="72"/>
    </row>
    <row r="21" spans="1:27">
      <c r="A21" s="66"/>
      <c r="B21" s="58" t="s">
        <v>68</v>
      </c>
      <c r="C21" s="67">
        <v>-12578</v>
      </c>
      <c r="D21" s="67">
        <v>-3292</v>
      </c>
      <c r="E21" s="67">
        <v>-27507.11063344331</v>
      </c>
      <c r="F21" s="80"/>
      <c r="G21" s="81">
        <v>-0.73799999999999999</v>
      </c>
      <c r="H21" s="81">
        <v>7.3555692250185647</v>
      </c>
      <c r="I21" s="70"/>
      <c r="J21" s="67">
        <v>-14545</v>
      </c>
      <c r="K21" s="67">
        <v>-6866</v>
      </c>
      <c r="L21" s="67">
        <v>10795</v>
      </c>
      <c r="M21" s="67">
        <v>7324</v>
      </c>
      <c r="N21" s="239">
        <v>-24239</v>
      </c>
      <c r="O21" s="67">
        <v>-1749.0934499999985</v>
      </c>
      <c r="P21" s="67">
        <v>2508</v>
      </c>
      <c r="Q21" s="67">
        <v>-4027.3972234442331</v>
      </c>
      <c r="R21" s="239">
        <v>-30938.638455066721</v>
      </c>
      <c r="S21" s="239">
        <f>S13+S14+S18+S19</f>
        <v>-23772.487520000024</v>
      </c>
      <c r="U21" s="82">
        <v>0.66600000000000004</v>
      </c>
      <c r="V21" s="82">
        <v>-0.745</v>
      </c>
      <c r="W21" s="82">
        <v>-0.76800000000000002</v>
      </c>
      <c r="X21" s="82" t="s">
        <v>22</v>
      </c>
      <c r="Y21" s="248">
        <v>0.27600000000000002</v>
      </c>
      <c r="Z21" s="82" t="s">
        <v>22</v>
      </c>
      <c r="AA21" s="72"/>
    </row>
    <row r="22" spans="1:27">
      <c r="A22" s="73"/>
      <c r="B22" s="56" t="s">
        <v>69</v>
      </c>
      <c r="C22" s="74">
        <v>5432</v>
      </c>
      <c r="D22" s="74">
        <v>10320</v>
      </c>
      <c r="E22" s="74">
        <v>9645.2193202241724</v>
      </c>
      <c r="F22" s="75"/>
      <c r="G22" s="76">
        <v>0.9</v>
      </c>
      <c r="H22" s="83">
        <v>-6.538572478447946E-2</v>
      </c>
      <c r="I22" s="70"/>
      <c r="J22" s="74">
        <v>4696</v>
      </c>
      <c r="K22" s="74">
        <v>-1125.8602190190113</v>
      </c>
      <c r="L22" s="74">
        <v>-3637</v>
      </c>
      <c r="M22" s="74">
        <v>10387</v>
      </c>
      <c r="N22" s="240">
        <v>5647</v>
      </c>
      <c r="O22" s="74">
        <v>4774.7634300000009</v>
      </c>
      <c r="P22" s="74">
        <v>-2830</v>
      </c>
      <c r="Q22" s="74">
        <v>2053.257330224169</v>
      </c>
      <c r="R22" s="240">
        <v>1142.1325099999999</v>
      </c>
      <c r="S22" s="240">
        <v>-1997</v>
      </c>
      <c r="U22" s="76">
        <v>0.20300000000000001</v>
      </c>
      <c r="V22" s="79" t="s">
        <v>22</v>
      </c>
      <c r="W22" s="79">
        <v>-0.222</v>
      </c>
      <c r="X22" s="79">
        <v>-0.80231988998338499</v>
      </c>
      <c r="Y22" s="249">
        <v>-0.79800000000000004</v>
      </c>
      <c r="Z22" s="249">
        <f t="shared" si="0"/>
        <v>-1.4179999999999999</v>
      </c>
      <c r="AA22" s="72"/>
    </row>
    <row r="23" spans="1:27">
      <c r="A23" s="66"/>
      <c r="B23" s="55" t="s">
        <v>70</v>
      </c>
      <c r="C23" s="67">
        <v>-7146</v>
      </c>
      <c r="D23" s="67">
        <v>7028</v>
      </c>
      <c r="E23" s="67">
        <v>-17861.891313219137</v>
      </c>
      <c r="F23" s="68"/>
      <c r="G23" s="84" t="s">
        <v>22</v>
      </c>
      <c r="H23" s="84" t="s">
        <v>22</v>
      </c>
      <c r="I23" s="70"/>
      <c r="J23" s="67">
        <v>-9849</v>
      </c>
      <c r="K23" s="67">
        <v>-7991.8602190190113</v>
      </c>
      <c r="L23" s="67">
        <v>7158</v>
      </c>
      <c r="M23" s="67">
        <v>17711</v>
      </c>
      <c r="N23" s="239">
        <v>-18592</v>
      </c>
      <c r="O23" s="67">
        <v>3025.6699800000024</v>
      </c>
      <c r="P23" s="67">
        <v>-322</v>
      </c>
      <c r="Q23" s="67">
        <v>-1974.1398932200641</v>
      </c>
      <c r="R23" s="239">
        <v>-29796.505945066721</v>
      </c>
      <c r="S23" s="239">
        <f>S21+S22</f>
        <v>-25769.487520000024</v>
      </c>
      <c r="U23" s="82">
        <v>-0.88800000000000001</v>
      </c>
      <c r="V23" s="82" t="s">
        <v>22</v>
      </c>
      <c r="W23" s="82">
        <v>-1.0449999999999999</v>
      </c>
      <c r="X23" s="82" t="s">
        <v>22</v>
      </c>
      <c r="Y23" s="248">
        <v>0.60299999999999998</v>
      </c>
      <c r="Z23" s="248">
        <f t="shared" si="0"/>
        <v>-9.5169999999999995</v>
      </c>
      <c r="AA23" s="72"/>
    </row>
    <row r="24" spans="1:27">
      <c r="A24" s="85"/>
      <c r="B24" s="85"/>
      <c r="C24" s="86"/>
      <c r="D24" s="86"/>
      <c r="E24" s="86"/>
      <c r="F24" s="68"/>
      <c r="G24" s="85"/>
      <c r="H24" s="85"/>
      <c r="I24" s="68"/>
      <c r="J24" s="86"/>
      <c r="K24" s="86"/>
      <c r="L24" s="86"/>
      <c r="M24" s="86"/>
      <c r="N24" s="86"/>
      <c r="O24" s="86"/>
      <c r="P24" s="86"/>
      <c r="Q24" s="86"/>
      <c r="R24" s="86"/>
      <c r="S24" s="86"/>
      <c r="U24" s="85"/>
      <c r="V24" s="85"/>
      <c r="W24" s="85"/>
      <c r="X24" s="85"/>
      <c r="Y24" s="85"/>
      <c r="Z24" s="85"/>
      <c r="AA24" s="72"/>
    </row>
    <row r="25" spans="1:27">
      <c r="A25" s="63"/>
      <c r="B25" s="63"/>
      <c r="C25" s="87"/>
      <c r="D25" s="87"/>
      <c r="E25" s="87"/>
      <c r="F25" s="64"/>
      <c r="G25" s="3" t="s">
        <v>57</v>
      </c>
      <c r="H25" s="3" t="s">
        <v>57</v>
      </c>
      <c r="I25" s="64"/>
      <c r="J25" s="87"/>
      <c r="K25" s="87"/>
      <c r="L25" s="87"/>
      <c r="M25" s="87"/>
      <c r="N25" s="87"/>
      <c r="O25" s="87"/>
      <c r="P25" s="87"/>
      <c r="Q25" s="87"/>
      <c r="R25" s="87"/>
      <c r="S25" s="87"/>
      <c r="U25" s="3" t="s">
        <v>57</v>
      </c>
      <c r="V25" s="3" t="s">
        <v>57</v>
      </c>
      <c r="W25" s="3" t="s">
        <v>57</v>
      </c>
      <c r="X25" s="3" t="s">
        <v>57</v>
      </c>
      <c r="Y25" s="3" t="s">
        <v>57</v>
      </c>
      <c r="Z25" s="3" t="s">
        <v>233</v>
      </c>
      <c r="AA25" s="72"/>
    </row>
    <row r="26" spans="1:27">
      <c r="A26" s="59"/>
      <c r="B26" s="59" t="s">
        <v>81</v>
      </c>
      <c r="C26" s="62">
        <v>2019</v>
      </c>
      <c r="D26" s="62">
        <v>2020</v>
      </c>
      <c r="E26" s="5">
        <v>2021</v>
      </c>
      <c r="F26" s="60"/>
      <c r="G26" s="5">
        <v>2020</v>
      </c>
      <c r="H26" s="5">
        <v>2021</v>
      </c>
      <c r="I26" s="61"/>
      <c r="J26" s="62" t="s">
        <v>0</v>
      </c>
      <c r="K26" s="5" t="s">
        <v>1</v>
      </c>
      <c r="L26" s="5" t="s">
        <v>2</v>
      </c>
      <c r="M26" s="5" t="s">
        <v>3</v>
      </c>
      <c r="N26" s="211" t="s">
        <v>4</v>
      </c>
      <c r="O26" s="5" t="s">
        <v>6</v>
      </c>
      <c r="P26" s="5" t="s">
        <v>194</v>
      </c>
      <c r="Q26" s="5" t="s">
        <v>200</v>
      </c>
      <c r="R26" s="211" t="s">
        <v>213</v>
      </c>
      <c r="S26" s="327" t="s">
        <v>241</v>
      </c>
      <c r="U26" s="5" t="s">
        <v>34</v>
      </c>
      <c r="V26" s="5" t="s">
        <v>35</v>
      </c>
      <c r="W26" s="5" t="s">
        <v>194</v>
      </c>
      <c r="X26" s="5" t="s">
        <v>200</v>
      </c>
      <c r="Y26" s="211" t="s">
        <v>213</v>
      </c>
      <c r="Z26" s="211" t="s">
        <v>241</v>
      </c>
    </row>
    <row r="27" spans="1:27">
      <c r="A27" s="63"/>
      <c r="B27" s="63"/>
      <c r="C27" s="87"/>
      <c r="D27" s="87"/>
      <c r="E27" s="87"/>
      <c r="F27" s="64"/>
      <c r="G27" s="63"/>
      <c r="H27" s="63"/>
      <c r="I27" s="64"/>
      <c r="J27" s="87"/>
      <c r="K27" s="87"/>
      <c r="L27" s="87"/>
      <c r="M27" s="87"/>
      <c r="N27" s="241"/>
      <c r="O27" s="87"/>
      <c r="P27" s="87"/>
      <c r="Q27" s="87"/>
      <c r="R27" s="241"/>
      <c r="S27" s="352"/>
      <c r="U27" s="63"/>
      <c r="V27" s="63"/>
      <c r="W27" s="63"/>
      <c r="X27" s="63"/>
      <c r="Y27" s="243"/>
      <c r="Z27" s="243"/>
      <c r="AA27" s="72"/>
    </row>
    <row r="28" spans="1:27">
      <c r="A28" s="66"/>
      <c r="B28" s="55" t="s">
        <v>71</v>
      </c>
      <c r="C28" s="67">
        <v>607898</v>
      </c>
      <c r="D28" s="67">
        <v>1180036</v>
      </c>
      <c r="E28" s="67">
        <v>1808895.7625000007</v>
      </c>
      <c r="F28" s="85"/>
      <c r="G28" s="69">
        <f t="shared" ref="G28:H38" si="6">D28/C28-1</f>
        <v>0.9411743417481222</v>
      </c>
      <c r="H28" s="69">
        <f t="shared" si="6"/>
        <v>0.5329157436722276</v>
      </c>
      <c r="I28" s="93"/>
      <c r="J28" s="67">
        <v>192794</v>
      </c>
      <c r="K28" s="67">
        <v>248390.13623999892</v>
      </c>
      <c r="L28" s="67">
        <v>329296</v>
      </c>
      <c r="M28" s="67">
        <v>409556</v>
      </c>
      <c r="N28" s="239">
        <v>387168</v>
      </c>
      <c r="O28" s="67">
        <v>436654.8017700006</v>
      </c>
      <c r="P28" s="67">
        <v>445887</v>
      </c>
      <c r="Q28" s="67">
        <v>539185.93213000009</v>
      </c>
      <c r="R28" s="239">
        <f>R6</f>
        <v>538051.52520999999</v>
      </c>
      <c r="S28" s="239">
        <f>S6</f>
        <v>594959.20210999984</v>
      </c>
      <c r="U28" s="244">
        <f t="shared" ref="U28:Z43" si="7">ROUND(N28/J28-1,3)</f>
        <v>1.008</v>
      </c>
      <c r="V28" s="244">
        <f t="shared" si="7"/>
        <v>0.75800000000000001</v>
      </c>
      <c r="W28" s="244">
        <f t="shared" si="7"/>
        <v>0.35399999999999998</v>
      </c>
      <c r="X28" s="244">
        <f t="shared" si="7"/>
        <v>0.317</v>
      </c>
      <c r="Y28" s="244">
        <f t="shared" si="7"/>
        <v>0.39</v>
      </c>
      <c r="Z28" s="244">
        <f t="shared" si="7"/>
        <v>0.36299999999999999</v>
      </c>
      <c r="AA28" s="72"/>
    </row>
    <row r="29" spans="1:27">
      <c r="A29" s="77"/>
      <c r="B29" s="56" t="s">
        <v>59</v>
      </c>
      <c r="C29" s="74">
        <v>527263</v>
      </c>
      <c r="D29" s="74">
        <v>998109</v>
      </c>
      <c r="E29" s="74">
        <v>1520356.6511874257</v>
      </c>
      <c r="F29" s="255"/>
      <c r="G29" s="76">
        <f t="shared" si="6"/>
        <v>0.89300026741872651</v>
      </c>
      <c r="H29" s="76">
        <f t="shared" si="6"/>
        <v>0.52323709252939876</v>
      </c>
      <c r="I29" s="93"/>
      <c r="J29" s="74">
        <v>165286</v>
      </c>
      <c r="K29" s="74">
        <v>211214.77965882403</v>
      </c>
      <c r="L29" s="74">
        <v>277543</v>
      </c>
      <c r="M29" s="74">
        <v>344066</v>
      </c>
      <c r="N29" s="240">
        <v>326440</v>
      </c>
      <c r="O29" s="74">
        <v>368885.8958174006</v>
      </c>
      <c r="P29" s="74">
        <v>374167</v>
      </c>
      <c r="Q29" s="74">
        <v>450864.33318447508</v>
      </c>
      <c r="R29" s="240">
        <f>R7</f>
        <v>449139.6932808999</v>
      </c>
      <c r="S29" s="240">
        <f>S7</f>
        <v>496445.83783147502</v>
      </c>
      <c r="U29" s="250">
        <f t="shared" si="7"/>
        <v>0.97499999999999998</v>
      </c>
      <c r="V29" s="250">
        <f t="shared" si="7"/>
        <v>0.746</v>
      </c>
      <c r="W29" s="250">
        <f t="shared" si="7"/>
        <v>0.34799999999999998</v>
      </c>
      <c r="X29" s="250">
        <f t="shared" si="7"/>
        <v>0.31</v>
      </c>
      <c r="Y29" s="250">
        <f t="shared" si="7"/>
        <v>0.376</v>
      </c>
      <c r="Z29" s="250">
        <f t="shared" si="7"/>
        <v>0.34599999999999997</v>
      </c>
      <c r="AA29" s="72"/>
    </row>
    <row r="30" spans="1:27">
      <c r="A30" s="66"/>
      <c r="B30" s="55" t="s">
        <v>72</v>
      </c>
      <c r="C30" s="67">
        <v>-426474</v>
      </c>
      <c r="D30" s="67">
        <v>-779632</v>
      </c>
      <c r="E30" s="67">
        <v>-1233673.995964569</v>
      </c>
      <c r="F30" s="85"/>
      <c r="G30" s="69">
        <f t="shared" si="6"/>
        <v>0.82808799598568728</v>
      </c>
      <c r="H30" s="69">
        <f t="shared" si="6"/>
        <v>0.58237988687556319</v>
      </c>
      <c r="I30" s="93"/>
      <c r="J30" s="239">
        <f t="shared" ref="J30:R30" si="8">SUM(J31:J33)</f>
        <v>-135963</v>
      </c>
      <c r="K30" s="239">
        <f t="shared" si="8"/>
        <v>-167225.55702000001</v>
      </c>
      <c r="L30" s="239">
        <f t="shared" si="8"/>
        <v>-215136</v>
      </c>
      <c r="M30" s="239">
        <f t="shared" si="8"/>
        <v>-261307</v>
      </c>
      <c r="N30" s="239">
        <f t="shared" si="8"/>
        <v>-266685</v>
      </c>
      <c r="O30" s="239">
        <f t="shared" si="8"/>
        <v>-306300.36095649458</v>
      </c>
      <c r="P30" s="239">
        <f t="shared" si="8"/>
        <v>-301982</v>
      </c>
      <c r="Q30" s="239">
        <f t="shared" si="8"/>
        <v>-358708.17023404519</v>
      </c>
      <c r="R30" s="239">
        <f t="shared" si="8"/>
        <v>-364781.24909966777</v>
      </c>
      <c r="S30" s="239">
        <f t="shared" ref="S30" si="9">SUM(S31:S33)</f>
        <v>-408225.88708147506</v>
      </c>
      <c r="U30" s="244">
        <f t="shared" si="7"/>
        <v>0.96099999999999997</v>
      </c>
      <c r="V30" s="244">
        <f t="shared" si="7"/>
        <v>0.83199999999999996</v>
      </c>
      <c r="W30" s="244">
        <f t="shared" si="7"/>
        <v>0.40400000000000003</v>
      </c>
      <c r="X30" s="244">
        <f t="shared" si="7"/>
        <v>0.373</v>
      </c>
      <c r="Y30" s="244">
        <f t="shared" si="7"/>
        <v>0.36799999999999999</v>
      </c>
      <c r="Z30" s="244">
        <f t="shared" si="7"/>
        <v>0.33300000000000002</v>
      </c>
      <c r="AA30" s="72"/>
    </row>
    <row r="31" spans="1:27">
      <c r="A31" s="77" t="s">
        <v>10</v>
      </c>
      <c r="B31" s="57" t="s">
        <v>60</v>
      </c>
      <c r="C31" s="74">
        <f>C8</f>
        <v>-422652</v>
      </c>
      <c r="D31" s="74">
        <f>D8</f>
        <v>-782679</v>
      </c>
      <c r="E31" s="74">
        <f>E8</f>
        <v>-1253941.3739128478</v>
      </c>
      <c r="F31" s="253"/>
      <c r="G31" s="76">
        <f t="shared" si="6"/>
        <v>0.85182845461514445</v>
      </c>
      <c r="H31" s="76">
        <f t="shared" si="6"/>
        <v>0.6021144989361511</v>
      </c>
      <c r="I31" s="93"/>
      <c r="J31" s="74">
        <f t="shared" ref="J31:R31" si="10">J8</f>
        <v>-134472</v>
      </c>
      <c r="K31" s="74">
        <f t="shared" si="10"/>
        <v>-167213</v>
      </c>
      <c r="L31" s="74">
        <f t="shared" si="10"/>
        <v>-214625</v>
      </c>
      <c r="M31" s="74">
        <f t="shared" si="10"/>
        <v>-266369</v>
      </c>
      <c r="N31" s="74">
        <f t="shared" si="10"/>
        <v>-271344</v>
      </c>
      <c r="O31" s="74">
        <f t="shared" si="10"/>
        <v>-310800</v>
      </c>
      <c r="P31" s="74">
        <f t="shared" si="10"/>
        <v>-306692</v>
      </c>
      <c r="Q31" s="74">
        <f t="shared" si="10"/>
        <v>-365106.48992989812</v>
      </c>
      <c r="R31" s="74">
        <f t="shared" si="10"/>
        <v>-367615.07696090004</v>
      </c>
      <c r="S31" s="74">
        <f t="shared" ref="S31" si="11">S8</f>
        <v>-406226.81341147504</v>
      </c>
      <c r="U31" s="250">
        <f t="shared" si="7"/>
        <v>1.018</v>
      </c>
      <c r="V31" s="250">
        <f t="shared" si="7"/>
        <v>0.85899999999999999</v>
      </c>
      <c r="W31" s="250">
        <f t="shared" si="7"/>
        <v>0.42899999999999999</v>
      </c>
      <c r="X31" s="250">
        <f t="shared" si="7"/>
        <v>0.371</v>
      </c>
      <c r="Y31" s="250">
        <f t="shared" si="7"/>
        <v>0.35499999999999998</v>
      </c>
      <c r="Z31" s="250">
        <f t="shared" si="7"/>
        <v>0.307</v>
      </c>
      <c r="AA31" s="72"/>
    </row>
    <row r="32" spans="1:27">
      <c r="A32" s="77" t="s">
        <v>234</v>
      </c>
      <c r="B32" s="57" t="s">
        <v>215</v>
      </c>
      <c r="C32" s="240">
        <f>-(C10+C11+C12)</f>
        <v>20867</v>
      </c>
      <c r="D32" s="240">
        <f>-(D10+D11+D12)</f>
        <v>43751</v>
      </c>
      <c r="E32" s="240">
        <f>-(E10+E11+E12)</f>
        <v>81893.995965423092</v>
      </c>
      <c r="F32" s="253"/>
      <c r="G32" s="76">
        <f t="shared" si="6"/>
        <v>1.0966597977668089</v>
      </c>
      <c r="H32" s="76">
        <f t="shared" si="6"/>
        <v>0.87181998046725995</v>
      </c>
      <c r="I32" s="93"/>
      <c r="J32" s="240">
        <f t="shared" ref="J32:R32" si="12">-(J10+J11+J12)</f>
        <v>6644</v>
      </c>
      <c r="K32" s="240">
        <f t="shared" si="12"/>
        <v>9390.4429799999907</v>
      </c>
      <c r="L32" s="240">
        <f t="shared" si="12"/>
        <v>10151</v>
      </c>
      <c r="M32" s="240">
        <f t="shared" si="12"/>
        <v>17566</v>
      </c>
      <c r="N32" s="240">
        <f t="shared" si="12"/>
        <v>19407</v>
      </c>
      <c r="O32" s="240">
        <f t="shared" si="12"/>
        <v>20503.521479999996</v>
      </c>
      <c r="P32" s="240">
        <f t="shared" si="12"/>
        <v>20846</v>
      </c>
      <c r="Q32" s="240">
        <f t="shared" si="12"/>
        <v>21137.679575423081</v>
      </c>
      <c r="R32" s="240">
        <f t="shared" si="12"/>
        <v>17999.445810000001</v>
      </c>
      <c r="S32" s="240">
        <f t="shared" ref="S32" si="13">-(S10+S11+S12)</f>
        <v>17087.926329999998</v>
      </c>
      <c r="U32" s="250">
        <f t="shared" si="7"/>
        <v>1.921</v>
      </c>
      <c r="V32" s="250">
        <f t="shared" si="7"/>
        <v>1.1830000000000001</v>
      </c>
      <c r="W32" s="250">
        <f t="shared" si="7"/>
        <v>1.054</v>
      </c>
      <c r="X32" s="250">
        <f t="shared" si="7"/>
        <v>0.20300000000000001</v>
      </c>
      <c r="Y32" s="250">
        <f t="shared" si="7"/>
        <v>-7.2999999999999995E-2</v>
      </c>
      <c r="Z32" s="250">
        <f t="shared" si="7"/>
        <v>-0.16700000000000001</v>
      </c>
      <c r="AA32" s="72"/>
    </row>
    <row r="33" spans="1:27">
      <c r="A33" s="77" t="s">
        <v>235</v>
      </c>
      <c r="B33" s="57" t="s">
        <v>73</v>
      </c>
      <c r="C33" s="74">
        <v>-24688</v>
      </c>
      <c r="D33" s="74">
        <v>-40705</v>
      </c>
      <c r="E33" s="74">
        <v>-61626.618017144385</v>
      </c>
      <c r="F33" s="253"/>
      <c r="G33" s="76">
        <f t="shared" si="6"/>
        <v>0.64877673363577437</v>
      </c>
      <c r="H33" s="76">
        <f t="shared" si="6"/>
        <v>0.51398152603229041</v>
      </c>
      <c r="I33" s="93"/>
      <c r="J33" s="74">
        <v>-8135</v>
      </c>
      <c r="K33" s="74">
        <v>-9403</v>
      </c>
      <c r="L33" s="74">
        <v>-10662</v>
      </c>
      <c r="M33" s="74">
        <v>-12504</v>
      </c>
      <c r="N33" s="74">
        <v>-14748</v>
      </c>
      <c r="O33" s="74">
        <v>-16003.882436494559</v>
      </c>
      <c r="P33" s="74">
        <v>-16136</v>
      </c>
      <c r="Q33" s="74">
        <v>-14739.359879570155</v>
      </c>
      <c r="R33" s="74">
        <v>-15165.617948767735</v>
      </c>
      <c r="S33" s="240">
        <v>-19087</v>
      </c>
      <c r="U33" s="250">
        <f t="shared" si="7"/>
        <v>0.81299999999999994</v>
      </c>
      <c r="V33" s="250">
        <f t="shared" si="7"/>
        <v>0.70199999999999996</v>
      </c>
      <c r="W33" s="250">
        <f t="shared" si="7"/>
        <v>0.51300000000000001</v>
      </c>
      <c r="X33" s="250">
        <f t="shared" si="7"/>
        <v>0.17899999999999999</v>
      </c>
      <c r="Y33" s="250">
        <f t="shared" si="7"/>
        <v>2.8000000000000001E-2</v>
      </c>
      <c r="Z33" s="250">
        <f t="shared" si="7"/>
        <v>0.193</v>
      </c>
      <c r="AA33" s="72"/>
    </row>
    <row r="34" spans="1:27">
      <c r="A34" s="66"/>
      <c r="B34" s="55" t="s">
        <v>227</v>
      </c>
      <c r="C34" s="239">
        <f t="shared" ref="C34:E34" si="14">C29+C30</f>
        <v>100789</v>
      </c>
      <c r="D34" s="239">
        <f t="shared" si="14"/>
        <v>218477</v>
      </c>
      <c r="E34" s="239">
        <f t="shared" si="14"/>
        <v>286682.65522285667</v>
      </c>
      <c r="F34" s="85"/>
      <c r="G34" s="69">
        <f t="shared" si="6"/>
        <v>1.1676671065294824</v>
      </c>
      <c r="H34" s="69">
        <f t="shared" si="6"/>
        <v>0.3121868902578151</v>
      </c>
      <c r="I34" s="93"/>
      <c r="J34" s="239">
        <f t="shared" ref="J34:Q34" si="15">J29+J30</f>
        <v>29323</v>
      </c>
      <c r="K34" s="239">
        <f t="shared" si="15"/>
        <v>43989.222638824023</v>
      </c>
      <c r="L34" s="239">
        <f t="shared" si="15"/>
        <v>62407</v>
      </c>
      <c r="M34" s="239">
        <f t="shared" si="15"/>
        <v>82759</v>
      </c>
      <c r="N34" s="239">
        <f t="shared" si="15"/>
        <v>59755</v>
      </c>
      <c r="O34" s="239">
        <f t="shared" si="15"/>
        <v>62585.534860906017</v>
      </c>
      <c r="P34" s="239">
        <f t="shared" si="15"/>
        <v>72185</v>
      </c>
      <c r="Q34" s="239">
        <f t="shared" si="15"/>
        <v>92156.162950429891</v>
      </c>
      <c r="R34" s="239">
        <f>R29+R30</f>
        <v>84358.444181232131</v>
      </c>
      <c r="S34" s="239">
        <f>S29+S30</f>
        <v>88219.95074999996</v>
      </c>
      <c r="U34" s="244">
        <f t="shared" si="7"/>
        <v>1.038</v>
      </c>
      <c r="V34" s="244">
        <f t="shared" si="7"/>
        <v>0.42299999999999999</v>
      </c>
      <c r="W34" s="244">
        <f t="shared" si="7"/>
        <v>0.157</v>
      </c>
      <c r="X34" s="244">
        <f t="shared" si="7"/>
        <v>0.114</v>
      </c>
      <c r="Y34" s="244">
        <f t="shared" si="7"/>
        <v>0.41199999999999998</v>
      </c>
      <c r="Z34" s="244">
        <f t="shared" si="7"/>
        <v>0.41</v>
      </c>
      <c r="AA34" s="72"/>
    </row>
    <row r="35" spans="1:27">
      <c r="A35" s="326" t="s">
        <v>236</v>
      </c>
      <c r="B35" s="55" t="s">
        <v>74</v>
      </c>
      <c r="C35" s="67">
        <v>-53177</v>
      </c>
      <c r="D35" s="67">
        <v>-128644</v>
      </c>
      <c r="E35" s="67">
        <v>-146018.44884014453</v>
      </c>
      <c r="F35" s="85"/>
      <c r="G35" s="69">
        <f t="shared" si="6"/>
        <v>1.4191661808676685</v>
      </c>
      <c r="H35" s="69">
        <f t="shared" si="6"/>
        <v>0.13505836914387404</v>
      </c>
      <c r="I35" s="93"/>
      <c r="J35" s="67">
        <v>-25018</v>
      </c>
      <c r="K35" s="67">
        <v>-26570</v>
      </c>
      <c r="L35" s="67">
        <v>-32283</v>
      </c>
      <c r="M35" s="67">
        <v>-44774</v>
      </c>
      <c r="N35" s="239">
        <v>-43863</v>
      </c>
      <c r="O35" s="67">
        <v>-32440</v>
      </c>
      <c r="P35" s="67">
        <v>-30532</v>
      </c>
      <c r="Q35" s="67">
        <f>-39184.13767</f>
        <v>-39184.137669999996</v>
      </c>
      <c r="R35" s="239">
        <f>SUM(R36:R39)</f>
        <v>-52832.997455437871</v>
      </c>
      <c r="S35" s="239">
        <f>SUM(S36:S39)</f>
        <v>-45616.151149999998</v>
      </c>
      <c r="U35" s="251">
        <f t="shared" si="7"/>
        <v>0.753</v>
      </c>
      <c r="V35" s="251">
        <f t="shared" si="7"/>
        <v>0.221</v>
      </c>
      <c r="W35" s="251">
        <f t="shared" si="7"/>
        <v>-5.3999999999999999E-2</v>
      </c>
      <c r="X35" s="251">
        <f t="shared" si="7"/>
        <v>-0.125</v>
      </c>
      <c r="Y35" s="251">
        <f t="shared" si="7"/>
        <v>0.20499999999999999</v>
      </c>
      <c r="Z35" s="251">
        <f t="shared" si="7"/>
        <v>0.40600000000000003</v>
      </c>
      <c r="AA35" s="72"/>
    </row>
    <row r="36" spans="1:27">
      <c r="A36" s="77" t="s">
        <v>11</v>
      </c>
      <c r="B36" s="57" t="s">
        <v>75</v>
      </c>
      <c r="C36" s="240">
        <f>C14</f>
        <v>-80177</v>
      </c>
      <c r="D36" s="240">
        <f>D14</f>
        <v>-171736</v>
      </c>
      <c r="E36" s="240">
        <f>E14</f>
        <v>-217455.23200333328</v>
      </c>
      <c r="F36" s="253"/>
      <c r="G36" s="76">
        <f t="shared" si="6"/>
        <v>1.1419609114833431</v>
      </c>
      <c r="H36" s="76">
        <f t="shared" si="6"/>
        <v>0.26621810222279119</v>
      </c>
      <c r="I36" s="93"/>
      <c r="J36" s="240">
        <f t="shared" ref="J36:R36" si="16">J14</f>
        <v>-34390</v>
      </c>
      <c r="K36" s="240">
        <f t="shared" si="16"/>
        <v>-38970</v>
      </c>
      <c r="L36" s="240">
        <f t="shared" si="16"/>
        <v>-41640</v>
      </c>
      <c r="M36" s="240">
        <f t="shared" si="16"/>
        <v>-56736</v>
      </c>
      <c r="N36" s="240">
        <f t="shared" si="16"/>
        <v>-62061</v>
      </c>
      <c r="O36" s="240">
        <f t="shared" si="16"/>
        <v>-45905</v>
      </c>
      <c r="P36" s="240">
        <f t="shared" si="16"/>
        <v>-46771</v>
      </c>
      <c r="Q36" s="240">
        <f t="shared" si="16"/>
        <v>-62718.564003333297</v>
      </c>
      <c r="R36" s="240">
        <f t="shared" si="16"/>
        <v>-80337.742665066573</v>
      </c>
      <c r="S36" s="240">
        <f t="shared" ref="S36" si="17">S14</f>
        <v>-50190.79019</v>
      </c>
      <c r="U36" s="250">
        <f t="shared" si="7"/>
        <v>0.80500000000000005</v>
      </c>
      <c r="V36" s="250">
        <f t="shared" si="7"/>
        <v>0.17799999999999999</v>
      </c>
      <c r="W36" s="250">
        <f t="shared" si="7"/>
        <v>0.123</v>
      </c>
      <c r="X36" s="250">
        <f t="shared" si="7"/>
        <v>0.105</v>
      </c>
      <c r="Y36" s="250">
        <f t="shared" si="7"/>
        <v>0.29399999999999998</v>
      </c>
      <c r="Z36" s="250">
        <f t="shared" si="7"/>
        <v>9.2999999999999999E-2</v>
      </c>
      <c r="AA36" s="72"/>
    </row>
    <row r="37" spans="1:27">
      <c r="A37" s="77" t="s">
        <v>237</v>
      </c>
      <c r="B37" s="57" t="s">
        <v>62</v>
      </c>
      <c r="C37" s="74">
        <f>-(C16+C17)</f>
        <v>19559</v>
      </c>
      <c r="D37" s="74">
        <f>-(D16+D17)</f>
        <v>26044</v>
      </c>
      <c r="E37" s="74">
        <f>-(E16+E17)</f>
        <v>53189.273873333281</v>
      </c>
      <c r="F37" s="253"/>
      <c r="G37" s="76">
        <f t="shared" si="6"/>
        <v>0.33156091824735423</v>
      </c>
      <c r="H37" s="76">
        <f t="shared" si="6"/>
        <v>1.0422851279885301</v>
      </c>
      <c r="I37" s="93"/>
      <c r="J37" s="74">
        <f t="shared" ref="J37:O37" si="18">-(J16+J17)</f>
        <v>5811</v>
      </c>
      <c r="K37" s="74">
        <f t="shared" si="18"/>
        <v>7980.6132499999658</v>
      </c>
      <c r="L37" s="74">
        <f t="shared" si="18"/>
        <v>6457</v>
      </c>
      <c r="M37" s="74">
        <f t="shared" si="18"/>
        <v>5795</v>
      </c>
      <c r="N37" s="74">
        <f t="shared" si="18"/>
        <v>8501</v>
      </c>
      <c r="O37" s="74">
        <f t="shared" si="18"/>
        <v>15210.999369999998</v>
      </c>
      <c r="P37" s="74">
        <v>14660</v>
      </c>
      <c r="Q37" s="74">
        <v>14817.498323333277</v>
      </c>
      <c r="R37" s="240">
        <f>-(R16+R17)</f>
        <v>19235.159819999997</v>
      </c>
      <c r="S37" s="240">
        <f>-(S16+S17)</f>
        <v>18685.639040000002</v>
      </c>
      <c r="U37" s="250">
        <f t="shared" si="7"/>
        <v>0.46300000000000002</v>
      </c>
      <c r="V37" s="250">
        <f t="shared" si="7"/>
        <v>0.90600000000000003</v>
      </c>
      <c r="W37" s="250">
        <f t="shared" si="7"/>
        <v>1.27</v>
      </c>
      <c r="X37" s="250">
        <f t="shared" si="7"/>
        <v>1.5569999999999999</v>
      </c>
      <c r="Y37" s="250">
        <f t="shared" si="7"/>
        <v>1.2629999999999999</v>
      </c>
      <c r="Z37" s="250">
        <f t="shared" si="7"/>
        <v>0.22800000000000001</v>
      </c>
      <c r="AA37" s="72"/>
    </row>
    <row r="38" spans="1:27">
      <c r="A38" s="77" t="s">
        <v>238</v>
      </c>
      <c r="B38" s="57" t="s">
        <v>225</v>
      </c>
      <c r="C38" s="74">
        <v>7440</v>
      </c>
      <c r="D38" s="74">
        <v>17049</v>
      </c>
      <c r="E38" s="74">
        <v>18247.509289855469</v>
      </c>
      <c r="F38" s="253"/>
      <c r="G38" s="76">
        <f t="shared" si="6"/>
        <v>1.2915322580645161</v>
      </c>
      <c r="H38" s="76">
        <f t="shared" si="6"/>
        <v>7.0297923036862553E-2</v>
      </c>
      <c r="I38" s="93"/>
      <c r="J38" s="74">
        <v>3562</v>
      </c>
      <c r="K38" s="74">
        <v>4419.6051349999998</v>
      </c>
      <c r="L38" s="74">
        <v>2901</v>
      </c>
      <c r="M38" s="74">
        <v>6167</v>
      </c>
      <c r="N38" s="240">
        <v>9697</v>
      </c>
      <c r="O38" s="74">
        <v>-1746.3036722646234</v>
      </c>
      <c r="P38" s="74">
        <v>1580</v>
      </c>
      <c r="Q38" s="74">
        <v>8716.9280100000051</v>
      </c>
      <c r="R38" s="74">
        <v>8269.585389628699</v>
      </c>
      <c r="S38" s="74">
        <v>0</v>
      </c>
      <c r="U38" s="249">
        <f t="shared" si="7"/>
        <v>1.722</v>
      </c>
      <c r="V38" s="249" t="s">
        <v>22</v>
      </c>
      <c r="W38" s="249">
        <f t="shared" si="7"/>
        <v>-0.45500000000000002</v>
      </c>
      <c r="X38" s="249">
        <f t="shared" si="7"/>
        <v>0.41299999999999998</v>
      </c>
      <c r="Y38" s="249">
        <f t="shared" si="7"/>
        <v>-0.14699999999999999</v>
      </c>
      <c r="Z38" s="250">
        <f>ROUND(S39/O38-1,3)</f>
        <v>7.08</v>
      </c>
      <c r="AA38" s="72"/>
    </row>
    <row r="39" spans="1:27">
      <c r="A39" s="77" t="s">
        <v>248</v>
      </c>
      <c r="B39" s="57" t="s">
        <v>249</v>
      </c>
      <c r="C39" s="74"/>
      <c r="D39" s="74"/>
      <c r="E39" s="74"/>
      <c r="F39" s="253"/>
      <c r="G39" s="76"/>
      <c r="H39" s="76"/>
      <c r="I39" s="93"/>
      <c r="J39" s="74"/>
      <c r="K39" s="74"/>
      <c r="L39" s="74"/>
      <c r="M39" s="74"/>
      <c r="N39" s="240"/>
      <c r="O39" s="74"/>
      <c r="P39" s="74"/>
      <c r="Q39" s="74"/>
      <c r="R39" s="74"/>
      <c r="S39" s="74">
        <v>-14111</v>
      </c>
      <c r="U39" s="79"/>
      <c r="V39" s="79"/>
      <c r="W39" s="79"/>
      <c r="X39" s="79"/>
      <c r="Y39" s="249"/>
      <c r="Z39" s="250" t="s">
        <v>22</v>
      </c>
      <c r="AA39" s="72"/>
    </row>
    <row r="40" spans="1:27">
      <c r="A40" s="66"/>
      <c r="B40" s="55" t="s">
        <v>226</v>
      </c>
      <c r="C40" s="67">
        <v>47612</v>
      </c>
      <c r="D40" s="67">
        <v>89833</v>
      </c>
      <c r="E40" s="67">
        <v>140664.20638271215</v>
      </c>
      <c r="F40" s="85"/>
      <c r="G40" s="88">
        <v>0.88700000000000001</v>
      </c>
      <c r="H40" s="88">
        <v>0.56583622426032099</v>
      </c>
      <c r="I40" s="93"/>
      <c r="J40" s="239">
        <f t="shared" ref="J40:R40" si="19">J34+J35</f>
        <v>4305</v>
      </c>
      <c r="K40" s="239">
        <f t="shared" si="19"/>
        <v>17419.222638824023</v>
      </c>
      <c r="L40" s="239">
        <f t="shared" si="19"/>
        <v>30124</v>
      </c>
      <c r="M40" s="239">
        <f t="shared" si="19"/>
        <v>37985</v>
      </c>
      <c r="N40" s="239">
        <f t="shared" si="19"/>
        <v>15892</v>
      </c>
      <c r="O40" s="239">
        <f t="shared" si="19"/>
        <v>30145.534860906017</v>
      </c>
      <c r="P40" s="239">
        <f t="shared" si="19"/>
        <v>41653</v>
      </c>
      <c r="Q40" s="239">
        <f t="shared" si="19"/>
        <v>52972.025280429894</v>
      </c>
      <c r="R40" s="239">
        <f t="shared" si="19"/>
        <v>31525.44672579426</v>
      </c>
      <c r="S40" s="239">
        <f t="shared" ref="S40" si="20">S34+S35</f>
        <v>42603.799599999962</v>
      </c>
      <c r="U40" s="88">
        <v>2.6920000000000002</v>
      </c>
      <c r="V40" s="88">
        <v>0.73099999999999998</v>
      </c>
      <c r="W40" s="69">
        <v>0.38300000000000001</v>
      </c>
      <c r="X40" s="69">
        <v>0.39452886134799137</v>
      </c>
      <c r="Y40" s="244">
        <f t="shared" si="7"/>
        <v>0.98399999999999999</v>
      </c>
      <c r="Z40" s="244">
        <f t="shared" si="7"/>
        <v>0.41299999999999998</v>
      </c>
      <c r="AA40" s="72"/>
    </row>
    <row r="41" spans="1:27">
      <c r="A41" s="77" t="s">
        <v>235</v>
      </c>
      <c r="B41" s="56" t="s">
        <v>76</v>
      </c>
      <c r="C41" s="74">
        <v>24688</v>
      </c>
      <c r="D41" s="74">
        <v>40705</v>
      </c>
      <c r="E41" s="74">
        <v>61626.618017144385</v>
      </c>
      <c r="F41" s="255"/>
      <c r="G41" s="76">
        <f>D41/C41-1</f>
        <v>0.64877673363577437</v>
      </c>
      <c r="H41" s="76">
        <f>E41/D41-1</f>
        <v>0.51398152603229041</v>
      </c>
      <c r="I41" s="93"/>
      <c r="J41" s="74">
        <v>8135</v>
      </c>
      <c r="K41" s="74">
        <v>9403</v>
      </c>
      <c r="L41" s="74">
        <v>10662</v>
      </c>
      <c r="M41" s="74">
        <v>12504</v>
      </c>
      <c r="N41" s="74">
        <v>14748</v>
      </c>
      <c r="O41" s="74">
        <v>16003.882436494559</v>
      </c>
      <c r="P41" s="74">
        <v>16136</v>
      </c>
      <c r="Q41" s="74">
        <v>14739.359879570155</v>
      </c>
      <c r="R41" s="240">
        <f>-R33</f>
        <v>15165.617948767735</v>
      </c>
      <c r="S41" s="240">
        <f>-S33</f>
        <v>19087</v>
      </c>
      <c r="U41" s="249">
        <f>ROUND(N41/J41-1,3)</f>
        <v>0.81299999999999994</v>
      </c>
      <c r="V41" s="249">
        <f>ROUND(O41/K41-1,3)</f>
        <v>0.70199999999999996</v>
      </c>
      <c r="W41" s="249">
        <f>ROUND(P41/L41-1,3)</f>
        <v>0.51300000000000001</v>
      </c>
      <c r="X41" s="249">
        <f>ROUND(Q41/M41-1,3)</f>
        <v>0.17899999999999999</v>
      </c>
      <c r="Y41" s="249">
        <f>ROUND(R41/N41-1,3)</f>
        <v>2.8000000000000001E-2</v>
      </c>
      <c r="Z41" s="249">
        <f t="shared" si="7"/>
        <v>0.193</v>
      </c>
      <c r="AA41" s="72"/>
    </row>
    <row r="42" spans="1:27">
      <c r="A42" s="66"/>
      <c r="B42" s="55" t="s">
        <v>228</v>
      </c>
      <c r="C42" s="239">
        <f>C40+C41</f>
        <v>72300</v>
      </c>
      <c r="D42" s="239">
        <f>D40+D41</f>
        <v>130538</v>
      </c>
      <c r="E42" s="239">
        <f>E40+E41</f>
        <v>202290.82439985653</v>
      </c>
      <c r="F42" s="85"/>
      <c r="G42" s="88">
        <v>0.88700000000000001</v>
      </c>
      <c r="H42" s="88">
        <v>0.56583622426032099</v>
      </c>
      <c r="I42" s="93"/>
      <c r="J42" s="239">
        <f t="shared" ref="J42:R42" si="21">J40+J41</f>
        <v>12440</v>
      </c>
      <c r="K42" s="239">
        <f t="shared" si="21"/>
        <v>26822.222638824023</v>
      </c>
      <c r="L42" s="239">
        <f t="shared" si="21"/>
        <v>40786</v>
      </c>
      <c r="M42" s="239">
        <f t="shared" si="21"/>
        <v>50489</v>
      </c>
      <c r="N42" s="239">
        <f t="shared" si="21"/>
        <v>30640</v>
      </c>
      <c r="O42" s="239">
        <f t="shared" si="21"/>
        <v>46149.417297400578</v>
      </c>
      <c r="P42" s="239">
        <f t="shared" si="21"/>
        <v>57789</v>
      </c>
      <c r="Q42" s="239">
        <f t="shared" si="21"/>
        <v>67711.385160000049</v>
      </c>
      <c r="R42" s="239">
        <f t="shared" si="21"/>
        <v>46691.064674561996</v>
      </c>
      <c r="S42" s="239">
        <f t="shared" ref="S42" si="22">S40+S41</f>
        <v>61690.799599999962</v>
      </c>
      <c r="U42" s="88">
        <v>2.6920000000000002</v>
      </c>
      <c r="V42" s="88">
        <v>0.73099999999999998</v>
      </c>
      <c r="W42" s="69">
        <v>0.38300000000000001</v>
      </c>
      <c r="X42" s="69">
        <v>0.39452886134799137</v>
      </c>
      <c r="Y42" s="244">
        <f t="shared" ref="Y42:Z42" si="23">ROUND(R42/N42-1,3)</f>
        <v>0.52400000000000002</v>
      </c>
      <c r="Z42" s="244">
        <f t="shared" si="7"/>
        <v>0.33700000000000002</v>
      </c>
      <c r="AA42" s="72"/>
    </row>
    <row r="43" spans="1:27">
      <c r="A43" s="77" t="s">
        <v>239</v>
      </c>
      <c r="B43" s="56" t="s">
        <v>229</v>
      </c>
      <c r="C43" s="240">
        <f>-(C32+C37)</f>
        <v>-40426</v>
      </c>
      <c r="D43" s="240">
        <f>-(D32+D37)</f>
        <v>-69795</v>
      </c>
      <c r="E43" s="240">
        <f>-(E32+E37)</f>
        <v>-135083.26983875636</v>
      </c>
      <c r="F43" s="255"/>
      <c r="G43" s="76">
        <f>D43/C43-1</f>
        <v>0.72648790382427153</v>
      </c>
      <c r="H43" s="76">
        <f>E43/D43-1</f>
        <v>0.93542903988475334</v>
      </c>
      <c r="I43" s="93"/>
      <c r="J43" s="240">
        <f t="shared" ref="J43:S43" si="24">-(J32+J37)</f>
        <v>-12455</v>
      </c>
      <c r="K43" s="240">
        <f t="shared" si="24"/>
        <v>-17371.056229999958</v>
      </c>
      <c r="L43" s="240">
        <f t="shared" si="24"/>
        <v>-16608</v>
      </c>
      <c r="M43" s="240">
        <f t="shared" si="24"/>
        <v>-23361</v>
      </c>
      <c r="N43" s="240">
        <f t="shared" si="24"/>
        <v>-27908</v>
      </c>
      <c r="O43" s="240">
        <f t="shared" si="24"/>
        <v>-35714.520849999994</v>
      </c>
      <c r="P43" s="240">
        <f t="shared" si="24"/>
        <v>-35506</v>
      </c>
      <c r="Q43" s="240">
        <f t="shared" si="24"/>
        <v>-35955.177898756359</v>
      </c>
      <c r="R43" s="240">
        <f t="shared" si="24"/>
        <v>-37234.605629999998</v>
      </c>
      <c r="S43" s="240">
        <f t="shared" si="24"/>
        <v>-35773.565369999997</v>
      </c>
      <c r="U43" s="250">
        <f t="shared" ref="U43:Z51" si="25">ROUND(N43/J43-1,3)</f>
        <v>1.2410000000000001</v>
      </c>
      <c r="V43" s="250">
        <f t="shared" si="25"/>
        <v>1.056</v>
      </c>
      <c r="W43" s="250">
        <f t="shared" si="25"/>
        <v>1.1379999999999999</v>
      </c>
      <c r="X43" s="250">
        <f t="shared" si="25"/>
        <v>0.53900000000000003</v>
      </c>
      <c r="Y43" s="250">
        <f t="shared" si="25"/>
        <v>0.33400000000000002</v>
      </c>
      <c r="Z43" s="250">
        <f t="shared" si="7"/>
        <v>2E-3</v>
      </c>
      <c r="AA43" s="72"/>
    </row>
    <row r="44" spans="1:27">
      <c r="A44" s="77"/>
      <c r="B44" s="56" t="s">
        <v>206</v>
      </c>
      <c r="C44" s="74">
        <v>0</v>
      </c>
      <c r="D44" s="74">
        <v>0</v>
      </c>
      <c r="E44" s="74">
        <f>E18</f>
        <v>-977.71758909090897</v>
      </c>
      <c r="F44" s="255"/>
      <c r="G44" s="258">
        <v>0</v>
      </c>
      <c r="H44" s="258">
        <v>0</v>
      </c>
      <c r="I44" s="93"/>
      <c r="J44" s="74">
        <v>0</v>
      </c>
      <c r="K44" s="74">
        <v>0</v>
      </c>
      <c r="L44" s="74">
        <v>0</v>
      </c>
      <c r="M44" s="74">
        <v>0</v>
      </c>
      <c r="N44" s="74">
        <v>0</v>
      </c>
      <c r="O44" s="74">
        <v>0</v>
      </c>
      <c r="P44" s="74">
        <v>0</v>
      </c>
      <c r="Q44" s="74">
        <v>-978</v>
      </c>
      <c r="R44" s="74">
        <f>R18</f>
        <v>-1166.2677900000001</v>
      </c>
      <c r="S44" s="74">
        <f>S18</f>
        <v>-3342.7639199999999</v>
      </c>
      <c r="U44" s="256">
        <v>0</v>
      </c>
      <c r="V44" s="257">
        <v>0</v>
      </c>
      <c r="W44" s="257">
        <v>0</v>
      </c>
      <c r="X44" s="257">
        <v>0</v>
      </c>
      <c r="Y44" s="258">
        <v>0</v>
      </c>
      <c r="Z44" s="250" t="s">
        <v>22</v>
      </c>
      <c r="AA44" s="72"/>
    </row>
    <row r="45" spans="1:27">
      <c r="A45" s="73"/>
      <c r="B45" s="56" t="s">
        <v>77</v>
      </c>
      <c r="C45" s="74">
        <v>-37012</v>
      </c>
      <c r="D45" s="74">
        <v>-46986</v>
      </c>
      <c r="E45" s="74">
        <v>-75489.438315596999</v>
      </c>
      <c r="F45" s="255"/>
      <c r="G45" s="76">
        <f t="shared" ref="G45:H50" si="26">D45/C45-1</f>
        <v>0.26948016859396962</v>
      </c>
      <c r="H45" s="76">
        <f t="shared" si="26"/>
        <v>0.606636834708147</v>
      </c>
      <c r="I45" s="93"/>
      <c r="J45" s="74">
        <v>-10969</v>
      </c>
      <c r="K45" s="74">
        <v>-11897.66936</v>
      </c>
      <c r="L45" s="74">
        <v>-10483</v>
      </c>
      <c r="M45" s="74">
        <v>-13637</v>
      </c>
      <c r="N45" s="240">
        <v>-17274</v>
      </c>
      <c r="O45" s="74">
        <v>-13930.093449999998</v>
      </c>
      <c r="P45" s="74">
        <v>-18195</v>
      </c>
      <c r="Q45" s="74">
        <v>-26088.958885596989</v>
      </c>
      <c r="R45" s="240">
        <f>R19</f>
        <v>-30959.244320000002</v>
      </c>
      <c r="S45" s="240">
        <f>S19</f>
        <v>-60457.957829999999</v>
      </c>
      <c r="U45" s="250">
        <f t="shared" si="25"/>
        <v>0.57499999999999996</v>
      </c>
      <c r="V45" s="250">
        <f t="shared" si="25"/>
        <v>0.17100000000000001</v>
      </c>
      <c r="W45" s="250">
        <f t="shared" si="25"/>
        <v>0.73599999999999999</v>
      </c>
      <c r="X45" s="250">
        <f t="shared" si="25"/>
        <v>0.91300000000000003</v>
      </c>
      <c r="Y45" s="250">
        <f t="shared" si="25"/>
        <v>0.79200000000000004</v>
      </c>
      <c r="Z45" s="250">
        <f t="shared" si="25"/>
        <v>3.34</v>
      </c>
      <c r="AA45" s="72"/>
    </row>
    <row r="46" spans="1:27">
      <c r="A46" s="77" t="s">
        <v>240</v>
      </c>
      <c r="B46" s="56" t="s">
        <v>230</v>
      </c>
      <c r="C46" s="240">
        <f>-(C11+C17)</f>
        <v>17359</v>
      </c>
      <c r="D46" s="240">
        <f>-(D11+D17)</f>
        <v>24427</v>
      </c>
      <c r="E46" s="240">
        <f>-(E11+E17)</f>
        <v>57545.142908756352</v>
      </c>
      <c r="F46" s="255"/>
      <c r="G46" s="76">
        <f t="shared" si="26"/>
        <v>0.40716631142346915</v>
      </c>
      <c r="H46" s="76">
        <f t="shared" si="26"/>
        <v>1.3558006676528578</v>
      </c>
      <c r="I46" s="93"/>
      <c r="J46" s="240">
        <f t="shared" ref="J46:Q46" si="27">-(J11+J17)</f>
        <v>5013</v>
      </c>
      <c r="K46" s="240">
        <f t="shared" si="27"/>
        <v>5728.6757099999668</v>
      </c>
      <c r="L46" s="240">
        <f t="shared" si="27"/>
        <v>4789</v>
      </c>
      <c r="M46" s="240">
        <f t="shared" si="27"/>
        <v>8896</v>
      </c>
      <c r="N46" s="240">
        <f t="shared" si="27"/>
        <v>8505</v>
      </c>
      <c r="O46" s="240">
        <f t="shared" si="27"/>
        <v>15708.205689999992</v>
      </c>
      <c r="P46" s="240">
        <f t="shared" si="27"/>
        <v>16409</v>
      </c>
      <c r="Q46" s="240">
        <f t="shared" si="27"/>
        <v>16923.384418756355</v>
      </c>
      <c r="R46" s="240">
        <f>R22</f>
        <v>1142.1325099999999</v>
      </c>
      <c r="S46" s="240">
        <f>S22</f>
        <v>-1997</v>
      </c>
      <c r="U46" s="250">
        <f t="shared" si="25"/>
        <v>0.69699999999999995</v>
      </c>
      <c r="V46" s="250">
        <f t="shared" si="25"/>
        <v>1.742</v>
      </c>
      <c r="W46" s="250">
        <f t="shared" si="25"/>
        <v>2.4260000000000002</v>
      </c>
      <c r="X46" s="250">
        <f t="shared" si="25"/>
        <v>0.90200000000000002</v>
      </c>
      <c r="Y46" s="250">
        <f t="shared" si="25"/>
        <v>-0.86599999999999999</v>
      </c>
      <c r="Z46" s="249">
        <f t="shared" si="25"/>
        <v>-1.127</v>
      </c>
      <c r="AA46" s="72"/>
    </row>
    <row r="47" spans="1:27">
      <c r="A47" s="73"/>
      <c r="B47" s="56" t="s">
        <v>78</v>
      </c>
      <c r="C47" s="74">
        <v>5432</v>
      </c>
      <c r="D47" s="74">
        <v>10320</v>
      </c>
      <c r="E47" s="74">
        <v>9645.2193202241724</v>
      </c>
      <c r="F47" s="255"/>
      <c r="G47" s="76">
        <f t="shared" si="26"/>
        <v>0.89985272459499255</v>
      </c>
      <c r="H47" s="76">
        <f t="shared" si="26"/>
        <v>-6.538572478447946E-2</v>
      </c>
      <c r="I47" s="93"/>
      <c r="J47" s="74">
        <v>4696</v>
      </c>
      <c r="K47" s="74">
        <v>-1125.8602190190113</v>
      </c>
      <c r="L47" s="74">
        <v>-3637</v>
      </c>
      <c r="M47" s="74">
        <v>10387</v>
      </c>
      <c r="N47" s="240">
        <v>5647</v>
      </c>
      <c r="O47" s="74">
        <v>4774.7634300000009</v>
      </c>
      <c r="P47" s="74">
        <v>-2830</v>
      </c>
      <c r="Q47" s="74">
        <v>2053.257330224169</v>
      </c>
      <c r="R47" s="240">
        <f>-(R11+R17)</f>
        <v>17538.558789999999</v>
      </c>
      <c r="S47" s="240">
        <f>-(S11+S17)</f>
        <v>16184.53801</v>
      </c>
      <c r="U47" s="249">
        <f>ROUND(N47/J47-1,3)</f>
        <v>0.20300000000000001</v>
      </c>
      <c r="V47" s="249" t="s">
        <v>22</v>
      </c>
      <c r="W47" s="249">
        <f>ROUND(P47/L47-1,3)</f>
        <v>-0.222</v>
      </c>
      <c r="X47" s="249">
        <f>ROUND(Q47/M47-1,3)</f>
        <v>-0.80200000000000005</v>
      </c>
      <c r="Y47" s="249">
        <f>ROUND(R47/N47-1,3)</f>
        <v>2.1059999999999999</v>
      </c>
      <c r="Z47" s="250">
        <f t="shared" si="25"/>
        <v>2.39</v>
      </c>
      <c r="AA47" s="72"/>
    </row>
    <row r="48" spans="1:27">
      <c r="A48" s="77"/>
      <c r="B48" s="56" t="s">
        <v>221</v>
      </c>
      <c r="C48" s="74">
        <v>0</v>
      </c>
      <c r="D48" s="74">
        <v>0</v>
      </c>
      <c r="E48" s="74">
        <v>0</v>
      </c>
      <c r="F48" s="255"/>
      <c r="G48" s="83">
        <v>0</v>
      </c>
      <c r="H48" s="83">
        <v>0</v>
      </c>
      <c r="I48" s="93"/>
      <c r="J48" s="74">
        <v>0</v>
      </c>
      <c r="K48" s="74">
        <v>0</v>
      </c>
      <c r="L48" s="74">
        <v>0</v>
      </c>
      <c r="M48" s="74">
        <v>0</v>
      </c>
      <c r="N48" s="240">
        <v>0</v>
      </c>
      <c r="O48" s="74">
        <v>0</v>
      </c>
      <c r="P48" s="74">
        <v>0</v>
      </c>
      <c r="Q48" s="74">
        <v>0</v>
      </c>
      <c r="R48" s="240">
        <v>2220.8769700000003</v>
      </c>
      <c r="S48" s="240"/>
      <c r="U48" s="256">
        <v>0</v>
      </c>
      <c r="V48" s="257">
        <v>0</v>
      </c>
      <c r="W48" s="257">
        <v>0</v>
      </c>
      <c r="X48" s="257">
        <v>0</v>
      </c>
      <c r="Y48" s="258">
        <v>0</v>
      </c>
      <c r="Z48" s="258">
        <v>0</v>
      </c>
      <c r="AA48" s="72"/>
    </row>
    <row r="49" spans="1:27" ht="20">
      <c r="A49" s="77"/>
      <c r="B49" s="332" t="s">
        <v>250</v>
      </c>
      <c r="C49" s="74"/>
      <c r="D49" s="74"/>
      <c r="E49" s="74"/>
      <c r="F49" s="255"/>
      <c r="G49" s="83"/>
      <c r="H49" s="83"/>
      <c r="I49" s="93"/>
      <c r="J49" s="74"/>
      <c r="K49" s="74"/>
      <c r="L49" s="74"/>
      <c r="M49" s="74"/>
      <c r="N49" s="240"/>
      <c r="O49" s="74"/>
      <c r="P49" s="74"/>
      <c r="Q49" s="74"/>
      <c r="R49" s="240">
        <v>-3697</v>
      </c>
      <c r="S49" s="240">
        <v>26664</v>
      </c>
      <c r="U49" s="256"/>
      <c r="V49" s="257"/>
      <c r="W49" s="257"/>
      <c r="X49" s="257"/>
      <c r="Y49" s="258"/>
      <c r="Z49" s="256">
        <v>0</v>
      </c>
      <c r="AA49" s="72"/>
    </row>
    <row r="50" spans="1:27">
      <c r="A50" s="77"/>
      <c r="B50" s="56" t="s">
        <v>231</v>
      </c>
      <c r="C50" s="240">
        <f>-C38*0.34</f>
        <v>-2529.6000000000004</v>
      </c>
      <c r="D50" s="240">
        <f>-D38*0.34</f>
        <v>-5796.6600000000008</v>
      </c>
      <c r="E50" s="240">
        <f>-E38*0.34</f>
        <v>-6204.1531585508601</v>
      </c>
      <c r="F50" s="255"/>
      <c r="G50" s="76">
        <f t="shared" si="26"/>
        <v>1.2915322580645161</v>
      </c>
      <c r="H50" s="76">
        <f t="shared" si="26"/>
        <v>7.0297923036862553E-2</v>
      </c>
      <c r="I50" s="93"/>
      <c r="J50" s="240">
        <f t="shared" ref="J50:R50" si="28">-J38*0.34</f>
        <v>-1211.0800000000002</v>
      </c>
      <c r="K50" s="240">
        <f t="shared" si="28"/>
        <v>-1502.6657459</v>
      </c>
      <c r="L50" s="240">
        <f t="shared" si="28"/>
        <v>-986.34</v>
      </c>
      <c r="M50" s="240">
        <f t="shared" si="28"/>
        <v>-2096.7800000000002</v>
      </c>
      <c r="N50" s="240">
        <f t="shared" si="28"/>
        <v>-3296.98</v>
      </c>
      <c r="O50" s="240">
        <f t="shared" si="28"/>
        <v>593.74324856997202</v>
      </c>
      <c r="P50" s="240">
        <f t="shared" si="28"/>
        <v>-537.20000000000005</v>
      </c>
      <c r="Q50" s="240">
        <f t="shared" si="28"/>
        <v>-2963.7555234000019</v>
      </c>
      <c r="R50" s="240">
        <f t="shared" si="28"/>
        <v>-2811.6590324737576</v>
      </c>
      <c r="S50" s="240">
        <f>-S39*0.34</f>
        <v>4797.7400000000007</v>
      </c>
      <c r="T50" s="72"/>
      <c r="U50" s="89">
        <v>1.7230000000000001</v>
      </c>
      <c r="V50" s="79" t="s">
        <v>22</v>
      </c>
      <c r="W50" s="79">
        <v>-0.45400000000000001</v>
      </c>
      <c r="X50" s="79">
        <v>0.41404222289968629</v>
      </c>
      <c r="Y50" s="249">
        <f>ROUND(R50/N50-1,3)</f>
        <v>-0.14699999999999999</v>
      </c>
      <c r="Z50" s="249">
        <f t="shared" si="25"/>
        <v>7.08</v>
      </c>
    </row>
    <row r="51" spans="1:27">
      <c r="A51" s="77"/>
      <c r="B51" s="90" t="s">
        <v>79</v>
      </c>
      <c r="C51" s="242">
        <f>SUM(C42:C50)</f>
        <v>15123.4</v>
      </c>
      <c r="D51" s="242">
        <f>SUM(D42:D50)</f>
        <v>42707.34</v>
      </c>
      <c r="E51" s="242">
        <f>SUM(E42:E50)</f>
        <v>51726.607726841918</v>
      </c>
      <c r="F51" s="91"/>
      <c r="G51" s="92">
        <f>D51/C51-1</f>
        <v>1.8239245143287883</v>
      </c>
      <c r="H51" s="92">
        <f>E51/D51-1</f>
        <v>0.21118776601029055</v>
      </c>
      <c r="I51" s="93"/>
      <c r="J51" s="242">
        <f t="shared" ref="J51:S51" si="29">SUM(J42:J50)</f>
        <v>-2486.08</v>
      </c>
      <c r="K51" s="242">
        <f t="shared" si="29"/>
        <v>653.64679390502056</v>
      </c>
      <c r="L51" s="242">
        <f t="shared" si="29"/>
        <v>13860.66</v>
      </c>
      <c r="M51" s="242">
        <f t="shared" si="29"/>
        <v>30677.22</v>
      </c>
      <c r="N51" s="242">
        <f t="shared" si="29"/>
        <v>-3686.98</v>
      </c>
      <c r="O51" s="242">
        <f t="shared" si="29"/>
        <v>17581.51536597055</v>
      </c>
      <c r="P51" s="242">
        <f t="shared" si="29"/>
        <v>17129.8</v>
      </c>
      <c r="Q51" s="242">
        <f t="shared" si="29"/>
        <v>20702.134601227222</v>
      </c>
      <c r="R51" s="242">
        <f t="shared" si="29"/>
        <v>-8276.1438279117647</v>
      </c>
      <c r="S51" s="242">
        <f t="shared" si="29"/>
        <v>7765.7904899999621</v>
      </c>
      <c r="U51" s="252">
        <f t="shared" ref="U51:Z51" si="30">ROUND(N51/J51-1,3)</f>
        <v>0.48299999999999998</v>
      </c>
      <c r="V51" s="252">
        <f t="shared" si="30"/>
        <v>25.898</v>
      </c>
      <c r="W51" s="252">
        <f t="shared" si="30"/>
        <v>0.23599999999999999</v>
      </c>
      <c r="X51" s="252">
        <f t="shared" si="30"/>
        <v>-0.32500000000000001</v>
      </c>
      <c r="Y51" s="252">
        <f t="shared" si="30"/>
        <v>1.2450000000000001</v>
      </c>
      <c r="Z51" s="252">
        <f t="shared" si="25"/>
        <v>-0.55800000000000005</v>
      </c>
    </row>
    <row r="53" spans="1:27">
      <c r="A53" s="1" t="s">
        <v>232</v>
      </c>
    </row>
  </sheetData>
  <pageMargins left="0.511811024" right="0.511811024" top="0.78740157499999996" bottom="0.78740157499999996" header="0.31496062000000002" footer="0.31496062000000002"/>
  <pageSetup paperSize="9" orientation="portrait" horizontalDpi="300" verticalDpi="300" r:id="rId1"/>
  <ignoredErrors>
    <ignoredError sqref="S1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769C6-84DF-4338-B203-9647BBDEA4D9}">
  <dimension ref="A1:AB59"/>
  <sheetViews>
    <sheetView showGridLines="0" zoomScaleNormal="100" workbookViewId="0">
      <pane xSplit="1" ySplit="4" topLeftCell="B5" activePane="bottomRight" state="frozen"/>
      <selection pane="topRight" activeCell="B1" sqref="B1"/>
      <selection pane="bottomLeft" activeCell="A5" sqref="A5"/>
      <selection pane="bottomRight" activeCell="A2" sqref="A2"/>
    </sheetView>
  </sheetViews>
  <sheetFormatPr defaultColWidth="9.1796875" defaultRowHeight="10"/>
  <cols>
    <col min="1" max="1" width="69.81640625" style="183" bestFit="1" customWidth="1"/>
    <col min="2" max="5" width="11.54296875" style="183" customWidth="1"/>
    <col min="6" max="6" width="2.54296875" style="183" customWidth="1"/>
    <col min="7" max="9" width="11.54296875" style="183" customWidth="1"/>
    <col min="10" max="10" width="9.1796875" style="183"/>
    <col min="11" max="20" width="11.54296875" style="183" customWidth="1"/>
    <col min="21" max="21" width="2.54296875" style="183" customWidth="1"/>
    <col min="22" max="22" width="10.81640625" style="183" customWidth="1"/>
    <col min="23" max="23" width="11.54296875" style="183" bestFit="1" customWidth="1"/>
    <col min="24" max="27" width="10.81640625" style="183" customWidth="1"/>
    <col min="28" max="16384" width="9.1796875" style="183"/>
  </cols>
  <sheetData>
    <row r="1" spans="1:27" ht="55.5" customHeight="1"/>
    <row r="2" spans="1:27">
      <c r="A2" s="186"/>
      <c r="B2" s="195"/>
      <c r="C2" s="195"/>
      <c r="D2" s="188"/>
      <c r="G2" s="187" t="s">
        <v>233</v>
      </c>
      <c r="H2" s="187" t="s">
        <v>233</v>
      </c>
      <c r="I2" s="187" t="s">
        <v>233</v>
      </c>
      <c r="V2" s="187" t="s">
        <v>233</v>
      </c>
      <c r="W2" s="187" t="s">
        <v>233</v>
      </c>
      <c r="X2" s="187" t="s">
        <v>233</v>
      </c>
      <c r="Y2" s="187" t="s">
        <v>233</v>
      </c>
      <c r="Z2" s="306" t="s">
        <v>233</v>
      </c>
      <c r="AA2" s="306" t="s">
        <v>233</v>
      </c>
    </row>
    <row r="3" spans="1:27">
      <c r="A3" s="4" t="s">
        <v>111</v>
      </c>
      <c r="B3" s="5">
        <v>2018</v>
      </c>
      <c r="C3" s="5">
        <v>2019</v>
      </c>
      <c r="D3" s="5">
        <v>2020</v>
      </c>
      <c r="E3" s="5">
        <v>2021</v>
      </c>
      <c r="F3" s="42"/>
      <c r="G3" s="5">
        <v>2019</v>
      </c>
      <c r="H3" s="5">
        <v>2020</v>
      </c>
      <c r="I3" s="5">
        <v>2021</v>
      </c>
      <c r="J3" s="189"/>
      <c r="K3" s="5" t="s">
        <v>30</v>
      </c>
      <c r="L3" s="5" t="s">
        <v>31</v>
      </c>
      <c r="M3" s="5" t="s">
        <v>32</v>
      </c>
      <c r="N3" s="5" t="s">
        <v>33</v>
      </c>
      <c r="O3" s="5" t="s">
        <v>34</v>
      </c>
      <c r="P3" s="5" t="s">
        <v>35</v>
      </c>
      <c r="Q3" s="5" t="s">
        <v>194</v>
      </c>
      <c r="R3" s="5" t="s">
        <v>200</v>
      </c>
      <c r="S3" s="211" t="s">
        <v>213</v>
      </c>
      <c r="T3" s="211" t="s">
        <v>241</v>
      </c>
      <c r="V3" s="5" t="s">
        <v>34</v>
      </c>
      <c r="W3" s="5" t="s">
        <v>35</v>
      </c>
      <c r="X3" s="5" t="s">
        <v>194</v>
      </c>
      <c r="Y3" s="5" t="s">
        <v>200</v>
      </c>
      <c r="Z3" s="211" t="s">
        <v>213</v>
      </c>
      <c r="AA3" s="211" t="s">
        <v>241</v>
      </c>
    </row>
    <row r="4" spans="1:27" ht="5.15" customHeight="1">
      <c r="K4" s="190"/>
      <c r="O4" s="190"/>
      <c r="S4" s="277"/>
      <c r="T4" s="277"/>
      <c r="Z4" s="277"/>
      <c r="AA4" s="277"/>
    </row>
    <row r="5" spans="1:27">
      <c r="A5" s="44" t="s">
        <v>83</v>
      </c>
      <c r="B5" s="195">
        <v>362433</v>
      </c>
      <c r="C5" s="195">
        <v>527263</v>
      </c>
      <c r="D5" s="195">
        <v>998109</v>
      </c>
      <c r="E5" s="195">
        <v>1520357</v>
      </c>
      <c r="G5" s="196">
        <v>0.45500000000000002</v>
      </c>
      <c r="H5" s="196">
        <v>0.89300000000000002</v>
      </c>
      <c r="I5" s="196">
        <v>0.52300000000000002</v>
      </c>
      <c r="K5" s="197">
        <v>165286</v>
      </c>
      <c r="L5" s="195">
        <v>211215</v>
      </c>
      <c r="M5" s="195">
        <v>277543</v>
      </c>
      <c r="N5" s="195">
        <v>344066</v>
      </c>
      <c r="O5" s="197">
        <v>326440</v>
      </c>
      <c r="P5" s="195">
        <v>368886</v>
      </c>
      <c r="Q5" s="195">
        <v>374167</v>
      </c>
      <c r="R5" s="195">
        <v>450864</v>
      </c>
      <c r="S5" s="268">
        <v>449139.6932808999</v>
      </c>
      <c r="T5" s="268">
        <v>496445.83783147502</v>
      </c>
      <c r="V5" s="196">
        <v>0.97499999999999998</v>
      </c>
      <c r="W5" s="196">
        <v>0.746</v>
      </c>
      <c r="X5" s="196">
        <v>0.34799999999999998</v>
      </c>
      <c r="Y5" s="196">
        <v>0.31</v>
      </c>
      <c r="Z5" s="264">
        <f>ROUND(S5/O5-1,3)</f>
        <v>0.376</v>
      </c>
      <c r="AA5" s="264">
        <f>ROUND(T5/P5-1,3)</f>
        <v>0.34599999999999997</v>
      </c>
    </row>
    <row r="6" spans="1:27">
      <c r="A6" s="44" t="s">
        <v>84</v>
      </c>
      <c r="B6" s="195">
        <v>-290318</v>
      </c>
      <c r="C6" s="195">
        <v>-422652</v>
      </c>
      <c r="D6" s="195">
        <v>-782679</v>
      </c>
      <c r="E6" s="195">
        <v>-1253942</v>
      </c>
      <c r="G6" s="196">
        <v>0.45600000000000002</v>
      </c>
      <c r="H6" s="196">
        <v>0.85199999999999998</v>
      </c>
      <c r="I6" s="196">
        <v>0.60199999999999998</v>
      </c>
      <c r="K6" s="197">
        <v>-134473</v>
      </c>
      <c r="L6" s="195">
        <v>-167213</v>
      </c>
      <c r="M6" s="195">
        <v>-214624</v>
      </c>
      <c r="N6" s="195">
        <v>-266369</v>
      </c>
      <c r="O6" s="197">
        <v>-271344</v>
      </c>
      <c r="P6" s="195">
        <v>-310800</v>
      </c>
      <c r="Q6" s="195">
        <v>-306692</v>
      </c>
      <c r="R6" s="195">
        <v>-365106</v>
      </c>
      <c r="S6" s="268">
        <v>-367615</v>
      </c>
      <c r="T6" s="268">
        <v>-406227</v>
      </c>
      <c r="V6" s="196">
        <v>1.018</v>
      </c>
      <c r="W6" s="196">
        <v>0.85899999999999999</v>
      </c>
      <c r="X6" s="196">
        <v>0.42899999999999999</v>
      </c>
      <c r="Y6" s="196">
        <v>0.371</v>
      </c>
      <c r="Z6" s="264">
        <f>ROUND(S6/O6-1,3)</f>
        <v>0.35499999999999998</v>
      </c>
      <c r="AA6" s="264">
        <f>ROUND(T6/P6-1,3)</f>
        <v>0.307</v>
      </c>
    </row>
    <row r="7" spans="1:27" ht="5.15" customHeight="1">
      <c r="B7" s="195"/>
      <c r="C7" s="195"/>
      <c r="D7" s="195"/>
      <c r="E7" s="195"/>
      <c r="G7" s="196"/>
      <c r="H7" s="196"/>
      <c r="I7" s="196"/>
      <c r="K7" s="197"/>
      <c r="L7" s="195"/>
      <c r="M7" s="195"/>
      <c r="N7" s="195"/>
      <c r="O7" s="197"/>
      <c r="P7" s="195"/>
      <c r="Q7" s="195"/>
      <c r="R7" s="195"/>
      <c r="S7" s="268"/>
      <c r="T7" s="268"/>
      <c r="V7" s="196"/>
      <c r="W7" s="196"/>
      <c r="X7" s="196"/>
      <c r="Y7" s="196"/>
      <c r="Z7" s="264"/>
      <c r="AA7" s="264"/>
    </row>
    <row r="8" spans="1:27">
      <c r="A8" s="18" t="s">
        <v>85</v>
      </c>
      <c r="B8" s="200">
        <v>72115</v>
      </c>
      <c r="C8" s="200">
        <v>104611</v>
      </c>
      <c r="D8" s="200">
        <v>215430</v>
      </c>
      <c r="E8" s="200">
        <v>266415</v>
      </c>
      <c r="G8" s="201">
        <v>0.45100000000000001</v>
      </c>
      <c r="H8" s="201">
        <v>1.0589999999999999</v>
      </c>
      <c r="I8" s="201">
        <v>0.23699999999999999</v>
      </c>
      <c r="K8" s="202">
        <v>30813</v>
      </c>
      <c r="L8" s="200">
        <v>44002</v>
      </c>
      <c r="M8" s="200">
        <v>62919</v>
      </c>
      <c r="N8" s="200">
        <v>77696</v>
      </c>
      <c r="O8" s="202">
        <v>55096</v>
      </c>
      <c r="P8" s="200">
        <v>58086</v>
      </c>
      <c r="Q8" s="200">
        <v>67475</v>
      </c>
      <c r="R8" s="271">
        <f>SUM(R5:R6)</f>
        <v>85758</v>
      </c>
      <c r="S8" s="271">
        <f>SUM(S5:S6)</f>
        <v>81524.693280899897</v>
      </c>
      <c r="T8" s="271">
        <f>SUM(T5:T6)</f>
        <v>90218.837831475015</v>
      </c>
      <c r="V8" s="201">
        <v>0.78800000000000003</v>
      </c>
      <c r="W8" s="201">
        <v>0.32</v>
      </c>
      <c r="X8" s="201">
        <v>7.1999999999999995E-2</v>
      </c>
      <c r="Y8" s="201">
        <v>0.104</v>
      </c>
      <c r="Z8" s="265">
        <f>ROUND(S8/O8-1,3)</f>
        <v>0.48</v>
      </c>
      <c r="AA8" s="265">
        <f>ROUND(T8/P8-1,3)</f>
        <v>0.55300000000000005</v>
      </c>
    </row>
    <row r="9" spans="1:27" ht="5.15" customHeight="1">
      <c r="B9" s="195"/>
      <c r="C9" s="195"/>
      <c r="D9" s="195"/>
      <c r="E9" s="195"/>
      <c r="G9" s="196"/>
      <c r="H9" s="196"/>
      <c r="I9" s="196"/>
      <c r="K9" s="197"/>
      <c r="L9" s="195"/>
      <c r="M9" s="195"/>
      <c r="N9" s="195"/>
      <c r="O9" s="197"/>
      <c r="P9" s="195"/>
      <c r="Q9" s="195"/>
      <c r="R9" s="195"/>
      <c r="S9" s="268"/>
      <c r="T9" s="268"/>
      <c r="V9" s="196"/>
      <c r="W9" s="196"/>
      <c r="X9" s="196"/>
      <c r="Y9" s="196"/>
      <c r="Z9" s="264"/>
      <c r="AA9" s="264"/>
    </row>
    <row r="10" spans="1:27">
      <c r="A10" s="44" t="s">
        <v>86</v>
      </c>
      <c r="B10" s="307">
        <v>-55631</v>
      </c>
      <c r="C10" s="307">
        <v>-80177</v>
      </c>
      <c r="D10" s="307">
        <v>-171736</v>
      </c>
      <c r="E10" s="307">
        <v>-218432</v>
      </c>
      <c r="G10" s="308">
        <v>0.441</v>
      </c>
      <c r="H10" s="308">
        <v>1.1419999999999999</v>
      </c>
      <c r="I10" s="308">
        <v>0.27200000000000002</v>
      </c>
      <c r="K10" s="309">
        <v>-34389</v>
      </c>
      <c r="L10" s="307">
        <v>-38970</v>
      </c>
      <c r="M10" s="307">
        <v>-41642</v>
      </c>
      <c r="N10" s="307">
        <v>-56735</v>
      </c>
      <c r="O10" s="309">
        <v>-62060</v>
      </c>
      <c r="P10" s="307">
        <v>-45905</v>
      </c>
      <c r="Q10" s="307">
        <v>-46772</v>
      </c>
      <c r="R10" s="307">
        <v>-63695</v>
      </c>
      <c r="S10" s="269">
        <f>SUM(S11:S13)</f>
        <v>-81504</v>
      </c>
      <c r="T10" s="269">
        <f>SUM(T11:T13)</f>
        <v>-53533</v>
      </c>
      <c r="V10" s="308">
        <v>0.80500000000000005</v>
      </c>
      <c r="W10" s="308">
        <v>0.17799999999999999</v>
      </c>
      <c r="X10" s="308">
        <v>0.123</v>
      </c>
      <c r="Y10" s="308">
        <v>0.123</v>
      </c>
      <c r="Z10" s="266">
        <f t="shared" ref="Z10:AA12" si="0">ROUND(S10/O10-1,3)</f>
        <v>0.313</v>
      </c>
      <c r="AA10" s="266">
        <f t="shared" si="0"/>
        <v>0.16600000000000001</v>
      </c>
    </row>
    <row r="11" spans="1:27">
      <c r="A11" s="47" t="s">
        <v>87</v>
      </c>
      <c r="B11" s="195">
        <v>-59386</v>
      </c>
      <c r="C11" s="195">
        <v>-83202</v>
      </c>
      <c r="D11" s="195">
        <v>-178387</v>
      </c>
      <c r="E11" s="195">
        <v>-252279</v>
      </c>
      <c r="G11" s="196">
        <v>0.40100000000000002</v>
      </c>
      <c r="H11" s="196">
        <v>1.1439999999999999</v>
      </c>
      <c r="I11" s="196">
        <v>0.41399999999999998</v>
      </c>
      <c r="K11" s="197">
        <v>-35552</v>
      </c>
      <c r="L11" s="195">
        <v>-43091</v>
      </c>
      <c r="M11" s="195">
        <v>-42488</v>
      </c>
      <c r="N11" s="195">
        <v>-57256</v>
      </c>
      <c r="O11" s="197">
        <v>-58077</v>
      </c>
      <c r="P11" s="195">
        <v>-75062</v>
      </c>
      <c r="Q11" s="195">
        <v>-50315</v>
      </c>
      <c r="R11" s="195">
        <v>-68825</v>
      </c>
      <c r="S11" s="268">
        <v>-93184</v>
      </c>
      <c r="T11" s="268">
        <v>-77096</v>
      </c>
      <c r="V11" s="196">
        <v>0.63400000000000001</v>
      </c>
      <c r="W11" s="196">
        <v>0.74199999999999999</v>
      </c>
      <c r="X11" s="196">
        <v>0.184</v>
      </c>
      <c r="Y11" s="196">
        <v>0.20200000000000001</v>
      </c>
      <c r="Z11" s="264">
        <f t="shared" si="0"/>
        <v>0.60399999999999998</v>
      </c>
      <c r="AA11" s="264">
        <f t="shared" si="0"/>
        <v>2.7E-2</v>
      </c>
    </row>
    <row r="12" spans="1:27">
      <c r="A12" s="23" t="s">
        <v>88</v>
      </c>
      <c r="B12" s="195">
        <v>3755</v>
      </c>
      <c r="C12" s="195">
        <v>3025</v>
      </c>
      <c r="D12" s="195">
        <v>6651</v>
      </c>
      <c r="E12" s="195">
        <v>34824</v>
      </c>
      <c r="G12" s="196">
        <v>-0.19400000000000001</v>
      </c>
      <c r="H12" s="196">
        <v>1.1990000000000001</v>
      </c>
      <c r="I12" s="196">
        <v>4.2359999999999998</v>
      </c>
      <c r="K12" s="197">
        <v>1163</v>
      </c>
      <c r="L12" s="195">
        <v>4121</v>
      </c>
      <c r="M12" s="195">
        <v>846</v>
      </c>
      <c r="N12" s="195">
        <v>521</v>
      </c>
      <c r="O12" s="197">
        <v>-3983</v>
      </c>
      <c r="P12" s="195">
        <v>29157</v>
      </c>
      <c r="Q12" s="195">
        <v>3543</v>
      </c>
      <c r="R12" s="195">
        <v>6107</v>
      </c>
      <c r="S12" s="268">
        <v>12846</v>
      </c>
      <c r="T12" s="268">
        <v>26906</v>
      </c>
      <c r="V12" s="196">
        <v>-4.4249999999999998</v>
      </c>
      <c r="W12" s="276" t="s">
        <v>22</v>
      </c>
      <c r="X12" s="196">
        <v>3.1880000000000002</v>
      </c>
      <c r="Y12" s="196">
        <v>10.722</v>
      </c>
      <c r="Z12" s="267" t="s">
        <v>22</v>
      </c>
      <c r="AA12" s="264">
        <f t="shared" si="0"/>
        <v>-7.6999999999999999E-2</v>
      </c>
    </row>
    <row r="13" spans="1:27">
      <c r="A13" s="23" t="s">
        <v>206</v>
      </c>
      <c r="B13" s="195">
        <v>0</v>
      </c>
      <c r="C13" s="195">
        <v>0</v>
      </c>
      <c r="D13" s="195">
        <v>0</v>
      </c>
      <c r="E13" s="195">
        <v>-977</v>
      </c>
      <c r="G13" s="196">
        <v>0</v>
      </c>
      <c r="H13" s="196">
        <v>0</v>
      </c>
      <c r="I13" s="276" t="s">
        <v>22</v>
      </c>
      <c r="K13" s="197">
        <v>0</v>
      </c>
      <c r="L13" s="195">
        <v>0</v>
      </c>
      <c r="M13" s="195">
        <v>0</v>
      </c>
      <c r="N13" s="195">
        <v>0</v>
      </c>
      <c r="O13" s="197">
        <v>0</v>
      </c>
      <c r="P13" s="195">
        <v>0</v>
      </c>
      <c r="Q13" s="195">
        <v>0</v>
      </c>
      <c r="R13" s="195">
        <v>-977</v>
      </c>
      <c r="S13" s="268">
        <v>-1166</v>
      </c>
      <c r="T13" s="268">
        <v>-3343</v>
      </c>
      <c r="V13" s="196">
        <v>0</v>
      </c>
      <c r="W13" s="310">
        <v>0</v>
      </c>
      <c r="X13" s="196">
        <v>0</v>
      </c>
      <c r="Y13" s="276" t="s">
        <v>22</v>
      </c>
      <c r="Z13" s="267" t="s">
        <v>22</v>
      </c>
      <c r="AA13" s="267" t="s">
        <v>22</v>
      </c>
    </row>
    <row r="14" spans="1:27" ht="5.15" customHeight="1">
      <c r="B14" s="195"/>
      <c r="C14" s="195"/>
      <c r="D14" s="195"/>
      <c r="E14" s="195"/>
      <c r="G14" s="196"/>
      <c r="H14" s="196"/>
      <c r="I14" s="196"/>
      <c r="K14" s="197"/>
      <c r="L14" s="195"/>
      <c r="M14" s="195"/>
      <c r="N14" s="195"/>
      <c r="O14" s="197"/>
      <c r="P14" s="195"/>
      <c r="Q14" s="195"/>
      <c r="R14" s="195"/>
      <c r="S14" s="268"/>
      <c r="T14" s="268"/>
      <c r="V14" s="196"/>
      <c r="W14" s="196"/>
      <c r="X14" s="196"/>
      <c r="Y14" s="196"/>
      <c r="Z14" s="264"/>
      <c r="AA14" s="264"/>
    </row>
    <row r="15" spans="1:27">
      <c r="A15" s="18" t="s">
        <v>89</v>
      </c>
      <c r="B15" s="200">
        <v>16484</v>
      </c>
      <c r="C15" s="200">
        <v>24434</v>
      </c>
      <c r="D15" s="200">
        <v>43694</v>
      </c>
      <c r="E15" s="200">
        <v>47983</v>
      </c>
      <c r="G15" s="201">
        <v>0.48199999999999998</v>
      </c>
      <c r="H15" s="201">
        <v>0.78800000000000003</v>
      </c>
      <c r="I15" s="201">
        <v>9.8000000000000004E-2</v>
      </c>
      <c r="K15" s="202">
        <v>-3576</v>
      </c>
      <c r="L15" s="200">
        <v>5032</v>
      </c>
      <c r="M15" s="200">
        <v>21277</v>
      </c>
      <c r="N15" s="200">
        <v>20961</v>
      </c>
      <c r="O15" s="202">
        <v>-6964</v>
      </c>
      <c r="P15" s="200">
        <v>12181</v>
      </c>
      <c r="Q15" s="200">
        <v>20703</v>
      </c>
      <c r="R15" s="200">
        <v>22063</v>
      </c>
      <c r="S15" s="271">
        <f>SUM(S8,S10)</f>
        <v>20.693280899897218</v>
      </c>
      <c r="T15" s="271">
        <f>SUM(T8,T10)</f>
        <v>36685.837831475015</v>
      </c>
      <c r="V15" s="201">
        <v>0.94699999999999995</v>
      </c>
      <c r="W15" s="201">
        <v>1.421</v>
      </c>
      <c r="X15" s="201">
        <v>-2.7E-2</v>
      </c>
      <c r="Y15" s="201">
        <v>5.2999999999999999E-2</v>
      </c>
      <c r="Z15" s="265">
        <f>ROUND(S15/O15-1,3)</f>
        <v>-1.0029999999999999</v>
      </c>
      <c r="AA15" s="265">
        <f>ROUND(T15/P15-1,3)</f>
        <v>2.012</v>
      </c>
    </row>
    <row r="16" spans="1:27" ht="5.15" customHeight="1">
      <c r="A16" s="1"/>
      <c r="B16" s="195"/>
      <c r="C16" s="195"/>
      <c r="D16" s="195"/>
      <c r="E16" s="195"/>
      <c r="G16" s="196"/>
      <c r="H16" s="196"/>
      <c r="I16" s="196"/>
      <c r="K16" s="197"/>
      <c r="L16" s="195"/>
      <c r="M16" s="195"/>
      <c r="N16" s="195"/>
      <c r="O16" s="197"/>
      <c r="P16" s="195"/>
      <c r="Q16" s="195"/>
      <c r="R16" s="195"/>
      <c r="S16" s="268"/>
      <c r="T16" s="268"/>
      <c r="V16" s="196"/>
      <c r="W16" s="196"/>
      <c r="X16" s="196"/>
      <c r="Y16" s="196"/>
      <c r="Z16" s="264"/>
      <c r="AA16" s="264"/>
    </row>
    <row r="17" spans="1:28">
      <c r="A17" s="44" t="s">
        <v>67</v>
      </c>
      <c r="B17" s="307">
        <v>-17035</v>
      </c>
      <c r="C17" s="307">
        <v>-37012</v>
      </c>
      <c r="D17" s="307">
        <v>-46986</v>
      </c>
      <c r="E17" s="307">
        <v>-75489</v>
      </c>
      <c r="G17" s="308">
        <v>1.173</v>
      </c>
      <c r="H17" s="308">
        <v>0.26900000000000002</v>
      </c>
      <c r="I17" s="308">
        <v>0.60699999999999998</v>
      </c>
      <c r="K17" s="309">
        <v>-10969</v>
      </c>
      <c r="L17" s="307">
        <v>-11899</v>
      </c>
      <c r="M17" s="307">
        <v>-10482</v>
      </c>
      <c r="N17" s="307">
        <v>-13636</v>
      </c>
      <c r="O17" s="309">
        <v>-17275</v>
      </c>
      <c r="P17" s="269">
        <f>SUM(P18:P19)</f>
        <v>-13930</v>
      </c>
      <c r="Q17" s="269">
        <f>SUM(Q18:Q19)</f>
        <v>-18195</v>
      </c>
      <c r="R17" s="269">
        <f>SUM(R18:R19)</f>
        <v>-26089</v>
      </c>
      <c r="S17" s="269">
        <f>SUM(S18:S19)</f>
        <v>-30960</v>
      </c>
      <c r="T17" s="269">
        <f>SUM(T18:T19)</f>
        <v>-60457</v>
      </c>
      <c r="V17" s="308">
        <v>0.57499999999999996</v>
      </c>
      <c r="W17" s="308">
        <v>0.17100000000000001</v>
      </c>
      <c r="X17" s="308">
        <v>0.73599999999999999</v>
      </c>
      <c r="Y17" s="308">
        <v>0.91300000000000003</v>
      </c>
      <c r="Z17" s="266">
        <f t="shared" ref="Z17:AA19" si="1">ROUND(S17/O17-1,3)</f>
        <v>0.79200000000000004</v>
      </c>
      <c r="AA17" s="266">
        <f t="shared" si="1"/>
        <v>3.34</v>
      </c>
    </row>
    <row r="18" spans="1:28">
      <c r="A18" s="23" t="s">
        <v>90</v>
      </c>
      <c r="B18" s="195">
        <v>-17908</v>
      </c>
      <c r="C18" s="195">
        <v>-40090</v>
      </c>
      <c r="D18" s="195">
        <v>-55163</v>
      </c>
      <c r="E18" s="195">
        <v>-93741</v>
      </c>
      <c r="G18" s="196">
        <v>1.2390000000000001</v>
      </c>
      <c r="H18" s="196">
        <v>0.376</v>
      </c>
      <c r="I18" s="196">
        <v>0.69899999999999995</v>
      </c>
      <c r="K18" s="197">
        <v>-11802</v>
      </c>
      <c r="L18" s="195">
        <v>-11898</v>
      </c>
      <c r="M18" s="195">
        <v>-12539</v>
      </c>
      <c r="N18" s="195">
        <v>-18924</v>
      </c>
      <c r="O18" s="197">
        <v>-20224</v>
      </c>
      <c r="P18" s="195">
        <v>-19958</v>
      </c>
      <c r="Q18" s="195">
        <v>-22792</v>
      </c>
      <c r="R18" s="195">
        <v>-30767</v>
      </c>
      <c r="S18" s="268">
        <v>-35279</v>
      </c>
      <c r="T18" s="268">
        <v>-64732</v>
      </c>
      <c r="V18" s="196">
        <v>0.71399999999999997</v>
      </c>
      <c r="W18" s="196">
        <v>0.67700000000000005</v>
      </c>
      <c r="X18" s="196">
        <v>0.81799999999999995</v>
      </c>
      <c r="Y18" s="196">
        <v>0.626</v>
      </c>
      <c r="Z18" s="264">
        <f t="shared" si="1"/>
        <v>0.74399999999999999</v>
      </c>
      <c r="AA18" s="264">
        <f t="shared" si="1"/>
        <v>2.2429999999999999</v>
      </c>
      <c r="AB18" s="311"/>
    </row>
    <row r="19" spans="1:28">
      <c r="A19" s="23" t="s">
        <v>91</v>
      </c>
      <c r="B19" s="195">
        <v>873</v>
      </c>
      <c r="C19" s="195">
        <v>3078</v>
      </c>
      <c r="D19" s="195">
        <v>8177</v>
      </c>
      <c r="E19" s="195">
        <v>18252</v>
      </c>
      <c r="G19" s="196">
        <v>2.5259999999999998</v>
      </c>
      <c r="H19" s="196">
        <v>1.657</v>
      </c>
      <c r="I19" s="196">
        <v>1.232</v>
      </c>
      <c r="K19" s="197">
        <v>833</v>
      </c>
      <c r="L19" s="195">
        <v>1740</v>
      </c>
      <c r="M19" s="195">
        <v>2057</v>
      </c>
      <c r="N19" s="195">
        <v>3547</v>
      </c>
      <c r="O19" s="197">
        <v>2949</v>
      </c>
      <c r="P19" s="195">
        <v>6028</v>
      </c>
      <c r="Q19" s="195">
        <v>4597</v>
      </c>
      <c r="R19" s="195">
        <v>4678</v>
      </c>
      <c r="S19" s="268">
        <v>4319</v>
      </c>
      <c r="T19" s="268">
        <v>4275</v>
      </c>
      <c r="V19" s="196">
        <v>2.54</v>
      </c>
      <c r="W19" s="196">
        <v>2.464</v>
      </c>
      <c r="X19" s="196">
        <v>1.2350000000000001</v>
      </c>
      <c r="Y19" s="196">
        <v>0.31900000000000001</v>
      </c>
      <c r="Z19" s="264">
        <f t="shared" si="1"/>
        <v>0.46500000000000002</v>
      </c>
      <c r="AA19" s="264">
        <f t="shared" si="1"/>
        <v>-0.29099999999999998</v>
      </c>
      <c r="AB19" s="311"/>
    </row>
    <row r="20" spans="1:28" ht="5.15" customHeight="1">
      <c r="B20" s="195"/>
      <c r="C20" s="195"/>
      <c r="D20" s="195"/>
      <c r="E20" s="195"/>
      <c r="G20" s="196"/>
      <c r="H20" s="196"/>
      <c r="I20" s="196"/>
      <c r="K20" s="197"/>
      <c r="L20" s="195"/>
      <c r="M20" s="195"/>
      <c r="N20" s="195"/>
      <c r="O20" s="197"/>
      <c r="P20" s="195"/>
      <c r="Q20" s="195"/>
      <c r="R20" s="195"/>
      <c r="S20" s="268"/>
      <c r="T20" s="268"/>
      <c r="V20" s="196"/>
      <c r="W20" s="196"/>
      <c r="X20" s="196"/>
      <c r="Y20" s="196"/>
      <c r="Z20" s="264"/>
      <c r="AA20" s="264"/>
    </row>
    <row r="21" spans="1:28">
      <c r="A21" s="18" t="s">
        <v>92</v>
      </c>
      <c r="B21" s="271">
        <f>SUM(B15,B17)</f>
        <v>-551</v>
      </c>
      <c r="C21" s="271">
        <f>SUM(C15,C17)</f>
        <v>-12578</v>
      </c>
      <c r="D21" s="271">
        <f>SUM(D15,D17)</f>
        <v>-3292</v>
      </c>
      <c r="E21" s="271">
        <f>SUM(E15,E17)</f>
        <v>-27506</v>
      </c>
      <c r="G21" s="201">
        <v>21.827999999999999</v>
      </c>
      <c r="H21" s="201">
        <v>-0.73799999999999999</v>
      </c>
      <c r="I21" s="201">
        <v>7.3550000000000004</v>
      </c>
      <c r="K21" s="271">
        <f t="shared" ref="K21:T21" si="2">SUM(K15,K17)</f>
        <v>-14545</v>
      </c>
      <c r="L21" s="271">
        <f t="shared" si="2"/>
        <v>-6867</v>
      </c>
      <c r="M21" s="271">
        <f t="shared" si="2"/>
        <v>10795</v>
      </c>
      <c r="N21" s="271">
        <f t="shared" si="2"/>
        <v>7325</v>
      </c>
      <c r="O21" s="271">
        <f t="shared" si="2"/>
        <v>-24239</v>
      </c>
      <c r="P21" s="271">
        <f t="shared" si="2"/>
        <v>-1749</v>
      </c>
      <c r="Q21" s="271">
        <f t="shared" si="2"/>
        <v>2508</v>
      </c>
      <c r="R21" s="271">
        <f t="shared" si="2"/>
        <v>-4026</v>
      </c>
      <c r="S21" s="271">
        <f t="shared" si="2"/>
        <v>-30939.306719100103</v>
      </c>
      <c r="T21" s="271">
        <f t="shared" si="2"/>
        <v>-23771.162168524985</v>
      </c>
      <c r="V21" s="201">
        <v>0.66600000000000004</v>
      </c>
      <c r="W21" s="201">
        <v>-0.745</v>
      </c>
      <c r="X21" s="201">
        <v>-0.76800000000000002</v>
      </c>
      <c r="Y21" s="201">
        <v>-1.55</v>
      </c>
      <c r="Z21" s="265">
        <f>ROUND(S21/O21-1,3)</f>
        <v>0.27600000000000002</v>
      </c>
      <c r="AA21" s="265">
        <f>ROUND(T21/P21-1,3)</f>
        <v>12.590999999999999</v>
      </c>
    </row>
    <row r="22" spans="1:28" ht="5.15" customHeight="1">
      <c r="A22" s="1"/>
      <c r="B22" s="195"/>
      <c r="C22" s="195"/>
      <c r="D22" s="195"/>
      <c r="E22" s="195"/>
      <c r="G22" s="196"/>
      <c r="H22" s="196"/>
      <c r="I22" s="196"/>
      <c r="K22" s="197"/>
      <c r="L22" s="195"/>
      <c r="M22" s="195"/>
      <c r="N22" s="195"/>
      <c r="O22" s="197"/>
      <c r="P22" s="195"/>
      <c r="Q22" s="195"/>
      <c r="R22" s="195"/>
      <c r="S22" s="268"/>
      <c r="T22" s="268"/>
      <c r="V22" s="196"/>
      <c r="W22" s="196"/>
      <c r="X22" s="196"/>
      <c r="Y22" s="196"/>
      <c r="Z22" s="264"/>
      <c r="AA22" s="264"/>
    </row>
    <row r="23" spans="1:28">
      <c r="A23" s="1" t="s">
        <v>93</v>
      </c>
      <c r="B23" s="195">
        <v>-60</v>
      </c>
      <c r="C23" s="195">
        <v>-4952</v>
      </c>
      <c r="D23" s="195">
        <v>-3624</v>
      </c>
      <c r="E23" s="195">
        <v>-2116</v>
      </c>
      <c r="G23" s="196">
        <v>81.533000000000001</v>
      </c>
      <c r="H23" s="196">
        <v>-0.26800000000000002</v>
      </c>
      <c r="I23" s="196">
        <v>-0.41599999999999998</v>
      </c>
      <c r="K23" s="197">
        <v>0</v>
      </c>
      <c r="L23" s="195">
        <v>0</v>
      </c>
      <c r="M23" s="195">
        <v>-900</v>
      </c>
      <c r="N23" s="195">
        <v>-2724</v>
      </c>
      <c r="O23" s="197">
        <v>-573</v>
      </c>
      <c r="P23" s="195">
        <v>-154</v>
      </c>
      <c r="Q23" s="195">
        <v>-2941</v>
      </c>
      <c r="R23" s="195">
        <v>1552</v>
      </c>
      <c r="S23" s="268">
        <v>-2057</v>
      </c>
      <c r="T23" s="268">
        <v>-7785</v>
      </c>
      <c r="V23" s="196">
        <v>0</v>
      </c>
      <c r="W23" s="196">
        <v>0</v>
      </c>
      <c r="X23" s="196">
        <v>2.2679999999999998</v>
      </c>
      <c r="Y23" s="196">
        <v>-1.57</v>
      </c>
      <c r="Z23" s="264">
        <f t="shared" ref="Z23:AA24" si="3">ROUND(S23/O23-1,3)</f>
        <v>2.59</v>
      </c>
      <c r="AA23" s="264">
        <f t="shared" si="3"/>
        <v>49.552</v>
      </c>
    </row>
    <row r="24" spans="1:28">
      <c r="A24" s="50" t="s">
        <v>94</v>
      </c>
      <c r="B24" s="195">
        <v>-25</v>
      </c>
      <c r="C24" s="195">
        <v>10384</v>
      </c>
      <c r="D24" s="195">
        <v>13944</v>
      </c>
      <c r="E24" s="195">
        <v>11761</v>
      </c>
      <c r="G24" s="196">
        <v>-416.36</v>
      </c>
      <c r="H24" s="196">
        <v>0.34300000000000003</v>
      </c>
      <c r="I24" s="196">
        <v>-0.157</v>
      </c>
      <c r="K24" s="197">
        <v>4696</v>
      </c>
      <c r="L24" s="195">
        <v>-1126</v>
      </c>
      <c r="M24" s="195">
        <v>-2737</v>
      </c>
      <c r="N24" s="195">
        <v>13111</v>
      </c>
      <c r="O24" s="197">
        <v>6220</v>
      </c>
      <c r="P24" s="195">
        <v>4929</v>
      </c>
      <c r="Q24" s="195">
        <v>111</v>
      </c>
      <c r="R24" s="195">
        <v>501</v>
      </c>
      <c r="S24" s="268">
        <v>3199</v>
      </c>
      <c r="T24" s="268">
        <v>5788</v>
      </c>
      <c r="V24" s="196">
        <v>0.32500000000000001</v>
      </c>
      <c r="W24" s="276" t="s">
        <v>22</v>
      </c>
      <c r="X24" s="276" t="s">
        <v>22</v>
      </c>
      <c r="Y24" s="196">
        <v>-0.96199999999999997</v>
      </c>
      <c r="Z24" s="264">
        <f t="shared" si="3"/>
        <v>-0.48599999999999999</v>
      </c>
      <c r="AA24" s="264">
        <f t="shared" si="3"/>
        <v>0.17399999999999999</v>
      </c>
    </row>
    <row r="25" spans="1:28" ht="5.15" customHeight="1">
      <c r="B25" s="195"/>
      <c r="C25" s="195"/>
      <c r="D25" s="195"/>
      <c r="E25" s="195"/>
      <c r="G25" s="196"/>
      <c r="H25" s="196"/>
      <c r="I25" s="196"/>
      <c r="K25" s="197"/>
      <c r="L25" s="195"/>
      <c r="M25" s="195"/>
      <c r="N25" s="195"/>
      <c r="O25" s="197"/>
      <c r="P25" s="195"/>
      <c r="Q25" s="195"/>
      <c r="R25" s="195"/>
      <c r="S25" s="268"/>
      <c r="T25" s="268"/>
      <c r="V25" s="196"/>
      <c r="W25" s="196"/>
      <c r="X25" s="196"/>
      <c r="Y25" s="196"/>
      <c r="Z25" s="264"/>
      <c r="AA25" s="264"/>
    </row>
    <row r="26" spans="1:28">
      <c r="A26" s="18" t="s">
        <v>95</v>
      </c>
      <c r="B26" s="271">
        <f>SUM(B21,B23:B24)</f>
        <v>-636</v>
      </c>
      <c r="C26" s="271">
        <f>SUM(C21,C23:C24)</f>
        <v>-7146</v>
      </c>
      <c r="D26" s="271">
        <f>SUM(D21,D23:D24)</f>
        <v>7028</v>
      </c>
      <c r="E26" s="271">
        <f>SUM(E21,E23:E24)</f>
        <v>-17861</v>
      </c>
      <c r="G26" s="201">
        <v>10.236000000000001</v>
      </c>
      <c r="H26" s="201">
        <v>1.9830000000000001</v>
      </c>
      <c r="I26" s="201">
        <v>-3.5409999999999999</v>
      </c>
      <c r="K26" s="271">
        <f t="shared" ref="K26:T26" si="4">SUM(K21,K23:K24)</f>
        <v>-9849</v>
      </c>
      <c r="L26" s="271">
        <f t="shared" si="4"/>
        <v>-7993</v>
      </c>
      <c r="M26" s="271">
        <f t="shared" si="4"/>
        <v>7158</v>
      </c>
      <c r="N26" s="271">
        <f t="shared" si="4"/>
        <v>17712</v>
      </c>
      <c r="O26" s="271">
        <f t="shared" si="4"/>
        <v>-18592</v>
      </c>
      <c r="P26" s="271">
        <f t="shared" si="4"/>
        <v>3026</v>
      </c>
      <c r="Q26" s="271">
        <f t="shared" si="4"/>
        <v>-322</v>
      </c>
      <c r="R26" s="271">
        <f t="shared" si="4"/>
        <v>-1973</v>
      </c>
      <c r="S26" s="271">
        <f t="shared" si="4"/>
        <v>-29797.306719100103</v>
      </c>
      <c r="T26" s="271">
        <f t="shared" si="4"/>
        <v>-25768.162168524985</v>
      </c>
      <c r="V26" s="201">
        <v>0.88800000000000001</v>
      </c>
      <c r="W26" s="312" t="s">
        <v>22</v>
      </c>
      <c r="X26" s="312" t="s">
        <v>22</v>
      </c>
      <c r="Y26" s="201">
        <v>-1.111</v>
      </c>
      <c r="Z26" s="265">
        <f>-ROUND(S26/O26-1,3)</f>
        <v>-0.60299999999999998</v>
      </c>
      <c r="AA26" s="265">
        <f>-ROUND(T26/P26-1,3)</f>
        <v>9.516</v>
      </c>
    </row>
    <row r="27" spans="1:28">
      <c r="D27" s="195"/>
      <c r="G27" s="185"/>
      <c r="H27" s="185"/>
      <c r="I27" s="185"/>
      <c r="R27" s="195"/>
      <c r="S27" s="195"/>
      <c r="T27" s="195"/>
      <c r="V27" s="185"/>
      <c r="W27" s="185"/>
      <c r="X27" s="185"/>
      <c r="Y27" s="185"/>
      <c r="Z27" s="185"/>
      <c r="AA27" s="185"/>
    </row>
    <row r="28" spans="1:28">
      <c r="A28" s="51" t="s">
        <v>96</v>
      </c>
      <c r="E28" s="195"/>
      <c r="G28" s="185"/>
      <c r="H28" s="185"/>
      <c r="I28" s="185"/>
      <c r="O28" s="195"/>
      <c r="T28" s="195"/>
      <c r="V28" s="185"/>
      <c r="W28" s="185"/>
      <c r="X28" s="185"/>
      <c r="Y28" s="185"/>
      <c r="Z28" s="185"/>
      <c r="AA28" s="185"/>
    </row>
    <row r="29" spans="1:28">
      <c r="A29" s="8" t="s">
        <v>97</v>
      </c>
      <c r="B29" s="313">
        <f t="shared" ref="B29:E29" si="5">B26</f>
        <v>-636</v>
      </c>
      <c r="C29" s="313">
        <f t="shared" si="5"/>
        <v>-7146</v>
      </c>
      <c r="D29" s="313">
        <f t="shared" si="5"/>
        <v>7028</v>
      </c>
      <c r="E29" s="313">
        <f t="shared" si="5"/>
        <v>-17861</v>
      </c>
      <c r="G29" s="314">
        <v>-10.236000000000001</v>
      </c>
      <c r="H29" s="314">
        <v>-1.9830000000000001</v>
      </c>
      <c r="I29" s="314">
        <v>-3.5409999999999999</v>
      </c>
      <c r="K29" s="313">
        <f t="shared" ref="K29:R29" si="6">K26</f>
        <v>-9849</v>
      </c>
      <c r="L29" s="313">
        <f t="shared" si="6"/>
        <v>-7993</v>
      </c>
      <c r="M29" s="313">
        <f t="shared" si="6"/>
        <v>7158</v>
      </c>
      <c r="N29" s="313">
        <f t="shared" si="6"/>
        <v>17712</v>
      </c>
      <c r="O29" s="313">
        <f t="shared" si="6"/>
        <v>-18592</v>
      </c>
      <c r="P29" s="313">
        <f t="shared" si="6"/>
        <v>3026</v>
      </c>
      <c r="Q29" s="313">
        <f t="shared" si="6"/>
        <v>-322</v>
      </c>
      <c r="R29" s="313">
        <f t="shared" si="6"/>
        <v>-1973</v>
      </c>
      <c r="S29" s="313">
        <f>S26</f>
        <v>-29797.306719100103</v>
      </c>
      <c r="T29" s="313">
        <f>T26</f>
        <v>-25768.162168524985</v>
      </c>
      <c r="V29" s="314">
        <v>0.88800000000000001</v>
      </c>
      <c r="W29" s="315" t="s">
        <v>22</v>
      </c>
      <c r="X29" s="315" t="s">
        <v>22</v>
      </c>
      <c r="Y29" s="314">
        <v>-1.111</v>
      </c>
      <c r="Z29" s="272">
        <f>-ROUND(S29/O29-1,3)</f>
        <v>-0.60299999999999998</v>
      </c>
      <c r="AA29" s="272">
        <f>-ROUND(T29/P29-1,3)</f>
        <v>9.516</v>
      </c>
    </row>
    <row r="30" spans="1:28">
      <c r="A30" s="24" t="s">
        <v>209</v>
      </c>
      <c r="B30" s="316"/>
      <c r="C30" s="316"/>
      <c r="D30" s="316"/>
      <c r="E30" s="195">
        <f>SUM(O30:R30)</f>
        <v>978</v>
      </c>
      <c r="G30" s="196" t="s">
        <v>22</v>
      </c>
      <c r="H30" s="196" t="s">
        <v>22</v>
      </c>
      <c r="I30" s="196" t="s">
        <v>22</v>
      </c>
      <c r="K30" s="317"/>
      <c r="L30" s="316"/>
      <c r="M30" s="316"/>
      <c r="N30" s="316"/>
      <c r="O30" s="317"/>
      <c r="P30" s="316"/>
      <c r="Q30" s="316"/>
      <c r="R30" s="195">
        <v>978</v>
      </c>
      <c r="S30" s="268">
        <v>1166</v>
      </c>
      <c r="T30" s="268">
        <v>3343</v>
      </c>
      <c r="V30" s="196" t="s">
        <v>22</v>
      </c>
      <c r="W30" s="276" t="s">
        <v>22</v>
      </c>
      <c r="X30" s="276" t="s">
        <v>22</v>
      </c>
      <c r="Y30" s="196" t="s">
        <v>22</v>
      </c>
      <c r="Z30" s="264" t="s">
        <v>22</v>
      </c>
      <c r="AA30" s="264" t="s">
        <v>22</v>
      </c>
    </row>
    <row r="31" spans="1:28">
      <c r="A31" s="24" t="s">
        <v>98</v>
      </c>
      <c r="B31" s="195">
        <v>85</v>
      </c>
      <c r="C31" s="195">
        <v>-5432</v>
      </c>
      <c r="D31" s="195">
        <v>-10320</v>
      </c>
      <c r="E31" s="195">
        <v>-9645</v>
      </c>
      <c r="G31" s="196">
        <v>-64.906000000000006</v>
      </c>
      <c r="H31" s="196">
        <v>0.9</v>
      </c>
      <c r="I31" s="196">
        <v>-6.5000000000000002E-2</v>
      </c>
      <c r="K31" s="197">
        <v>-4696</v>
      </c>
      <c r="L31" s="195">
        <v>1126</v>
      </c>
      <c r="M31" s="195">
        <v>3637</v>
      </c>
      <c r="N31" s="195">
        <v>-10387</v>
      </c>
      <c r="O31" s="197">
        <v>-5647</v>
      </c>
      <c r="P31" s="195">
        <v>-4775</v>
      </c>
      <c r="Q31" s="195">
        <v>2830</v>
      </c>
      <c r="R31" s="195">
        <v>-2053</v>
      </c>
      <c r="S31" s="268">
        <f>-SUM(S23:S24)</f>
        <v>-1142</v>
      </c>
      <c r="T31" s="268">
        <f>-SUM(T23:T24)</f>
        <v>1997</v>
      </c>
      <c r="V31" s="196">
        <v>0.20300000000000001</v>
      </c>
      <c r="W31" s="276" t="s">
        <v>22</v>
      </c>
      <c r="X31" s="196">
        <v>-0.222</v>
      </c>
      <c r="Y31" s="196">
        <v>-0.80200000000000005</v>
      </c>
      <c r="Z31" s="264">
        <f t="shared" ref="Z31:AA41" si="7">ROUND(S31/O31-1,3)</f>
        <v>-0.79800000000000004</v>
      </c>
      <c r="AA31" s="264">
        <f t="shared" si="7"/>
        <v>-1.4179999999999999</v>
      </c>
    </row>
    <row r="32" spans="1:28">
      <c r="A32" s="24" t="s">
        <v>99</v>
      </c>
      <c r="B32" s="195">
        <v>17035</v>
      </c>
      <c r="C32" s="195">
        <v>37012</v>
      </c>
      <c r="D32" s="195">
        <v>46986</v>
      </c>
      <c r="E32" s="195">
        <v>75489</v>
      </c>
      <c r="G32" s="196">
        <v>1.173</v>
      </c>
      <c r="H32" s="196">
        <v>0.26900000000000002</v>
      </c>
      <c r="I32" s="196">
        <v>0.60699999999999998</v>
      </c>
      <c r="K32" s="197">
        <v>10969</v>
      </c>
      <c r="L32" s="195">
        <v>11898</v>
      </c>
      <c r="M32" s="195">
        <v>10482</v>
      </c>
      <c r="N32" s="195">
        <v>13636</v>
      </c>
      <c r="O32" s="197">
        <v>17275</v>
      </c>
      <c r="P32" s="195">
        <v>13930</v>
      </c>
      <c r="Q32" s="195">
        <v>18195</v>
      </c>
      <c r="R32" s="195">
        <v>26089</v>
      </c>
      <c r="S32" s="268">
        <f>-S21</f>
        <v>30939.306719100103</v>
      </c>
      <c r="T32" s="268">
        <f>-T17</f>
        <v>60457</v>
      </c>
      <c r="V32" s="196">
        <v>0.57499999999999996</v>
      </c>
      <c r="W32" s="196">
        <v>0.17100000000000001</v>
      </c>
      <c r="X32" s="196">
        <v>0.73599999999999999</v>
      </c>
      <c r="Y32" s="196">
        <v>0.91300000000000003</v>
      </c>
      <c r="Z32" s="264">
        <f t="shared" si="7"/>
        <v>0.79100000000000004</v>
      </c>
      <c r="AA32" s="264">
        <f t="shared" si="7"/>
        <v>3.34</v>
      </c>
    </row>
    <row r="33" spans="1:27">
      <c r="A33" s="24" t="s">
        <v>100</v>
      </c>
      <c r="B33" s="195">
        <v>22367</v>
      </c>
      <c r="C33" s="195">
        <v>40426</v>
      </c>
      <c r="D33" s="195">
        <v>69796</v>
      </c>
      <c r="E33" s="195">
        <v>135084</v>
      </c>
      <c r="G33" s="196">
        <v>0.80700000000000005</v>
      </c>
      <c r="H33" s="196">
        <v>0.84799999999999998</v>
      </c>
      <c r="I33" s="196">
        <v>0.93500000000000005</v>
      </c>
      <c r="K33" s="197">
        <v>12455</v>
      </c>
      <c r="L33" s="195">
        <v>17372</v>
      </c>
      <c r="M33" s="195">
        <v>16606</v>
      </c>
      <c r="N33" s="195">
        <v>23362</v>
      </c>
      <c r="O33" s="197">
        <v>27908</v>
      </c>
      <c r="P33" s="195">
        <v>35714</v>
      </c>
      <c r="Q33" s="195">
        <v>35506</v>
      </c>
      <c r="R33" s="195">
        <v>35956</v>
      </c>
      <c r="S33" s="268">
        <v>37234</v>
      </c>
      <c r="T33" s="268">
        <v>35774</v>
      </c>
      <c r="V33" s="196">
        <v>1.2410000000000001</v>
      </c>
      <c r="W33" s="196">
        <v>1.056</v>
      </c>
      <c r="X33" s="196">
        <v>1.1379999999999999</v>
      </c>
      <c r="Y33" s="196">
        <v>0.53900000000000003</v>
      </c>
      <c r="Z33" s="264">
        <f t="shared" si="7"/>
        <v>0.33400000000000002</v>
      </c>
      <c r="AA33" s="264">
        <f t="shared" si="7"/>
        <v>2E-3</v>
      </c>
    </row>
    <row r="34" spans="1:27">
      <c r="A34" s="44" t="s">
        <v>5</v>
      </c>
      <c r="B34" s="307">
        <f>SUM(B29:B33)</f>
        <v>38851</v>
      </c>
      <c r="C34" s="307">
        <f t="shared" ref="C34:E34" si="8">SUM(C29:C33)</f>
        <v>64860</v>
      </c>
      <c r="D34" s="307">
        <f t="shared" si="8"/>
        <v>113490</v>
      </c>
      <c r="E34" s="307">
        <f t="shared" si="8"/>
        <v>184045</v>
      </c>
      <c r="G34" s="308">
        <v>0.66900000000000004</v>
      </c>
      <c r="H34" s="308">
        <v>0.81200000000000006</v>
      </c>
      <c r="I34" s="308">
        <v>0.61299999999999999</v>
      </c>
      <c r="K34" s="307">
        <f t="shared" ref="K34:T34" si="9">SUM(K29:K33)</f>
        <v>8879</v>
      </c>
      <c r="L34" s="307">
        <f t="shared" si="9"/>
        <v>22403</v>
      </c>
      <c r="M34" s="307">
        <f t="shared" si="9"/>
        <v>37883</v>
      </c>
      <c r="N34" s="307">
        <f t="shared" si="9"/>
        <v>44323</v>
      </c>
      <c r="O34" s="307">
        <f t="shared" si="9"/>
        <v>20944</v>
      </c>
      <c r="P34" s="307">
        <f t="shared" si="9"/>
        <v>47895</v>
      </c>
      <c r="Q34" s="307">
        <f t="shared" si="9"/>
        <v>56209</v>
      </c>
      <c r="R34" s="307">
        <f t="shared" si="9"/>
        <v>58997</v>
      </c>
      <c r="S34" s="307">
        <f t="shared" si="9"/>
        <v>38400</v>
      </c>
      <c r="T34" s="307">
        <f t="shared" si="9"/>
        <v>75802.837831475015</v>
      </c>
      <c r="V34" s="308">
        <v>1.359</v>
      </c>
      <c r="W34" s="308">
        <v>1.1379999999999999</v>
      </c>
      <c r="X34" s="308">
        <v>0.48399999999999999</v>
      </c>
      <c r="Y34" s="308">
        <v>0.309</v>
      </c>
      <c r="Z34" s="266">
        <f t="shared" si="7"/>
        <v>0.83299999999999996</v>
      </c>
      <c r="AA34" s="266">
        <f t="shared" si="7"/>
        <v>0.58299999999999996</v>
      </c>
    </row>
    <row r="35" spans="1:27">
      <c r="A35" s="52" t="s">
        <v>101</v>
      </c>
      <c r="B35" s="318">
        <f>B34/B5</f>
        <v>0.1071949850041249</v>
      </c>
      <c r="C35" s="318">
        <f t="shared" ref="C35:E35" si="10">C34/C5</f>
        <v>0.12301261419822745</v>
      </c>
      <c r="D35" s="318">
        <f t="shared" si="10"/>
        <v>0.11370501618560698</v>
      </c>
      <c r="E35" s="318">
        <f t="shared" si="10"/>
        <v>0.12105380512603289</v>
      </c>
      <c r="G35" s="319">
        <v>1.6</v>
      </c>
      <c r="H35" s="319">
        <v>-0.30000000000000027</v>
      </c>
      <c r="I35" s="319">
        <v>0.6</v>
      </c>
      <c r="K35" s="318">
        <f t="shared" ref="K35:T35" si="11">K34/K5</f>
        <v>5.3719008264462811E-2</v>
      </c>
      <c r="L35" s="318">
        <f t="shared" si="11"/>
        <v>0.10606727741874393</v>
      </c>
      <c r="M35" s="318">
        <f t="shared" si="11"/>
        <v>0.13649416486814656</v>
      </c>
      <c r="N35" s="318">
        <f t="shared" si="11"/>
        <v>0.12882121453442072</v>
      </c>
      <c r="O35" s="318">
        <f t="shared" si="11"/>
        <v>6.4158804068128905E-2</v>
      </c>
      <c r="P35" s="318">
        <f t="shared" si="11"/>
        <v>0.12983686016818205</v>
      </c>
      <c r="Q35" s="318">
        <f t="shared" si="11"/>
        <v>0.15022436505624495</v>
      </c>
      <c r="R35" s="318">
        <f t="shared" si="11"/>
        <v>0.13085320628837077</v>
      </c>
      <c r="S35" s="318">
        <f t="shared" si="11"/>
        <v>8.5496785464436703E-2</v>
      </c>
      <c r="T35" s="318">
        <f t="shared" si="11"/>
        <v>0.15269105319240742</v>
      </c>
      <c r="V35" s="319">
        <v>1.0000000000000002</v>
      </c>
      <c r="W35" s="319">
        <v>2.4000000000000008</v>
      </c>
      <c r="X35" s="319">
        <v>1.4</v>
      </c>
      <c r="Y35" s="320" t="s">
        <v>208</v>
      </c>
      <c r="Z35" s="273">
        <f>(S35-O35)*100</f>
        <v>2.1337981396307799</v>
      </c>
      <c r="AA35" s="273">
        <f>(T35-P35)*100</f>
        <v>2.2854193024225369</v>
      </c>
    </row>
    <row r="36" spans="1:27">
      <c r="A36" s="24" t="s">
        <v>7</v>
      </c>
      <c r="B36" s="195">
        <v>0</v>
      </c>
      <c r="C36" s="195">
        <v>0</v>
      </c>
      <c r="D36" s="195">
        <v>2011</v>
      </c>
      <c r="E36" s="195">
        <v>0</v>
      </c>
      <c r="G36" s="196">
        <v>0</v>
      </c>
      <c r="H36" s="196">
        <v>0</v>
      </c>
      <c r="I36" s="196">
        <v>-1</v>
      </c>
      <c r="K36" s="197">
        <v>0</v>
      </c>
      <c r="L36" s="195">
        <v>2011</v>
      </c>
      <c r="M36" s="195">
        <v>0</v>
      </c>
      <c r="N36" s="195">
        <v>0</v>
      </c>
      <c r="O36" s="197">
        <v>0</v>
      </c>
      <c r="P36" s="195">
        <v>0</v>
      </c>
      <c r="Q36" s="195">
        <v>0</v>
      </c>
      <c r="R36" s="195">
        <v>0</v>
      </c>
      <c r="S36" s="268">
        <v>0</v>
      </c>
      <c r="T36" s="268">
        <v>0</v>
      </c>
      <c r="V36" s="196">
        <v>0</v>
      </c>
      <c r="W36" s="196">
        <v>0</v>
      </c>
      <c r="X36" s="196">
        <v>0</v>
      </c>
      <c r="Y36" s="320" t="s">
        <v>208</v>
      </c>
      <c r="Z36" s="273">
        <v>0</v>
      </c>
      <c r="AA36" s="273">
        <v>0</v>
      </c>
    </row>
    <row r="37" spans="1:27">
      <c r="A37" s="24" t="s">
        <v>102</v>
      </c>
      <c r="B37" s="195">
        <v>1710</v>
      </c>
      <c r="C37" s="195">
        <v>7440</v>
      </c>
      <c r="D37" s="195">
        <v>15038</v>
      </c>
      <c r="E37" s="195">
        <v>39425</v>
      </c>
      <c r="G37" s="196">
        <v>-6.6000000000000003E-2</v>
      </c>
      <c r="H37" s="196">
        <v>-0.73899999999999999</v>
      </c>
      <c r="I37" s="196">
        <v>1.6220000000000001</v>
      </c>
      <c r="K37" s="197">
        <v>3562</v>
      </c>
      <c r="L37" s="195">
        <v>2408</v>
      </c>
      <c r="M37" s="195">
        <v>2901</v>
      </c>
      <c r="N37" s="195">
        <v>6167</v>
      </c>
      <c r="O37" s="197">
        <v>9697</v>
      </c>
      <c r="P37" s="195">
        <v>8621</v>
      </c>
      <c r="Q37" s="195">
        <v>-10811</v>
      </c>
      <c r="R37" s="195">
        <v>31918</v>
      </c>
      <c r="S37" s="268">
        <v>8269.585389628699</v>
      </c>
      <c r="T37" s="268">
        <v>0</v>
      </c>
      <c r="V37" s="196">
        <v>-6.6000000000000003E-2</v>
      </c>
      <c r="W37" s="196">
        <v>-6.6000000000000003E-2</v>
      </c>
      <c r="X37" s="276" t="s">
        <v>22</v>
      </c>
      <c r="Y37" s="196">
        <v>4.1760000000000002</v>
      </c>
      <c r="Z37" s="264">
        <f t="shared" si="7"/>
        <v>-0.14699999999999999</v>
      </c>
      <c r="AA37" s="264">
        <f t="shared" si="7"/>
        <v>-1</v>
      </c>
    </row>
    <row r="38" spans="1:27">
      <c r="A38" s="24" t="s">
        <v>103</v>
      </c>
      <c r="B38" s="195">
        <v>0</v>
      </c>
      <c r="C38" s="195">
        <v>0</v>
      </c>
      <c r="D38" s="195">
        <v>0</v>
      </c>
      <c r="E38" s="195">
        <v>-21178</v>
      </c>
      <c r="G38" s="195">
        <v>0</v>
      </c>
      <c r="H38" s="195">
        <v>0</v>
      </c>
      <c r="I38" s="275" t="s">
        <v>22</v>
      </c>
      <c r="K38" s="197">
        <v>0</v>
      </c>
      <c r="L38" s="195">
        <v>0</v>
      </c>
      <c r="M38" s="195">
        <v>0</v>
      </c>
      <c r="N38" s="195">
        <v>0</v>
      </c>
      <c r="O38" s="197">
        <v>0</v>
      </c>
      <c r="P38" s="195">
        <v>-10367</v>
      </c>
      <c r="Q38" s="195">
        <v>12391</v>
      </c>
      <c r="R38" s="195">
        <v>-23202</v>
      </c>
      <c r="S38" s="268">
        <v>0</v>
      </c>
      <c r="T38" s="268">
        <v>0</v>
      </c>
      <c r="V38" s="196">
        <v>0</v>
      </c>
      <c r="W38" s="196">
        <v>0</v>
      </c>
      <c r="X38" s="196">
        <v>0</v>
      </c>
      <c r="Y38" s="276" t="s">
        <v>22</v>
      </c>
      <c r="Z38" s="267">
        <v>0</v>
      </c>
      <c r="AA38" s="267">
        <v>0</v>
      </c>
    </row>
    <row r="39" spans="1:27">
      <c r="A39" s="349" t="s">
        <v>246</v>
      </c>
      <c r="B39" s="195"/>
      <c r="C39" s="195"/>
      <c r="D39" s="195"/>
      <c r="E39" s="195"/>
      <c r="G39" s="195"/>
      <c r="H39" s="195"/>
      <c r="I39" s="275"/>
      <c r="K39" s="348"/>
      <c r="L39" s="195"/>
      <c r="M39" s="195"/>
      <c r="N39" s="195"/>
      <c r="O39" s="348"/>
      <c r="P39" s="195"/>
      <c r="Q39" s="195"/>
      <c r="R39" s="195"/>
      <c r="S39" s="268"/>
      <c r="T39" s="268">
        <v>-14111</v>
      </c>
      <c r="V39" s="196"/>
      <c r="W39" s="196"/>
      <c r="X39" s="196"/>
      <c r="Y39" s="276"/>
      <c r="Z39" s="267"/>
      <c r="AA39" s="267"/>
    </row>
    <row r="40" spans="1:27">
      <c r="A40" s="54" t="s">
        <v>104</v>
      </c>
      <c r="B40" s="271">
        <f>SUM(B34,B37:B38)</f>
        <v>40561</v>
      </c>
      <c r="C40" s="271">
        <f>SUM(C34,C37:C38)</f>
        <v>72300</v>
      </c>
      <c r="D40" s="271">
        <f>SUM(D34,D37:D38)</f>
        <v>128528</v>
      </c>
      <c r="E40" s="271">
        <f>SUM(E34,E37:E38)</f>
        <v>202292</v>
      </c>
      <c r="G40" s="201">
        <v>0.27100000000000002</v>
      </c>
      <c r="H40" s="201">
        <v>0.31</v>
      </c>
      <c r="I40" s="201">
        <v>0.55000000000000004</v>
      </c>
      <c r="K40" s="271">
        <f t="shared" ref="K40:S40" si="12">SUM(K34,K37:K38)</f>
        <v>12441</v>
      </c>
      <c r="L40" s="271">
        <f t="shared" si="12"/>
        <v>24811</v>
      </c>
      <c r="M40" s="271">
        <f t="shared" si="12"/>
        <v>40784</v>
      </c>
      <c r="N40" s="271">
        <f t="shared" si="12"/>
        <v>50490</v>
      </c>
      <c r="O40" s="271">
        <f t="shared" si="12"/>
        <v>30641</v>
      </c>
      <c r="P40" s="271">
        <f t="shared" si="12"/>
        <v>46149</v>
      </c>
      <c r="Q40" s="271">
        <f t="shared" si="12"/>
        <v>57789</v>
      </c>
      <c r="R40" s="271">
        <f t="shared" si="12"/>
        <v>67713</v>
      </c>
      <c r="S40" s="271">
        <f t="shared" si="12"/>
        <v>46669.585389628701</v>
      </c>
      <c r="T40" s="271">
        <f>SUM(T34,T37:T39)</f>
        <v>61691.837831475015</v>
      </c>
      <c r="U40" s="316"/>
      <c r="V40" s="201">
        <v>1.4630000000000001</v>
      </c>
      <c r="W40" s="201">
        <v>0.72</v>
      </c>
      <c r="X40" s="201">
        <v>0.41699999999999998</v>
      </c>
      <c r="Y40" s="201">
        <v>0.34100000000000003</v>
      </c>
      <c r="Z40" s="265">
        <f t="shared" si="7"/>
        <v>0.52300000000000002</v>
      </c>
      <c r="AA40" s="265">
        <f t="shared" si="7"/>
        <v>0.33700000000000002</v>
      </c>
    </row>
    <row r="41" spans="1:27">
      <c r="A41" s="52" t="s">
        <v>105</v>
      </c>
      <c r="B41" s="318">
        <v>0.112</v>
      </c>
      <c r="C41" s="318">
        <v>0.13700000000000001</v>
      </c>
      <c r="D41" s="318">
        <v>0.13100000000000001</v>
      </c>
      <c r="E41" s="318">
        <v>0.13300000000000001</v>
      </c>
      <c r="G41" s="319">
        <v>2.5000000000000009</v>
      </c>
      <c r="H41" s="319">
        <v>0</v>
      </c>
      <c r="I41" s="319">
        <v>0.2</v>
      </c>
      <c r="K41" s="321">
        <v>7.4999999999999997E-2</v>
      </c>
      <c r="L41" s="318">
        <v>0.127</v>
      </c>
      <c r="M41" s="318">
        <v>0.14699999999999999</v>
      </c>
      <c r="N41" s="322">
        <v>0.14699999999999999</v>
      </c>
      <c r="O41" s="323">
        <v>9.4E-2</v>
      </c>
      <c r="P41" s="318">
        <v>0.125</v>
      </c>
      <c r="Q41" s="318">
        <v>0.154</v>
      </c>
      <c r="R41" s="318">
        <v>0.15</v>
      </c>
      <c r="S41" s="270">
        <f>S40/S5</f>
        <v>0.10390884192112745</v>
      </c>
      <c r="T41" s="270">
        <f>T40/T5</f>
        <v>0.12426700584488959</v>
      </c>
      <c r="V41" s="319">
        <v>1.9000000000000004</v>
      </c>
      <c r="W41" s="319">
        <v>-0.20000000000000018</v>
      </c>
      <c r="X41" s="319">
        <v>0.7</v>
      </c>
      <c r="Y41" s="319">
        <v>0.3</v>
      </c>
      <c r="Z41" s="274">
        <f t="shared" si="7"/>
        <v>0.105</v>
      </c>
      <c r="AA41" s="274">
        <f t="shared" si="7"/>
        <v>-6.0000000000000001E-3</v>
      </c>
    </row>
    <row r="42" spans="1:27">
      <c r="A42" s="1"/>
    </row>
    <row r="43" spans="1:27">
      <c r="A43" s="51" t="s">
        <v>106</v>
      </c>
      <c r="G43" s="185"/>
      <c r="H43" s="185"/>
      <c r="I43" s="185"/>
      <c r="W43" s="185"/>
      <c r="X43" s="185"/>
      <c r="Y43" s="185"/>
      <c r="Z43" s="185"/>
      <c r="AA43" s="185"/>
    </row>
    <row r="44" spans="1:27">
      <c r="A44" s="44" t="s">
        <v>95</v>
      </c>
      <c r="B44" s="269">
        <f>B26</f>
        <v>-636</v>
      </c>
      <c r="C44" s="269">
        <f>C26</f>
        <v>-7146</v>
      </c>
      <c r="D44" s="269">
        <f>D26</f>
        <v>7028</v>
      </c>
      <c r="E44" s="269">
        <f>E26</f>
        <v>-17861</v>
      </c>
      <c r="G44" s="308">
        <v>10.236000000000001</v>
      </c>
      <c r="H44" s="308">
        <v>-1.9830000000000001</v>
      </c>
      <c r="I44" s="308">
        <v>-3.5409999999999999</v>
      </c>
      <c r="K44" s="269">
        <f t="shared" ref="K44:S44" si="13">K26</f>
        <v>-9849</v>
      </c>
      <c r="L44" s="269">
        <f t="shared" si="13"/>
        <v>-7993</v>
      </c>
      <c r="M44" s="269">
        <f t="shared" si="13"/>
        <v>7158</v>
      </c>
      <c r="N44" s="269">
        <f t="shared" si="13"/>
        <v>17712</v>
      </c>
      <c r="O44" s="269">
        <f t="shared" si="13"/>
        <v>-18592</v>
      </c>
      <c r="P44" s="269">
        <f t="shared" si="13"/>
        <v>3026</v>
      </c>
      <c r="Q44" s="269">
        <f t="shared" si="13"/>
        <v>-322</v>
      </c>
      <c r="R44" s="269">
        <f t="shared" si="13"/>
        <v>-1973</v>
      </c>
      <c r="S44" s="269">
        <f t="shared" si="13"/>
        <v>-29797.306719100103</v>
      </c>
      <c r="T44" s="269">
        <f>T26</f>
        <v>-25768.162168524985</v>
      </c>
      <c r="V44" s="308">
        <v>0.88800000000000001</v>
      </c>
      <c r="W44" s="324" t="s">
        <v>22</v>
      </c>
      <c r="X44" s="324" t="s">
        <v>22</v>
      </c>
      <c r="Y44" s="308">
        <v>-1.111</v>
      </c>
      <c r="Z44" s="266">
        <f>-ROUND(S44/O44-1,3)</f>
        <v>-0.60299999999999998</v>
      </c>
      <c r="AA44" s="266">
        <f>-ROUND(T44/P44-1,3)</f>
        <v>9.516</v>
      </c>
    </row>
    <row r="45" spans="1:27">
      <c r="A45" s="24" t="s">
        <v>107</v>
      </c>
      <c r="B45" s="195">
        <v>13190</v>
      </c>
      <c r="C45" s="195">
        <v>17359</v>
      </c>
      <c r="D45" s="195">
        <v>24427</v>
      </c>
      <c r="E45" s="195">
        <v>57545</v>
      </c>
      <c r="G45" s="196">
        <v>0</v>
      </c>
      <c r="H45" s="196">
        <v>0.40699999999999997</v>
      </c>
      <c r="I45" s="196">
        <v>1.3560000000000001</v>
      </c>
      <c r="K45" s="197">
        <v>5013</v>
      </c>
      <c r="L45" s="195">
        <v>5728</v>
      </c>
      <c r="M45" s="195">
        <v>4789</v>
      </c>
      <c r="N45" s="195">
        <v>8897</v>
      </c>
      <c r="O45" s="197">
        <v>8505</v>
      </c>
      <c r="P45" s="195">
        <v>15708</v>
      </c>
      <c r="Q45" s="195">
        <v>16408</v>
      </c>
      <c r="R45" s="195">
        <v>16924</v>
      </c>
      <c r="S45" s="268">
        <v>17539</v>
      </c>
      <c r="T45" s="268">
        <v>16185</v>
      </c>
      <c r="V45" s="196">
        <v>0.69699999999999995</v>
      </c>
      <c r="W45" s="196">
        <v>1.742</v>
      </c>
      <c r="X45" s="196">
        <v>2.4260000000000002</v>
      </c>
      <c r="Y45" s="196">
        <v>0.90200000000000002</v>
      </c>
      <c r="Z45" s="264">
        <f t="shared" ref="Z45:AA45" si="14">ROUND(S45/O45-1,3)</f>
        <v>1.0620000000000001</v>
      </c>
      <c r="AA45" s="264">
        <f t="shared" si="14"/>
        <v>0.03</v>
      </c>
    </row>
    <row r="46" spans="1:27">
      <c r="A46" s="54" t="s">
        <v>108</v>
      </c>
      <c r="B46" s="271">
        <f>SUM(B44:B45)</f>
        <v>12554</v>
      </c>
      <c r="C46" s="271">
        <f>SUM(C44:C45)</f>
        <v>10213</v>
      </c>
      <c r="D46" s="271">
        <f>SUM(D44:D45)</f>
        <v>31455</v>
      </c>
      <c r="E46" s="271">
        <f>SUM(E44:E45)</f>
        <v>39684</v>
      </c>
      <c r="G46" s="201">
        <v>-17.058</v>
      </c>
      <c r="H46" s="201">
        <v>2.08</v>
      </c>
      <c r="I46" s="201">
        <v>0.26200000000000001</v>
      </c>
      <c r="K46" s="271">
        <f t="shared" ref="K46:S46" si="15">SUM(K44:K45)</f>
        <v>-4836</v>
      </c>
      <c r="L46" s="271">
        <f t="shared" si="15"/>
        <v>-2265</v>
      </c>
      <c r="M46" s="271">
        <f t="shared" si="15"/>
        <v>11947</v>
      </c>
      <c r="N46" s="271">
        <f t="shared" si="15"/>
        <v>26609</v>
      </c>
      <c r="O46" s="271">
        <f t="shared" si="15"/>
        <v>-10087</v>
      </c>
      <c r="P46" s="271">
        <f t="shared" si="15"/>
        <v>18734</v>
      </c>
      <c r="Q46" s="271">
        <f t="shared" si="15"/>
        <v>16086</v>
      </c>
      <c r="R46" s="271">
        <f t="shared" si="15"/>
        <v>14951</v>
      </c>
      <c r="S46" s="271">
        <f t="shared" si="15"/>
        <v>-12258.306719100103</v>
      </c>
      <c r="T46" s="271">
        <f t="shared" ref="T46" si="16">SUM(T44:T45)</f>
        <v>-9583.1621685249847</v>
      </c>
      <c r="U46" s="316"/>
      <c r="V46" s="201">
        <v>1.0860000000000001</v>
      </c>
      <c r="W46" s="312" t="s">
        <v>22</v>
      </c>
      <c r="X46" s="201">
        <v>0.34699999999999998</v>
      </c>
      <c r="Y46" s="201">
        <v>-0.438</v>
      </c>
      <c r="Z46" s="265">
        <f>-ROUND(S46/O46-1,3)</f>
        <v>-0.215</v>
      </c>
      <c r="AA46" s="265">
        <f>-ROUND(T46/P46-1,3)</f>
        <v>1.512</v>
      </c>
    </row>
    <row r="47" spans="1:27">
      <c r="A47" s="24" t="s">
        <v>7</v>
      </c>
      <c r="B47" s="195">
        <v>0</v>
      </c>
      <c r="C47" s="195">
        <v>0</v>
      </c>
      <c r="D47" s="195">
        <v>2011</v>
      </c>
      <c r="E47" s="195">
        <v>0</v>
      </c>
      <c r="G47" s="196">
        <v>0</v>
      </c>
      <c r="H47" s="196">
        <v>0</v>
      </c>
      <c r="I47" s="196">
        <v>-1</v>
      </c>
      <c r="K47" s="197">
        <v>0</v>
      </c>
      <c r="L47" s="195">
        <v>2011</v>
      </c>
      <c r="M47" s="195">
        <v>0</v>
      </c>
      <c r="N47" s="195">
        <v>0</v>
      </c>
      <c r="O47" s="197">
        <v>0</v>
      </c>
      <c r="P47" s="195">
        <v>0</v>
      </c>
      <c r="Q47" s="195">
        <v>0</v>
      </c>
      <c r="R47" s="195">
        <v>0</v>
      </c>
      <c r="S47" s="268">
        <v>0</v>
      </c>
      <c r="T47" s="268">
        <v>0</v>
      </c>
      <c r="V47" s="196">
        <v>0</v>
      </c>
      <c r="W47" s="196">
        <v>0</v>
      </c>
      <c r="X47" s="196">
        <v>0</v>
      </c>
      <c r="Y47" s="196">
        <v>0</v>
      </c>
      <c r="Z47" s="264" t="s">
        <v>208</v>
      </c>
      <c r="AA47" s="264" t="s">
        <v>208</v>
      </c>
    </row>
    <row r="48" spans="1:27">
      <c r="A48" s="24" t="s">
        <v>102</v>
      </c>
      <c r="B48" s="195">
        <v>1710</v>
      </c>
      <c r="C48" s="195">
        <v>7440</v>
      </c>
      <c r="D48" s="195">
        <v>15038</v>
      </c>
      <c r="E48" s="195">
        <v>39425</v>
      </c>
      <c r="G48" s="196">
        <v>3.351</v>
      </c>
      <c r="H48" s="196">
        <v>1.0209999999999999</v>
      </c>
      <c r="I48" s="196">
        <v>1.6220000000000001</v>
      </c>
      <c r="K48" s="197">
        <v>3562</v>
      </c>
      <c r="L48" s="195">
        <v>2409</v>
      </c>
      <c r="M48" s="195">
        <v>2901</v>
      </c>
      <c r="N48" s="195">
        <v>6167</v>
      </c>
      <c r="O48" s="197">
        <v>9697</v>
      </c>
      <c r="P48" s="195">
        <v>8623</v>
      </c>
      <c r="Q48" s="195">
        <v>1580</v>
      </c>
      <c r="R48" s="195">
        <v>19525</v>
      </c>
      <c r="S48" s="268">
        <v>8270</v>
      </c>
      <c r="T48" s="268">
        <v>0</v>
      </c>
      <c r="V48" s="196">
        <v>1.7230000000000001</v>
      </c>
      <c r="W48" s="196">
        <v>2.5790000000000002</v>
      </c>
      <c r="X48" s="196">
        <v>-0.45500000000000002</v>
      </c>
      <c r="Y48" s="196">
        <v>2.1659999999999999</v>
      </c>
      <c r="Z48" s="264">
        <f t="shared" ref="Z48:AA53" si="17">ROUND(S48/O48-1,3)</f>
        <v>-0.14699999999999999</v>
      </c>
      <c r="AA48" s="264">
        <f t="shared" si="17"/>
        <v>-1</v>
      </c>
    </row>
    <row r="49" spans="1:27">
      <c r="A49" s="24" t="s">
        <v>103</v>
      </c>
      <c r="B49" s="195">
        <v>0</v>
      </c>
      <c r="C49" s="195">
        <v>0</v>
      </c>
      <c r="D49" s="195">
        <v>0</v>
      </c>
      <c r="E49" s="195">
        <v>-21177.798350000001</v>
      </c>
      <c r="G49" s="195">
        <v>0</v>
      </c>
      <c r="H49" s="195">
        <v>0</v>
      </c>
      <c r="I49" s="275" t="s">
        <v>22</v>
      </c>
      <c r="K49" s="197">
        <v>0</v>
      </c>
      <c r="L49" s="195">
        <v>0</v>
      </c>
      <c r="M49" s="195">
        <v>0</v>
      </c>
      <c r="N49" s="195">
        <v>0</v>
      </c>
      <c r="O49" s="197">
        <v>0</v>
      </c>
      <c r="P49" s="195">
        <v>-10367</v>
      </c>
      <c r="Q49" s="195">
        <v>0</v>
      </c>
      <c r="R49" s="195">
        <v>-10810.798350000001</v>
      </c>
      <c r="S49" s="268">
        <v>0</v>
      </c>
      <c r="T49" s="268">
        <v>0</v>
      </c>
      <c r="V49" s="196">
        <v>0</v>
      </c>
      <c r="W49" s="196">
        <v>0</v>
      </c>
      <c r="X49" s="196">
        <v>0</v>
      </c>
      <c r="Y49" s="276" t="s">
        <v>22</v>
      </c>
      <c r="Z49" s="267">
        <v>0</v>
      </c>
      <c r="AA49" s="267">
        <v>0</v>
      </c>
    </row>
    <row r="50" spans="1:27">
      <c r="A50" s="24" t="s">
        <v>222</v>
      </c>
      <c r="B50" s="195">
        <v>0</v>
      </c>
      <c r="C50" s="195">
        <v>0</v>
      </c>
      <c r="D50" s="195">
        <v>0</v>
      </c>
      <c r="E50" s="195">
        <v>0</v>
      </c>
      <c r="G50" s="195">
        <v>0</v>
      </c>
      <c r="H50" s="195">
        <v>0</v>
      </c>
      <c r="I50" s="275">
        <v>0</v>
      </c>
      <c r="K50" s="197">
        <v>0</v>
      </c>
      <c r="L50" s="195">
        <v>0</v>
      </c>
      <c r="M50" s="195">
        <v>0</v>
      </c>
      <c r="N50" s="195">
        <v>0</v>
      </c>
      <c r="O50" s="197">
        <v>0</v>
      </c>
      <c r="P50" s="195">
        <v>0</v>
      </c>
      <c r="Q50" s="195">
        <v>0</v>
      </c>
      <c r="R50" s="195">
        <v>0</v>
      </c>
      <c r="S50" s="268">
        <v>2221</v>
      </c>
      <c r="T50" s="268">
        <v>0</v>
      </c>
      <c r="V50" s="196">
        <v>0</v>
      </c>
      <c r="W50" s="196">
        <v>0</v>
      </c>
      <c r="X50" s="196">
        <v>0</v>
      </c>
      <c r="Y50" s="276">
        <v>0</v>
      </c>
      <c r="Z50" s="267">
        <v>0</v>
      </c>
      <c r="AA50" s="267">
        <v>0</v>
      </c>
    </row>
    <row r="51" spans="1:27">
      <c r="A51" s="350" t="s">
        <v>251</v>
      </c>
      <c r="B51" s="195">
        <v>0</v>
      </c>
      <c r="C51" s="195">
        <v>0</v>
      </c>
      <c r="D51" s="195">
        <v>0</v>
      </c>
      <c r="E51" s="195">
        <v>0</v>
      </c>
      <c r="G51" s="195">
        <v>0</v>
      </c>
      <c r="H51" s="195">
        <v>0</v>
      </c>
      <c r="I51" s="275">
        <v>0</v>
      </c>
      <c r="K51" s="197">
        <v>0</v>
      </c>
      <c r="L51" s="195">
        <v>0</v>
      </c>
      <c r="M51" s="195">
        <v>0</v>
      </c>
      <c r="N51" s="195">
        <v>0</v>
      </c>
      <c r="O51" s="197">
        <v>0</v>
      </c>
      <c r="P51" s="195">
        <v>0</v>
      </c>
      <c r="Q51" s="195">
        <v>0</v>
      </c>
      <c r="R51" s="195">
        <v>0</v>
      </c>
      <c r="S51" s="268">
        <v>0</v>
      </c>
      <c r="T51" s="268">
        <v>26664</v>
      </c>
      <c r="V51" s="196"/>
      <c r="W51" s="196"/>
      <c r="X51" s="196"/>
      <c r="Y51" s="276"/>
      <c r="Z51" s="267"/>
      <c r="AA51" s="267"/>
    </row>
    <row r="52" spans="1:27">
      <c r="A52" s="349" t="s">
        <v>246</v>
      </c>
      <c r="B52" s="195">
        <v>0</v>
      </c>
      <c r="C52" s="195">
        <v>0</v>
      </c>
      <c r="D52" s="195">
        <v>0</v>
      </c>
      <c r="E52" s="195">
        <v>0</v>
      </c>
      <c r="G52" s="195">
        <v>0</v>
      </c>
      <c r="H52" s="195">
        <v>0</v>
      </c>
      <c r="I52" s="195">
        <v>0</v>
      </c>
      <c r="K52" s="195">
        <v>0</v>
      </c>
      <c r="L52" s="195">
        <v>0</v>
      </c>
      <c r="M52" s="195">
        <v>0</v>
      </c>
      <c r="N52" s="195">
        <v>0</v>
      </c>
      <c r="O52" s="195">
        <v>0</v>
      </c>
      <c r="P52" s="195">
        <v>0</v>
      </c>
      <c r="Q52" s="195">
        <v>0</v>
      </c>
      <c r="R52" s="195">
        <v>0</v>
      </c>
      <c r="S52" s="195">
        <v>0</v>
      </c>
      <c r="T52" s="268">
        <v>-14111</v>
      </c>
      <c r="V52" s="196"/>
      <c r="W52" s="196"/>
      <c r="X52" s="196"/>
      <c r="Y52" s="276"/>
      <c r="Z52" s="267"/>
      <c r="AA52" s="267"/>
    </row>
    <row r="53" spans="1:27">
      <c r="A53" s="24" t="s">
        <v>247</v>
      </c>
      <c r="B53" s="195">
        <v>-581</v>
      </c>
      <c r="C53" s="195">
        <v>-2529</v>
      </c>
      <c r="D53" s="195">
        <v>-5797</v>
      </c>
      <c r="E53" s="195">
        <v>-6204</v>
      </c>
      <c r="G53" s="196">
        <v>3.35</v>
      </c>
      <c r="H53" s="196">
        <v>1.292</v>
      </c>
      <c r="I53" s="196">
        <v>7.0000000000000007E-2</v>
      </c>
      <c r="K53" s="197">
        <v>-1211</v>
      </c>
      <c r="L53" s="195">
        <v>-1503</v>
      </c>
      <c r="M53" s="195">
        <v>-986</v>
      </c>
      <c r="N53" s="195">
        <v>-2097</v>
      </c>
      <c r="O53" s="197">
        <v>-3297</v>
      </c>
      <c r="P53" s="195">
        <v>591</v>
      </c>
      <c r="Q53" s="195">
        <v>-538</v>
      </c>
      <c r="R53" s="195">
        <v>-2965</v>
      </c>
      <c r="S53" s="268">
        <v>-2813</v>
      </c>
      <c r="T53" s="268">
        <v>4797</v>
      </c>
      <c r="V53" s="196">
        <v>1.7230000000000001</v>
      </c>
      <c r="W53" s="276" t="s">
        <v>22</v>
      </c>
      <c r="X53" s="196">
        <v>-0.45400000000000001</v>
      </c>
      <c r="Y53" s="196">
        <v>0.41399999999999998</v>
      </c>
      <c r="Z53" s="264">
        <f t="shared" si="17"/>
        <v>-0.14699999999999999</v>
      </c>
      <c r="AA53" s="264">
        <f t="shared" si="17"/>
        <v>7.117</v>
      </c>
    </row>
    <row r="54" spans="1:27">
      <c r="A54" s="54" t="s">
        <v>109</v>
      </c>
      <c r="B54" s="271">
        <f>SUM(B46:B53)</f>
        <v>13683</v>
      </c>
      <c r="C54" s="271">
        <f>SUM(C46:C53)</f>
        <v>15124</v>
      </c>
      <c r="D54" s="271">
        <f>SUM(D46:D53)</f>
        <v>42707</v>
      </c>
      <c r="E54" s="271">
        <f>SUM(E46:E53)</f>
        <v>51727.201650000003</v>
      </c>
      <c r="G54" s="201">
        <v>29.702000000000002</v>
      </c>
      <c r="H54" s="201">
        <v>1.8240000000000001</v>
      </c>
      <c r="I54" s="201">
        <v>0.21099999999999999</v>
      </c>
      <c r="K54" s="271">
        <f t="shared" ref="K54:T54" si="18">SUM(K46:K53)</f>
        <v>-2485</v>
      </c>
      <c r="L54" s="271">
        <f t="shared" si="18"/>
        <v>652</v>
      </c>
      <c r="M54" s="271">
        <f t="shared" si="18"/>
        <v>13862</v>
      </c>
      <c r="N54" s="271">
        <f t="shared" si="18"/>
        <v>30679</v>
      </c>
      <c r="O54" s="271">
        <f t="shared" si="18"/>
        <v>-3687</v>
      </c>
      <c r="P54" s="271">
        <f t="shared" si="18"/>
        <v>17581</v>
      </c>
      <c r="Q54" s="271">
        <f t="shared" si="18"/>
        <v>17128</v>
      </c>
      <c r="R54" s="271">
        <f t="shared" si="18"/>
        <v>20700.201649999999</v>
      </c>
      <c r="S54" s="271">
        <f t="shared" si="18"/>
        <v>-4580.3067191001028</v>
      </c>
      <c r="T54" s="271">
        <f t="shared" si="18"/>
        <v>7766.8378314750153</v>
      </c>
      <c r="U54" s="316"/>
      <c r="V54" s="201">
        <v>0.48299999999999998</v>
      </c>
      <c r="W54" s="201">
        <v>25.888000000000002</v>
      </c>
      <c r="X54" s="201">
        <v>0.23599999999999999</v>
      </c>
      <c r="Y54" s="201">
        <v>-0.32500000000000001</v>
      </c>
      <c r="Z54" s="265">
        <f>-ROUND(S54/O54-1,3)</f>
        <v>-0.24199999999999999</v>
      </c>
      <c r="AA54" s="265">
        <f>-ROUND(T54/P54-1,3)</f>
        <v>0.55800000000000005</v>
      </c>
    </row>
    <row r="55" spans="1:27">
      <c r="A55" s="52" t="s">
        <v>110</v>
      </c>
      <c r="B55" s="270">
        <f>ROUND(B54/B5,3)</f>
        <v>3.7999999999999999E-2</v>
      </c>
      <c r="C55" s="270">
        <f>ROUND(C54/C5,3)</f>
        <v>2.9000000000000001E-2</v>
      </c>
      <c r="D55" s="270">
        <f>ROUND(D54/D5,3)</f>
        <v>4.2999999999999997E-2</v>
      </c>
      <c r="E55" s="270">
        <f>ROUND(E54/E5,3)</f>
        <v>3.4000000000000002E-2</v>
      </c>
      <c r="G55" s="319">
        <v>2.9</v>
      </c>
      <c r="H55" s="319">
        <v>1.4</v>
      </c>
      <c r="I55" s="319">
        <v>-0.89769372259278502</v>
      </c>
      <c r="K55" s="270">
        <f t="shared" ref="K55:S55" si="19">ROUND(K54/K5,3)</f>
        <v>-1.4999999999999999E-2</v>
      </c>
      <c r="L55" s="270">
        <f t="shared" si="19"/>
        <v>3.0000000000000001E-3</v>
      </c>
      <c r="M55" s="270">
        <f t="shared" si="19"/>
        <v>0.05</v>
      </c>
      <c r="N55" s="270">
        <f t="shared" si="19"/>
        <v>8.8999999999999996E-2</v>
      </c>
      <c r="O55" s="270">
        <f t="shared" si="19"/>
        <v>-1.0999999999999999E-2</v>
      </c>
      <c r="P55" s="270">
        <f t="shared" si="19"/>
        <v>4.8000000000000001E-2</v>
      </c>
      <c r="Q55" s="270">
        <f t="shared" si="19"/>
        <v>4.5999999999999999E-2</v>
      </c>
      <c r="R55" s="270">
        <f t="shared" si="19"/>
        <v>4.5999999999999999E-2</v>
      </c>
      <c r="S55" s="270">
        <f t="shared" si="19"/>
        <v>-0.01</v>
      </c>
      <c r="T55" s="270">
        <f>ROUND(T54/T5,3)</f>
        <v>1.6E-2</v>
      </c>
      <c r="V55" s="319">
        <v>0.4</v>
      </c>
      <c r="W55" s="319">
        <v>4.5</v>
      </c>
      <c r="X55" s="319">
        <v>-0.4</v>
      </c>
      <c r="Y55" s="319">
        <v>-4.308992146190425</v>
      </c>
      <c r="Z55" s="274">
        <f>-ROUND(S55/O55-1,3)</f>
        <v>9.0999999999999998E-2</v>
      </c>
      <c r="AA55" s="274">
        <f>-ROUND(T55/P55-1,3)</f>
        <v>0.66700000000000004</v>
      </c>
    </row>
    <row r="56" spans="1:27">
      <c r="A56" s="1"/>
    </row>
    <row r="57" spans="1:27">
      <c r="A57" s="1" t="s">
        <v>216</v>
      </c>
      <c r="C57" s="195"/>
      <c r="D57" s="195"/>
      <c r="E57" s="195"/>
      <c r="K57" s="195"/>
      <c r="L57" s="195"/>
      <c r="M57" s="195"/>
      <c r="N57" s="195"/>
      <c r="O57" s="195"/>
      <c r="P57" s="195"/>
      <c r="Q57" s="195"/>
      <c r="R57" s="195"/>
      <c r="S57" s="195"/>
      <c r="T57" s="195"/>
    </row>
    <row r="58" spans="1:27">
      <c r="C58" s="195"/>
      <c r="D58" s="195"/>
      <c r="E58" s="195"/>
      <c r="K58" s="195"/>
      <c r="L58" s="195"/>
      <c r="M58" s="195"/>
      <c r="N58" s="195"/>
      <c r="O58" s="195"/>
      <c r="P58" s="195"/>
      <c r="Q58" s="195"/>
      <c r="R58" s="195"/>
      <c r="S58" s="195"/>
      <c r="T58" s="195"/>
    </row>
    <row r="59" spans="1:27">
      <c r="C59" s="195"/>
      <c r="D59" s="195"/>
      <c r="E59" s="195"/>
      <c r="K59" s="195"/>
      <c r="L59" s="195"/>
      <c r="M59" s="325"/>
      <c r="N59" s="195"/>
      <c r="O59" s="195"/>
      <c r="P59" s="325"/>
      <c r="Q59" s="325"/>
      <c r="R59" s="325"/>
      <c r="S59" s="325"/>
      <c r="T59" s="325"/>
    </row>
  </sheetData>
  <pageMargins left="0.511811024" right="0.511811024" top="0.78740157499999996" bottom="0.78740157499999996" header="0.31496062000000002" footer="0.31496062000000002"/>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8"/>
  <sheetViews>
    <sheetView showGridLines="0" zoomScaleNormal="100" workbookViewId="0">
      <pane xSplit="1" ySplit="4" topLeftCell="R5" activePane="bottomRight" state="frozen"/>
      <selection activeCell="B2" sqref="B2"/>
      <selection pane="topRight" activeCell="B2" sqref="B2"/>
      <selection pane="bottomLeft" activeCell="B2" sqref="B2"/>
      <selection pane="bottomRight" activeCell="T1" sqref="T1"/>
    </sheetView>
  </sheetViews>
  <sheetFormatPr defaultColWidth="9.1796875" defaultRowHeight="10"/>
  <cols>
    <col min="1" max="1" width="56.1796875" style="183" bestFit="1" customWidth="1"/>
    <col min="2" max="5" width="12.1796875" style="183" customWidth="1"/>
    <col min="6" max="6" width="2.54296875" style="184" customWidth="1"/>
    <col min="7" max="9" width="11.453125" style="185" customWidth="1"/>
    <col min="10" max="10" width="9.1796875" style="183"/>
    <col min="11" max="20" width="12.1796875" style="183" customWidth="1"/>
    <col min="21" max="21" width="2.54296875" style="184" customWidth="1"/>
    <col min="22" max="27" width="11.453125" style="183" customWidth="1"/>
    <col min="28" max="16384" width="9.1796875" style="183"/>
  </cols>
  <sheetData>
    <row r="1" spans="1:27" ht="54.75" customHeight="1"/>
    <row r="2" spans="1:27">
      <c r="A2" s="186"/>
      <c r="G2" s="187" t="s">
        <v>40</v>
      </c>
      <c r="H2" s="187" t="s">
        <v>40</v>
      </c>
      <c r="I2" s="187" t="s">
        <v>40</v>
      </c>
      <c r="K2" s="188"/>
      <c r="L2" s="188"/>
      <c r="M2" s="188"/>
      <c r="N2" s="188"/>
      <c r="O2" s="188"/>
      <c r="P2" s="188"/>
      <c r="Q2" s="188"/>
      <c r="R2" s="188"/>
      <c r="S2" s="188"/>
      <c r="T2" s="188"/>
      <c r="V2" s="187" t="s">
        <v>40</v>
      </c>
      <c r="W2" s="187" t="s">
        <v>40</v>
      </c>
      <c r="X2" s="187" t="s">
        <v>40</v>
      </c>
      <c r="Y2" s="187" t="s">
        <v>40</v>
      </c>
      <c r="Z2" s="187" t="s">
        <v>40</v>
      </c>
      <c r="AA2" s="187" t="s">
        <v>40</v>
      </c>
    </row>
    <row r="3" spans="1:27" ht="20">
      <c r="A3" s="4" t="s">
        <v>112</v>
      </c>
      <c r="B3" s="5">
        <v>2018</v>
      </c>
      <c r="C3" s="5">
        <v>2019</v>
      </c>
      <c r="D3" s="5">
        <v>2020</v>
      </c>
      <c r="E3" s="5">
        <v>2021</v>
      </c>
      <c r="F3" s="183"/>
      <c r="G3" s="5">
        <v>2019</v>
      </c>
      <c r="H3" s="5">
        <v>2020</v>
      </c>
      <c r="I3" s="5">
        <v>2021</v>
      </c>
      <c r="J3" s="189"/>
      <c r="K3" s="5" t="s">
        <v>30</v>
      </c>
      <c r="L3" s="5" t="s">
        <v>31</v>
      </c>
      <c r="M3" s="5" t="s">
        <v>32</v>
      </c>
      <c r="N3" s="5" t="s">
        <v>33</v>
      </c>
      <c r="O3" s="5" t="s">
        <v>34</v>
      </c>
      <c r="P3" s="5" t="s">
        <v>35</v>
      </c>
      <c r="Q3" s="5" t="s">
        <v>194</v>
      </c>
      <c r="R3" s="5" t="s">
        <v>200</v>
      </c>
      <c r="S3" s="211" t="s">
        <v>213</v>
      </c>
      <c r="T3" s="327" t="s">
        <v>241</v>
      </c>
      <c r="U3" s="183"/>
      <c r="V3" s="41" t="s">
        <v>203</v>
      </c>
      <c r="W3" s="41" t="s">
        <v>82</v>
      </c>
      <c r="X3" s="41" t="s">
        <v>197</v>
      </c>
      <c r="Y3" s="41" t="s">
        <v>204</v>
      </c>
      <c r="Z3" s="280" t="s">
        <v>217</v>
      </c>
      <c r="AA3" s="280" t="s">
        <v>252</v>
      </c>
    </row>
    <row r="4" spans="1:27" ht="5.15" customHeight="1">
      <c r="K4" s="190"/>
      <c r="O4" s="190"/>
      <c r="S4" s="277"/>
      <c r="T4" s="347"/>
      <c r="Z4" s="277"/>
      <c r="AA4" s="277"/>
    </row>
    <row r="5" spans="1:27" ht="14.5" customHeight="1">
      <c r="A5" s="191" t="s">
        <v>113</v>
      </c>
      <c r="B5" s="192">
        <v>316842</v>
      </c>
      <c r="C5" s="192">
        <v>612994</v>
      </c>
      <c r="D5" s="192">
        <v>1375878</v>
      </c>
      <c r="E5" s="192">
        <v>1982172</v>
      </c>
      <c r="F5" s="189"/>
      <c r="G5" s="193">
        <v>0.93500000000000005</v>
      </c>
      <c r="H5" s="193">
        <v>1.2450000000000001</v>
      </c>
      <c r="I5" s="193">
        <v>0.441</v>
      </c>
      <c r="J5" s="189"/>
      <c r="K5" s="194">
        <v>760782</v>
      </c>
      <c r="L5" s="192">
        <v>804362</v>
      </c>
      <c r="M5" s="192">
        <v>910926</v>
      </c>
      <c r="N5" s="192">
        <v>1375878</v>
      </c>
      <c r="O5" s="194">
        <v>1609696</v>
      </c>
      <c r="P5" s="192">
        <v>1918805</v>
      </c>
      <c r="Q5" s="192">
        <v>1927956</v>
      </c>
      <c r="R5" s="192">
        <v>1982172</v>
      </c>
      <c r="S5" s="278">
        <v>1966960</v>
      </c>
      <c r="T5" s="278">
        <f>SUM(T7,T16)</f>
        <v>1982611</v>
      </c>
      <c r="U5" s="189"/>
      <c r="V5" s="193">
        <v>0.17</v>
      </c>
      <c r="W5" s="193">
        <v>0.39500000000000002</v>
      </c>
      <c r="X5" s="193">
        <v>0.40100000000000002</v>
      </c>
      <c r="Y5" s="193">
        <v>0.441</v>
      </c>
      <c r="Z5" s="281">
        <v>-8.0000000000000002E-3</v>
      </c>
      <c r="AA5" s="353">
        <f>ROUND(T5/R5-1,3)</f>
        <v>0</v>
      </c>
    </row>
    <row r="6" spans="1:27" ht="5.15" customHeight="1">
      <c r="B6" s="195"/>
      <c r="C6" s="195"/>
      <c r="D6" s="195"/>
      <c r="E6" s="195"/>
      <c r="G6" s="196"/>
      <c r="H6" s="196"/>
      <c r="I6" s="196"/>
      <c r="K6" s="197"/>
      <c r="L6" s="195"/>
      <c r="M6" s="195"/>
      <c r="N6" s="195"/>
      <c r="O6" s="197"/>
      <c r="P6" s="195"/>
      <c r="Q6" s="195"/>
      <c r="R6" s="195"/>
      <c r="S6" s="268"/>
      <c r="T6" s="348"/>
      <c r="V6" s="198"/>
      <c r="W6" s="198"/>
      <c r="X6" s="198"/>
      <c r="Y6" s="198"/>
      <c r="Z6" s="282"/>
      <c r="AA6" s="282"/>
    </row>
    <row r="7" spans="1:27" ht="14.5" customHeight="1">
      <c r="A7" s="199" t="s">
        <v>114</v>
      </c>
      <c r="B7" s="200">
        <v>129437</v>
      </c>
      <c r="C7" s="200">
        <v>213144</v>
      </c>
      <c r="D7" s="200">
        <v>708818</v>
      </c>
      <c r="E7" s="200">
        <v>643221</v>
      </c>
      <c r="G7" s="201">
        <v>0.64700000000000002</v>
      </c>
      <c r="H7" s="201">
        <v>2.3260000000000001</v>
      </c>
      <c r="I7" s="201">
        <v>-9.2999999999999999E-2</v>
      </c>
      <c r="K7" s="202">
        <v>242506</v>
      </c>
      <c r="L7" s="200">
        <v>277037</v>
      </c>
      <c r="M7" s="200">
        <v>388109</v>
      </c>
      <c r="N7" s="200">
        <v>708818</v>
      </c>
      <c r="O7" s="202">
        <v>668158</v>
      </c>
      <c r="P7" s="200">
        <v>666783</v>
      </c>
      <c r="Q7" s="200">
        <v>605107</v>
      </c>
      <c r="R7" s="200">
        <v>643221</v>
      </c>
      <c r="S7" s="271">
        <v>632967</v>
      </c>
      <c r="T7" s="271">
        <f>SUM(T8:T14)</f>
        <v>650308</v>
      </c>
      <c r="V7" s="203">
        <v>-5.7000000000000002E-2</v>
      </c>
      <c r="W7" s="203">
        <v>-5.8999999999999997E-2</v>
      </c>
      <c r="X7" s="203">
        <v>-0.14599999999999999</v>
      </c>
      <c r="Y7" s="203">
        <v>-9.2999999999999999E-2</v>
      </c>
      <c r="Z7" s="283">
        <v>-1.6E-2</v>
      </c>
      <c r="AA7" s="283">
        <f>ROUND(T7/R7-1,3)</f>
        <v>1.0999999999999999E-2</v>
      </c>
    </row>
    <row r="8" spans="1:27" ht="14.5" customHeight="1">
      <c r="A8" s="183" t="s">
        <v>115</v>
      </c>
      <c r="B8" s="195">
        <v>50510</v>
      </c>
      <c r="C8" s="195">
        <v>91599</v>
      </c>
      <c r="D8" s="195">
        <v>409183</v>
      </c>
      <c r="E8" s="195">
        <v>168931</v>
      </c>
      <c r="G8" s="196">
        <v>0.81299999999999994</v>
      </c>
      <c r="H8" s="196">
        <v>3.4670000000000001</v>
      </c>
      <c r="I8" s="196">
        <v>-0.58699999999999997</v>
      </c>
      <c r="K8" s="197">
        <v>64193</v>
      </c>
      <c r="L8" s="195">
        <v>72449</v>
      </c>
      <c r="M8" s="195">
        <v>114527</v>
      </c>
      <c r="N8" s="195">
        <v>409183</v>
      </c>
      <c r="O8" s="197">
        <v>323494</v>
      </c>
      <c r="P8" s="195">
        <v>292242</v>
      </c>
      <c r="Q8" s="195">
        <v>209969</v>
      </c>
      <c r="R8" s="195">
        <v>168931</v>
      </c>
      <c r="S8" s="268">
        <v>163904</v>
      </c>
      <c r="T8" s="268">
        <v>132400</v>
      </c>
      <c r="V8" s="198">
        <v>-0.20899999999999999</v>
      </c>
      <c r="W8" s="198">
        <v>-0.28599999999999998</v>
      </c>
      <c r="X8" s="198">
        <v>-0.48699999999999999</v>
      </c>
      <c r="Y8" s="198">
        <v>-0.58699999999999997</v>
      </c>
      <c r="Z8" s="282">
        <v>-0.03</v>
      </c>
      <c r="AA8" s="282">
        <f t="shared" ref="AA8:AA48" si="0">ROUND(T8/R8-1,3)</f>
        <v>-0.216</v>
      </c>
    </row>
    <row r="9" spans="1:27" ht="14.5" customHeight="1">
      <c r="A9" s="183" t="s">
        <v>116</v>
      </c>
      <c r="B9" s="195">
        <v>68333</v>
      </c>
      <c r="C9" s="195">
        <v>105496</v>
      </c>
      <c r="D9" s="195">
        <v>268417</v>
      </c>
      <c r="E9" s="195">
        <v>411292</v>
      </c>
      <c r="G9" s="196">
        <v>0.54400000000000004</v>
      </c>
      <c r="H9" s="196">
        <v>1.544</v>
      </c>
      <c r="I9" s="196">
        <v>0.53200000000000003</v>
      </c>
      <c r="K9" s="197">
        <v>140101</v>
      </c>
      <c r="L9" s="195">
        <v>170535</v>
      </c>
      <c r="M9" s="195">
        <v>240025</v>
      </c>
      <c r="N9" s="195">
        <v>268417</v>
      </c>
      <c r="O9" s="197">
        <v>311091</v>
      </c>
      <c r="P9" s="195">
        <v>314874</v>
      </c>
      <c r="Q9" s="195">
        <v>333301</v>
      </c>
      <c r="R9" s="195">
        <v>411292</v>
      </c>
      <c r="S9" s="268">
        <v>408509</v>
      </c>
      <c r="T9" s="268">
        <v>428671</v>
      </c>
      <c r="V9" s="198">
        <v>0.159</v>
      </c>
      <c r="W9" s="198">
        <v>0.17299999999999999</v>
      </c>
      <c r="X9" s="198">
        <v>0.24199999999999999</v>
      </c>
      <c r="Y9" s="198">
        <v>0.53200000000000003</v>
      </c>
      <c r="Z9" s="282">
        <v>-7.0000000000000001E-3</v>
      </c>
      <c r="AA9" s="282">
        <f t="shared" si="0"/>
        <v>4.2000000000000003E-2</v>
      </c>
    </row>
    <row r="10" spans="1:27" ht="14.5" customHeight="1">
      <c r="A10" s="204" t="s">
        <v>117</v>
      </c>
      <c r="B10" s="195">
        <v>0</v>
      </c>
      <c r="C10" s="195">
        <v>0</v>
      </c>
      <c r="D10" s="195">
        <v>1376</v>
      </c>
      <c r="E10" s="195">
        <v>0</v>
      </c>
      <c r="G10" s="195">
        <v>0</v>
      </c>
      <c r="H10" s="195">
        <v>0</v>
      </c>
      <c r="I10" s="196">
        <v>-1</v>
      </c>
      <c r="K10" s="197">
        <v>0</v>
      </c>
      <c r="L10" s="195">
        <v>0</v>
      </c>
      <c r="M10" s="195">
        <v>0</v>
      </c>
      <c r="N10" s="195">
        <v>1376</v>
      </c>
      <c r="O10" s="197">
        <v>0</v>
      </c>
      <c r="P10" s="195">
        <v>0</v>
      </c>
      <c r="Q10" s="195">
        <v>0</v>
      </c>
      <c r="R10" s="195">
        <v>0</v>
      </c>
      <c r="S10" s="268">
        <v>0</v>
      </c>
      <c r="T10" s="268">
        <v>0</v>
      </c>
      <c r="V10" s="198">
        <v>-1</v>
      </c>
      <c r="W10" s="198">
        <v>-1</v>
      </c>
      <c r="X10" s="198">
        <v>-1</v>
      </c>
      <c r="Y10" s="205">
        <v>-1</v>
      </c>
      <c r="Z10" s="284">
        <v>0</v>
      </c>
      <c r="AA10" s="284">
        <v>0</v>
      </c>
    </row>
    <row r="11" spans="1:27" ht="14.5" customHeight="1">
      <c r="A11" s="204" t="s">
        <v>118</v>
      </c>
      <c r="B11" s="195">
        <v>1702</v>
      </c>
      <c r="C11" s="195">
        <v>2668</v>
      </c>
      <c r="D11" s="195">
        <v>8126</v>
      </c>
      <c r="E11" s="195">
        <v>20415</v>
      </c>
      <c r="G11" s="196">
        <v>0.56799999999999995</v>
      </c>
      <c r="H11" s="196">
        <v>2.0459999999999998</v>
      </c>
      <c r="I11" s="196">
        <v>1.512</v>
      </c>
      <c r="K11" s="197">
        <v>7315</v>
      </c>
      <c r="L11" s="195">
        <v>5810</v>
      </c>
      <c r="M11" s="195">
        <v>6586</v>
      </c>
      <c r="N11" s="195">
        <v>8126</v>
      </c>
      <c r="O11" s="197">
        <v>13334</v>
      </c>
      <c r="P11" s="195">
        <v>15820</v>
      </c>
      <c r="Q11" s="195">
        <v>23940</v>
      </c>
      <c r="R11" s="195">
        <v>20415</v>
      </c>
      <c r="S11" s="268">
        <v>7809</v>
      </c>
      <c r="T11" s="268">
        <v>25272</v>
      </c>
      <c r="V11" s="198">
        <v>0.64100000000000001</v>
      </c>
      <c r="W11" s="198">
        <v>0.94699999999999995</v>
      </c>
      <c r="X11" s="198">
        <v>1.946</v>
      </c>
      <c r="Y11" s="198">
        <v>1.512</v>
      </c>
      <c r="Z11" s="282">
        <v>-0.61699999999999999</v>
      </c>
      <c r="AA11" s="282">
        <f t="shared" si="0"/>
        <v>0.23799999999999999</v>
      </c>
    </row>
    <row r="12" spans="1:27" ht="14.5" customHeight="1">
      <c r="A12" s="183" t="s">
        <v>119</v>
      </c>
      <c r="B12" s="195">
        <v>3057</v>
      </c>
      <c r="C12" s="195">
        <v>4203</v>
      </c>
      <c r="D12" s="195">
        <v>9962</v>
      </c>
      <c r="E12" s="195">
        <v>24442</v>
      </c>
      <c r="G12" s="196">
        <v>0.375</v>
      </c>
      <c r="H12" s="196">
        <v>1.37</v>
      </c>
      <c r="I12" s="196">
        <v>1.454</v>
      </c>
      <c r="K12" s="197">
        <v>17937</v>
      </c>
      <c r="L12" s="195">
        <v>17482</v>
      </c>
      <c r="M12" s="195">
        <v>13130</v>
      </c>
      <c r="N12" s="195">
        <v>9962</v>
      </c>
      <c r="O12" s="197">
        <v>7457</v>
      </c>
      <c r="P12" s="195">
        <v>19057</v>
      </c>
      <c r="Q12" s="195">
        <v>19400</v>
      </c>
      <c r="R12" s="195">
        <v>24442</v>
      </c>
      <c r="S12" s="268">
        <v>32492</v>
      </c>
      <c r="T12" s="268">
        <v>43497</v>
      </c>
      <c r="V12" s="198">
        <v>-0.251</v>
      </c>
      <c r="W12" s="198">
        <v>0.91300000000000003</v>
      </c>
      <c r="X12" s="198">
        <v>0.94699999999999995</v>
      </c>
      <c r="Y12" s="198">
        <v>1.454</v>
      </c>
      <c r="Z12" s="282">
        <v>0.32900000000000001</v>
      </c>
      <c r="AA12" s="282">
        <f t="shared" si="0"/>
        <v>0.78</v>
      </c>
    </row>
    <row r="13" spans="1:27" ht="14.5" customHeight="1">
      <c r="A13" s="183" t="s">
        <v>120</v>
      </c>
      <c r="B13" s="195">
        <v>901</v>
      </c>
      <c r="C13" s="195">
        <v>2078</v>
      </c>
      <c r="D13" s="195">
        <v>7374</v>
      </c>
      <c r="E13" s="195">
        <v>7444</v>
      </c>
      <c r="G13" s="196">
        <v>1.306</v>
      </c>
      <c r="H13" s="196">
        <v>2.5489999999999999</v>
      </c>
      <c r="I13" s="196">
        <v>8.9999999999999993E-3</v>
      </c>
      <c r="K13" s="197">
        <v>5176</v>
      </c>
      <c r="L13" s="195">
        <v>6899</v>
      </c>
      <c r="M13" s="195">
        <v>7605</v>
      </c>
      <c r="N13" s="195">
        <v>7374</v>
      </c>
      <c r="O13" s="197">
        <v>9461</v>
      </c>
      <c r="P13" s="195">
        <v>10266</v>
      </c>
      <c r="Q13" s="195">
        <v>9726</v>
      </c>
      <c r="R13" s="195">
        <v>7444</v>
      </c>
      <c r="S13" s="268">
        <v>9655</v>
      </c>
      <c r="T13" s="268">
        <v>9502</v>
      </c>
      <c r="V13" s="198">
        <v>0.28299999999999997</v>
      </c>
      <c r="W13" s="198">
        <v>0.39200000000000002</v>
      </c>
      <c r="X13" s="198">
        <v>0.31900000000000001</v>
      </c>
      <c r="Y13" s="198">
        <v>8.9999999999999993E-3</v>
      </c>
      <c r="Z13" s="282">
        <v>0.29699999999999999</v>
      </c>
      <c r="AA13" s="282">
        <f t="shared" si="0"/>
        <v>0.27600000000000002</v>
      </c>
    </row>
    <row r="14" spans="1:27" ht="14.5" customHeight="1">
      <c r="A14" s="183" t="s">
        <v>121</v>
      </c>
      <c r="B14" s="195">
        <v>4934</v>
      </c>
      <c r="C14" s="195">
        <v>7100</v>
      </c>
      <c r="D14" s="195">
        <v>4380</v>
      </c>
      <c r="E14" s="195">
        <v>10697</v>
      </c>
      <c r="G14" s="196">
        <v>0.439</v>
      </c>
      <c r="H14" s="196">
        <v>-0.38300000000000001</v>
      </c>
      <c r="I14" s="196">
        <v>1.4419999999999999</v>
      </c>
      <c r="K14" s="197">
        <v>7784</v>
      </c>
      <c r="L14" s="195">
        <v>3862</v>
      </c>
      <c r="M14" s="195">
        <v>6236</v>
      </c>
      <c r="N14" s="195">
        <v>4380</v>
      </c>
      <c r="O14" s="197">
        <v>3321</v>
      </c>
      <c r="P14" s="195">
        <v>14524</v>
      </c>
      <c r="Q14" s="195">
        <v>8771</v>
      </c>
      <c r="R14" s="195">
        <v>10697</v>
      </c>
      <c r="S14" s="268">
        <v>10598</v>
      </c>
      <c r="T14" s="268">
        <v>10966</v>
      </c>
      <c r="V14" s="198">
        <v>-0.24199999999999999</v>
      </c>
      <c r="W14" s="198">
        <v>2.3159999999999998</v>
      </c>
      <c r="X14" s="198">
        <v>1.0029999999999999</v>
      </c>
      <c r="Y14" s="198">
        <v>1.4419999999999999</v>
      </c>
      <c r="Z14" s="282">
        <v>-8.9999999999999993E-3</v>
      </c>
      <c r="AA14" s="282">
        <f t="shared" si="0"/>
        <v>2.5000000000000001E-2</v>
      </c>
    </row>
    <row r="15" spans="1:27" ht="5.15" customHeight="1">
      <c r="B15" s="195"/>
      <c r="C15" s="195"/>
      <c r="D15" s="195"/>
      <c r="E15" s="195"/>
      <c r="G15" s="196"/>
      <c r="H15" s="196"/>
      <c r="I15" s="196"/>
      <c r="K15" s="197"/>
      <c r="L15" s="195"/>
      <c r="M15" s="195"/>
      <c r="N15" s="195"/>
      <c r="O15" s="197"/>
      <c r="P15" s="195"/>
      <c r="Q15" s="195"/>
      <c r="R15" s="195"/>
      <c r="S15" s="268"/>
      <c r="T15" s="348"/>
      <c r="V15" s="198"/>
      <c r="W15" s="198"/>
      <c r="X15" s="198"/>
      <c r="Y15" s="198"/>
      <c r="Z15" s="282"/>
      <c r="AA15" s="282"/>
    </row>
    <row r="16" spans="1:27" ht="14.5" customHeight="1">
      <c r="A16" s="199" t="s">
        <v>122</v>
      </c>
      <c r="B16" s="200">
        <v>187405</v>
      </c>
      <c r="C16" s="200">
        <v>399850</v>
      </c>
      <c r="D16" s="200">
        <v>667060</v>
      </c>
      <c r="E16" s="200">
        <v>1338951</v>
      </c>
      <c r="G16" s="201">
        <v>1.1339999999999999</v>
      </c>
      <c r="H16" s="201">
        <v>0.66800000000000004</v>
      </c>
      <c r="I16" s="201">
        <v>1.0069999999999999</v>
      </c>
      <c r="K16" s="202">
        <v>518276</v>
      </c>
      <c r="L16" s="200">
        <v>527325</v>
      </c>
      <c r="M16" s="200">
        <v>522817</v>
      </c>
      <c r="N16" s="200">
        <v>667060</v>
      </c>
      <c r="O16" s="202">
        <v>941538</v>
      </c>
      <c r="P16" s="200">
        <v>1252022</v>
      </c>
      <c r="Q16" s="200">
        <v>1322849</v>
      </c>
      <c r="R16" s="200">
        <v>1338951</v>
      </c>
      <c r="S16" s="271">
        <v>1333993</v>
      </c>
      <c r="T16" s="271">
        <f>SUM(T17:T27)</f>
        <v>1332303</v>
      </c>
      <c r="V16" s="203">
        <v>0.41099999999999998</v>
      </c>
      <c r="W16" s="203">
        <v>0.877</v>
      </c>
      <c r="X16" s="203">
        <v>0.98</v>
      </c>
      <c r="Y16" s="203">
        <v>1.0069999999999999</v>
      </c>
      <c r="Z16" s="283">
        <v>-4.0000000000000001E-3</v>
      </c>
      <c r="AA16" s="283">
        <f t="shared" si="0"/>
        <v>-5.0000000000000001E-3</v>
      </c>
    </row>
    <row r="17" spans="1:27" ht="14.5" customHeight="1">
      <c r="A17" s="183" t="s">
        <v>123</v>
      </c>
      <c r="B17" s="195">
        <v>0</v>
      </c>
      <c r="C17" s="195">
        <v>7831</v>
      </c>
      <c r="D17" s="195">
        <v>8016</v>
      </c>
      <c r="E17" s="195">
        <v>34529</v>
      </c>
      <c r="G17" s="195">
        <v>0</v>
      </c>
      <c r="H17" s="196">
        <v>2.4E-2</v>
      </c>
      <c r="I17" s="196">
        <v>3.3079999999999998</v>
      </c>
      <c r="K17" s="197">
        <v>7905</v>
      </c>
      <c r="L17" s="195">
        <v>7953</v>
      </c>
      <c r="M17" s="195">
        <v>7986</v>
      </c>
      <c r="N17" s="195">
        <v>8016</v>
      </c>
      <c r="O17" s="197">
        <v>33348</v>
      </c>
      <c r="P17" s="195">
        <v>33704</v>
      </c>
      <c r="Q17" s="195">
        <v>34096</v>
      </c>
      <c r="R17" s="195">
        <v>34529</v>
      </c>
      <c r="S17" s="268">
        <v>35056</v>
      </c>
      <c r="T17" s="268">
        <v>35650</v>
      </c>
      <c r="V17" s="198">
        <v>3.16</v>
      </c>
      <c r="W17" s="198">
        <v>3.2050000000000001</v>
      </c>
      <c r="X17" s="198">
        <v>3.2530000000000001</v>
      </c>
      <c r="Y17" s="198">
        <v>3.3079999999999998</v>
      </c>
      <c r="Z17" s="282">
        <v>1.4999999999999999E-2</v>
      </c>
      <c r="AA17" s="282">
        <f t="shared" si="0"/>
        <v>3.2000000000000001E-2</v>
      </c>
    </row>
    <row r="18" spans="1:27" ht="14.5" customHeight="1">
      <c r="A18" s="204" t="s">
        <v>117</v>
      </c>
      <c r="B18" s="195">
        <v>0</v>
      </c>
      <c r="C18" s="195">
        <v>0</v>
      </c>
      <c r="D18" s="195">
        <v>0</v>
      </c>
      <c r="E18" s="195">
        <v>0</v>
      </c>
      <c r="F18" s="183"/>
      <c r="G18" s="196">
        <v>0</v>
      </c>
      <c r="H18" s="196">
        <v>0</v>
      </c>
      <c r="I18" s="196">
        <v>0</v>
      </c>
      <c r="K18" s="197">
        <v>0</v>
      </c>
      <c r="L18" s="195">
        <v>0</v>
      </c>
      <c r="M18" s="195">
        <v>0</v>
      </c>
      <c r="N18" s="195">
        <v>0</v>
      </c>
      <c r="O18" s="197">
        <v>0</v>
      </c>
      <c r="P18" s="195">
        <v>0</v>
      </c>
      <c r="Q18" s="195">
        <v>0</v>
      </c>
      <c r="R18" s="195">
        <v>0</v>
      </c>
      <c r="S18" s="268">
        <v>3697</v>
      </c>
      <c r="T18" s="268">
        <v>0</v>
      </c>
      <c r="U18" s="183"/>
      <c r="V18" s="198">
        <v>0</v>
      </c>
      <c r="W18" s="198">
        <v>0</v>
      </c>
      <c r="X18" s="198">
        <v>0</v>
      </c>
      <c r="Y18" s="198">
        <v>0</v>
      </c>
      <c r="Z18" s="196" t="s">
        <v>22</v>
      </c>
      <c r="AA18" s="196" t="e">
        <f t="shared" si="0"/>
        <v>#DIV/0!</v>
      </c>
    </row>
    <row r="19" spans="1:27" ht="14.5" customHeight="1">
      <c r="A19" s="183" t="s">
        <v>124</v>
      </c>
      <c r="B19" s="195">
        <v>0</v>
      </c>
      <c r="C19" s="195">
        <v>0</v>
      </c>
      <c r="D19" s="195">
        <v>36663</v>
      </c>
      <c r="E19" s="195">
        <v>36356</v>
      </c>
      <c r="G19" s="195">
        <v>0</v>
      </c>
      <c r="H19" s="195">
        <v>0</v>
      </c>
      <c r="I19" s="196">
        <v>-8.0000000000000002E-3</v>
      </c>
      <c r="K19" s="197">
        <v>35223</v>
      </c>
      <c r="L19" s="195">
        <v>35223</v>
      </c>
      <c r="M19" s="195">
        <v>35223</v>
      </c>
      <c r="N19" s="195">
        <v>36663</v>
      </c>
      <c r="O19" s="197">
        <v>31742</v>
      </c>
      <c r="P19" s="195">
        <v>33942</v>
      </c>
      <c r="Q19" s="195">
        <v>34821</v>
      </c>
      <c r="R19" s="195">
        <v>36356</v>
      </c>
      <c r="S19" s="268">
        <v>38266</v>
      </c>
      <c r="T19" s="268">
        <v>36362</v>
      </c>
      <c r="V19" s="198">
        <v>-0.13400000000000001</v>
      </c>
      <c r="W19" s="198">
        <v>-7.3999999999999996E-2</v>
      </c>
      <c r="X19" s="198">
        <v>-0.05</v>
      </c>
      <c r="Y19" s="198">
        <v>-8.0000000000000002E-3</v>
      </c>
      <c r="Z19" s="282">
        <v>5.2999999999999999E-2</v>
      </c>
      <c r="AA19" s="282">
        <f t="shared" si="0"/>
        <v>0</v>
      </c>
    </row>
    <row r="20" spans="1:27" ht="14.5" customHeight="1">
      <c r="A20" s="183" t="s">
        <v>94</v>
      </c>
      <c r="B20" s="195">
        <v>30805</v>
      </c>
      <c r="C20" s="195">
        <v>41189</v>
      </c>
      <c r="D20" s="195">
        <v>59270</v>
      </c>
      <c r="E20" s="195">
        <v>87046</v>
      </c>
      <c r="G20" s="196">
        <v>0.33700000000000002</v>
      </c>
      <c r="H20" s="196">
        <v>0.439</v>
      </c>
      <c r="I20" s="196">
        <v>0.46899999999999997</v>
      </c>
      <c r="K20" s="197">
        <v>48458</v>
      </c>
      <c r="L20" s="195">
        <v>47332</v>
      </c>
      <c r="M20" s="195">
        <v>44595</v>
      </c>
      <c r="N20" s="195">
        <v>59270</v>
      </c>
      <c r="O20" s="197">
        <v>65493</v>
      </c>
      <c r="P20" s="195">
        <v>86439</v>
      </c>
      <c r="Q20" s="195">
        <v>86550</v>
      </c>
      <c r="R20" s="195">
        <v>87046</v>
      </c>
      <c r="S20" s="268">
        <v>90245</v>
      </c>
      <c r="T20" s="268">
        <v>96034</v>
      </c>
      <c r="V20" s="198">
        <v>0.105</v>
      </c>
      <c r="W20" s="198">
        <v>0.45800000000000002</v>
      </c>
      <c r="X20" s="198">
        <v>0.46</v>
      </c>
      <c r="Y20" s="198">
        <v>0.46899999999999997</v>
      </c>
      <c r="Z20" s="282">
        <v>3.6999999999999998E-2</v>
      </c>
      <c r="AA20" s="282">
        <f t="shared" si="0"/>
        <v>0.10299999999999999</v>
      </c>
    </row>
    <row r="21" spans="1:27" ht="14.5" customHeight="1">
      <c r="A21" s="183" t="s">
        <v>125</v>
      </c>
      <c r="B21" s="195">
        <v>644</v>
      </c>
      <c r="C21" s="195">
        <v>810</v>
      </c>
      <c r="D21" s="195">
        <v>2132</v>
      </c>
      <c r="E21" s="195">
        <v>9185</v>
      </c>
      <c r="G21" s="196">
        <v>0.25800000000000001</v>
      </c>
      <c r="H21" s="196">
        <v>1.6319999999999999</v>
      </c>
      <c r="I21" s="196">
        <v>3.3079999999999998</v>
      </c>
      <c r="K21" s="197">
        <v>1673</v>
      </c>
      <c r="L21" s="195">
        <v>1779</v>
      </c>
      <c r="M21" s="195">
        <v>1666</v>
      </c>
      <c r="N21" s="195">
        <v>2132</v>
      </c>
      <c r="O21" s="197">
        <v>3064</v>
      </c>
      <c r="P21" s="195">
        <v>5495</v>
      </c>
      <c r="Q21" s="195">
        <v>6919</v>
      </c>
      <c r="R21" s="195">
        <v>9185</v>
      </c>
      <c r="S21" s="268">
        <v>9898</v>
      </c>
      <c r="T21" s="268">
        <v>10679</v>
      </c>
      <c r="V21" s="198">
        <v>0.437</v>
      </c>
      <c r="W21" s="198">
        <v>1.577</v>
      </c>
      <c r="X21" s="198">
        <v>2.2450000000000001</v>
      </c>
      <c r="Y21" s="198">
        <v>3.3079999999999998</v>
      </c>
      <c r="Z21" s="282">
        <v>7.8E-2</v>
      </c>
      <c r="AA21" s="282">
        <f t="shared" si="0"/>
        <v>0.16300000000000001</v>
      </c>
    </row>
    <row r="22" spans="1:27" ht="14.5" customHeight="1">
      <c r="A22" s="183" t="s">
        <v>155</v>
      </c>
      <c r="B22" s="195">
        <v>0</v>
      </c>
      <c r="C22" s="195">
        <v>0</v>
      </c>
      <c r="D22" s="195">
        <v>0</v>
      </c>
      <c r="E22" s="195">
        <v>7025</v>
      </c>
      <c r="G22" s="196">
        <v>0</v>
      </c>
      <c r="H22" s="196">
        <v>0</v>
      </c>
      <c r="I22" s="196" t="s">
        <v>22</v>
      </c>
      <c r="K22" s="197">
        <v>0</v>
      </c>
      <c r="L22" s="195">
        <v>0</v>
      </c>
      <c r="M22" s="195">
        <v>0</v>
      </c>
      <c r="N22" s="195">
        <v>0</v>
      </c>
      <c r="O22" s="197">
        <v>0</v>
      </c>
      <c r="P22" s="195">
        <v>0</v>
      </c>
      <c r="Q22" s="195">
        <v>0</v>
      </c>
      <c r="R22" s="195">
        <v>7025</v>
      </c>
      <c r="S22" s="268">
        <v>7026</v>
      </c>
      <c r="T22" s="268">
        <v>7026</v>
      </c>
      <c r="V22" s="198">
        <v>0</v>
      </c>
      <c r="W22" s="198">
        <v>0</v>
      </c>
      <c r="X22" s="198">
        <v>0</v>
      </c>
      <c r="Y22" s="196" t="s">
        <v>22</v>
      </c>
      <c r="Z22" s="264" t="s">
        <v>22</v>
      </c>
      <c r="AA22" s="264">
        <f t="shared" si="0"/>
        <v>0</v>
      </c>
    </row>
    <row r="23" spans="1:27" ht="14.5" customHeight="1">
      <c r="A23" s="183" t="s">
        <v>147</v>
      </c>
      <c r="B23" s="195">
        <v>1500</v>
      </c>
      <c r="C23" s="195">
        <v>2020</v>
      </c>
      <c r="D23" s="195">
        <v>0</v>
      </c>
      <c r="E23" s="195">
        <v>0</v>
      </c>
      <c r="G23" s="196">
        <v>0.34699999999999998</v>
      </c>
      <c r="H23" s="196">
        <v>-1</v>
      </c>
      <c r="I23" s="196">
        <v>0</v>
      </c>
      <c r="K23" s="197">
        <v>2020</v>
      </c>
      <c r="L23" s="195">
        <v>2020</v>
      </c>
      <c r="M23" s="195">
        <v>2720</v>
      </c>
      <c r="N23" s="195">
        <v>0</v>
      </c>
      <c r="O23" s="206">
        <v>0</v>
      </c>
      <c r="P23" s="195">
        <v>0</v>
      </c>
      <c r="Q23" s="195">
        <v>0</v>
      </c>
      <c r="R23" s="195">
        <v>0</v>
      </c>
      <c r="S23" s="268">
        <v>0</v>
      </c>
      <c r="T23" s="268">
        <v>0</v>
      </c>
      <c r="V23" s="195">
        <v>0</v>
      </c>
      <c r="W23" s="198">
        <v>0</v>
      </c>
      <c r="X23" s="198">
        <v>0</v>
      </c>
      <c r="Y23" s="198">
        <v>0</v>
      </c>
      <c r="Z23" s="282">
        <v>0</v>
      </c>
      <c r="AA23" s="282">
        <v>0</v>
      </c>
    </row>
    <row r="24" spans="1:27" ht="14.5" customHeight="1">
      <c r="A24" s="183" t="s">
        <v>47</v>
      </c>
      <c r="B24" s="195">
        <v>0</v>
      </c>
      <c r="C24" s="195">
        <v>0</v>
      </c>
      <c r="D24" s="195">
        <v>2653</v>
      </c>
      <c r="E24" s="195">
        <v>34420</v>
      </c>
      <c r="G24" s="195">
        <v>0</v>
      </c>
      <c r="H24" s="195">
        <v>0</v>
      </c>
      <c r="I24" s="196">
        <v>11.974</v>
      </c>
      <c r="K24" s="197">
        <v>0</v>
      </c>
      <c r="L24" s="195">
        <v>0</v>
      </c>
      <c r="M24" s="195">
        <v>0</v>
      </c>
      <c r="N24" s="195">
        <v>2653</v>
      </c>
      <c r="O24" s="197">
        <v>2653</v>
      </c>
      <c r="P24" s="195">
        <v>2653</v>
      </c>
      <c r="Q24" s="195">
        <v>4403</v>
      </c>
      <c r="R24" s="195">
        <v>34420</v>
      </c>
      <c r="S24" s="268">
        <v>33252</v>
      </c>
      <c r="T24" s="268">
        <v>32439</v>
      </c>
      <c r="V24" s="198">
        <v>0</v>
      </c>
      <c r="W24" s="198">
        <v>0</v>
      </c>
      <c r="X24" s="198">
        <v>0.66</v>
      </c>
      <c r="Y24" s="198">
        <v>11.974</v>
      </c>
      <c r="Z24" s="282">
        <v>-3.4000000000000002E-2</v>
      </c>
      <c r="AA24" s="282">
        <f t="shared" si="0"/>
        <v>-5.8000000000000003E-2</v>
      </c>
    </row>
    <row r="25" spans="1:27" ht="14.5" customHeight="1">
      <c r="A25" s="183" t="s">
        <v>126</v>
      </c>
      <c r="B25" s="195">
        <v>38666</v>
      </c>
      <c r="C25" s="195">
        <v>41037</v>
      </c>
      <c r="D25" s="195">
        <v>69532</v>
      </c>
      <c r="E25" s="195">
        <v>138332</v>
      </c>
      <c r="G25" s="196">
        <v>6.0999999999999999E-2</v>
      </c>
      <c r="H25" s="196">
        <v>0.69399999999999995</v>
      </c>
      <c r="I25" s="196">
        <v>0.98899999999999999</v>
      </c>
      <c r="K25" s="197">
        <v>46801</v>
      </c>
      <c r="L25" s="195">
        <v>49422</v>
      </c>
      <c r="M25" s="195">
        <v>47991</v>
      </c>
      <c r="N25" s="195">
        <v>69532</v>
      </c>
      <c r="O25" s="197">
        <v>99301</v>
      </c>
      <c r="P25" s="195">
        <v>130142</v>
      </c>
      <c r="Q25" s="195">
        <v>136496</v>
      </c>
      <c r="R25" s="195">
        <v>138332</v>
      </c>
      <c r="S25" s="268">
        <v>142990</v>
      </c>
      <c r="T25" s="268">
        <v>136159</v>
      </c>
      <c r="V25" s="198">
        <v>0.42799999999999999</v>
      </c>
      <c r="W25" s="198">
        <v>0.872</v>
      </c>
      <c r="X25" s="198">
        <v>0.96299999999999997</v>
      </c>
      <c r="Y25" s="198">
        <v>0.98899999999999999</v>
      </c>
      <c r="Z25" s="282">
        <v>3.4000000000000002E-2</v>
      </c>
      <c r="AA25" s="282">
        <f t="shared" si="0"/>
        <v>-1.6E-2</v>
      </c>
    </row>
    <row r="26" spans="1:27" ht="14.5" customHeight="1">
      <c r="A26" s="183" t="s">
        <v>127</v>
      </c>
      <c r="B26" s="195">
        <v>115790</v>
      </c>
      <c r="C26" s="195">
        <v>192640</v>
      </c>
      <c r="D26" s="195">
        <v>260629</v>
      </c>
      <c r="E26" s="195">
        <v>735005</v>
      </c>
      <c r="G26" s="196">
        <v>0.66400000000000003</v>
      </c>
      <c r="H26" s="196">
        <v>0.35299999999999998</v>
      </c>
      <c r="I26" s="196">
        <v>1.82</v>
      </c>
      <c r="K26" s="197">
        <v>227760</v>
      </c>
      <c r="L26" s="195">
        <v>221437</v>
      </c>
      <c r="M26" s="195">
        <v>219997</v>
      </c>
      <c r="N26" s="195">
        <v>260629</v>
      </c>
      <c r="O26" s="197">
        <v>440165</v>
      </c>
      <c r="P26" s="195">
        <v>689301</v>
      </c>
      <c r="Q26" s="195">
        <v>748377</v>
      </c>
      <c r="R26" s="195">
        <v>735005</v>
      </c>
      <c r="S26" s="268">
        <v>723955</v>
      </c>
      <c r="T26" s="268">
        <v>712472</v>
      </c>
      <c r="V26" s="198">
        <v>0.68899999999999995</v>
      </c>
      <c r="W26" s="198">
        <v>1.645</v>
      </c>
      <c r="X26" s="198">
        <v>1.871</v>
      </c>
      <c r="Y26" s="198">
        <v>1.82</v>
      </c>
      <c r="Z26" s="282">
        <v>-1.4999999999999999E-2</v>
      </c>
      <c r="AA26" s="282">
        <f t="shared" si="0"/>
        <v>-3.1E-2</v>
      </c>
    </row>
    <row r="27" spans="1:27" ht="14.5" customHeight="1">
      <c r="A27" s="183" t="s">
        <v>128</v>
      </c>
      <c r="B27" s="195">
        <v>0</v>
      </c>
      <c r="C27" s="195">
        <v>114323</v>
      </c>
      <c r="D27" s="195">
        <v>228165</v>
      </c>
      <c r="E27" s="195">
        <v>257053</v>
      </c>
      <c r="G27" s="195">
        <v>0</v>
      </c>
      <c r="H27" s="196">
        <v>0.996</v>
      </c>
      <c r="I27" s="196">
        <v>0.127</v>
      </c>
      <c r="K27" s="197">
        <v>148436</v>
      </c>
      <c r="L27" s="195">
        <v>162159</v>
      </c>
      <c r="M27" s="195">
        <v>162639</v>
      </c>
      <c r="N27" s="195">
        <v>228165</v>
      </c>
      <c r="O27" s="197">
        <v>265772</v>
      </c>
      <c r="P27" s="195">
        <v>270346</v>
      </c>
      <c r="Q27" s="195">
        <v>271187</v>
      </c>
      <c r="R27" s="195">
        <v>257053</v>
      </c>
      <c r="S27" s="268">
        <v>249608</v>
      </c>
      <c r="T27" s="268">
        <v>265482</v>
      </c>
      <c r="V27" s="198">
        <v>0.16500000000000001</v>
      </c>
      <c r="W27" s="198">
        <v>0.185</v>
      </c>
      <c r="X27" s="198">
        <v>0.189</v>
      </c>
      <c r="Y27" s="198">
        <v>0.127</v>
      </c>
      <c r="Z27" s="282">
        <v>-2.9000000000000001E-2</v>
      </c>
      <c r="AA27" s="282">
        <f t="shared" si="0"/>
        <v>3.3000000000000002E-2</v>
      </c>
    </row>
    <row r="28" spans="1:27" ht="5.15" customHeight="1">
      <c r="B28" s="195"/>
      <c r="C28" s="195"/>
      <c r="D28" s="195"/>
      <c r="E28" s="195"/>
      <c r="G28" s="196"/>
      <c r="H28" s="196"/>
      <c r="I28" s="196"/>
      <c r="K28" s="197"/>
      <c r="L28" s="195"/>
      <c r="M28" s="195"/>
      <c r="N28" s="195"/>
      <c r="O28" s="197"/>
      <c r="P28" s="195"/>
      <c r="Q28" s="195"/>
      <c r="R28" s="195"/>
      <c r="S28" s="268"/>
      <c r="T28" s="348"/>
      <c r="V28" s="198"/>
      <c r="W28" s="198"/>
      <c r="X28" s="198"/>
      <c r="Y28" s="198"/>
      <c r="Z28" s="282"/>
      <c r="AA28" s="282"/>
    </row>
    <row r="29" spans="1:27" ht="14.5" customHeight="1">
      <c r="A29" s="207" t="s">
        <v>130</v>
      </c>
      <c r="B29" s="208">
        <v>316842</v>
      </c>
      <c r="C29" s="208">
        <v>612994</v>
      </c>
      <c r="D29" s="208">
        <v>1375878</v>
      </c>
      <c r="E29" s="208">
        <v>1982172</v>
      </c>
      <c r="F29" s="189"/>
      <c r="G29" s="209">
        <v>0.93500000000000005</v>
      </c>
      <c r="H29" s="209">
        <v>1.2450000000000001</v>
      </c>
      <c r="I29" s="209">
        <v>0.441</v>
      </c>
      <c r="J29" s="189"/>
      <c r="K29" s="210">
        <v>760782</v>
      </c>
      <c r="L29" s="208">
        <v>804362</v>
      </c>
      <c r="M29" s="208">
        <v>910926</v>
      </c>
      <c r="N29" s="208">
        <v>1375878</v>
      </c>
      <c r="O29" s="210">
        <v>1609696</v>
      </c>
      <c r="P29" s="208">
        <v>1918805</v>
      </c>
      <c r="Q29" s="208">
        <v>1927956</v>
      </c>
      <c r="R29" s="208">
        <v>1982172</v>
      </c>
      <c r="S29" s="279">
        <v>1966960</v>
      </c>
      <c r="T29" s="279">
        <f>SUM(T31,T40,T50,)</f>
        <v>1982610.6784105739</v>
      </c>
      <c r="U29" s="189"/>
      <c r="V29" s="209">
        <v>0.17</v>
      </c>
      <c r="W29" s="209">
        <v>0.39500000000000002</v>
      </c>
      <c r="X29" s="209">
        <v>0.40100000000000002</v>
      </c>
      <c r="Y29" s="209">
        <v>0.441</v>
      </c>
      <c r="Z29" s="285">
        <v>-8.0000000000000002E-3</v>
      </c>
      <c r="AA29" s="285">
        <f t="shared" si="0"/>
        <v>0</v>
      </c>
    </row>
    <row r="30" spans="1:27" ht="5.15" customHeight="1">
      <c r="B30" s="195"/>
      <c r="C30" s="195"/>
      <c r="D30" s="195"/>
      <c r="E30" s="195"/>
      <c r="G30" s="196"/>
      <c r="H30" s="196"/>
      <c r="I30" s="196"/>
      <c r="K30" s="197"/>
      <c r="L30" s="195"/>
      <c r="M30" s="195"/>
      <c r="N30" s="195"/>
      <c r="O30" s="197"/>
      <c r="P30" s="195"/>
      <c r="Q30" s="195"/>
      <c r="R30" s="195"/>
      <c r="S30" s="268"/>
      <c r="T30" s="348"/>
      <c r="V30" s="198"/>
      <c r="W30" s="198"/>
      <c r="X30" s="198"/>
      <c r="Y30" s="198"/>
      <c r="Z30" s="282"/>
      <c r="AA30" s="282"/>
    </row>
    <row r="31" spans="1:27" ht="14.5" customHeight="1">
      <c r="A31" s="199" t="s">
        <v>129</v>
      </c>
      <c r="B31" s="200">
        <v>122695</v>
      </c>
      <c r="C31" s="200">
        <v>201202</v>
      </c>
      <c r="D31" s="200">
        <v>328037</v>
      </c>
      <c r="E31" s="200">
        <v>516523</v>
      </c>
      <c r="G31" s="201">
        <v>0.64</v>
      </c>
      <c r="H31" s="201">
        <v>0.63</v>
      </c>
      <c r="I31" s="201">
        <v>0.57499999999999996</v>
      </c>
      <c r="K31" s="202">
        <v>239973</v>
      </c>
      <c r="L31" s="200">
        <v>264500</v>
      </c>
      <c r="M31" s="200">
        <v>310855</v>
      </c>
      <c r="N31" s="200">
        <v>328037</v>
      </c>
      <c r="O31" s="202">
        <v>479638</v>
      </c>
      <c r="P31" s="200">
        <v>534219</v>
      </c>
      <c r="Q31" s="200">
        <v>499354</v>
      </c>
      <c r="R31" s="200">
        <v>516523</v>
      </c>
      <c r="S31" s="271">
        <v>490094</v>
      </c>
      <c r="T31" s="271">
        <f>SUM(T32:T38)</f>
        <v>564255</v>
      </c>
      <c r="V31" s="203">
        <v>0.46200000000000002</v>
      </c>
      <c r="W31" s="203">
        <v>0.629</v>
      </c>
      <c r="X31" s="203">
        <v>0.52200000000000002</v>
      </c>
      <c r="Y31" s="203">
        <v>0.57499999999999996</v>
      </c>
      <c r="Z31" s="283">
        <v>-5.0999999999999997E-2</v>
      </c>
      <c r="AA31" s="283">
        <f t="shared" si="0"/>
        <v>9.1999999999999998E-2</v>
      </c>
    </row>
    <row r="32" spans="1:27" ht="14.5" customHeight="1">
      <c r="A32" s="183" t="s">
        <v>131</v>
      </c>
      <c r="B32" s="195">
        <v>54910</v>
      </c>
      <c r="C32" s="195">
        <v>60889</v>
      </c>
      <c r="D32" s="195">
        <v>8878</v>
      </c>
      <c r="E32" s="195">
        <v>43298</v>
      </c>
      <c r="G32" s="196">
        <v>0.109</v>
      </c>
      <c r="H32" s="196">
        <v>-0.85399999999999998</v>
      </c>
      <c r="I32" s="196">
        <v>3.8769999999999998</v>
      </c>
      <c r="K32" s="197">
        <v>39139</v>
      </c>
      <c r="L32" s="195">
        <v>39483</v>
      </c>
      <c r="M32" s="195">
        <v>34516</v>
      </c>
      <c r="N32" s="195">
        <v>8878</v>
      </c>
      <c r="O32" s="197">
        <v>56581</v>
      </c>
      <c r="P32" s="195">
        <v>77905</v>
      </c>
      <c r="Q32" s="195">
        <v>103410</v>
      </c>
      <c r="R32" s="195">
        <v>43298</v>
      </c>
      <c r="S32" s="268">
        <v>34421</v>
      </c>
      <c r="T32" s="268">
        <v>66475</v>
      </c>
      <c r="V32" s="198">
        <v>5.3730000000000002</v>
      </c>
      <c r="W32" s="198">
        <v>7.7750000000000004</v>
      </c>
      <c r="X32" s="198">
        <v>10.648</v>
      </c>
      <c r="Y32" s="198">
        <v>3.8769999999999998</v>
      </c>
      <c r="Z32" s="282">
        <v>-0.20499999999999999</v>
      </c>
      <c r="AA32" s="282">
        <f t="shared" si="0"/>
        <v>0.53500000000000003</v>
      </c>
    </row>
    <row r="33" spans="1:27" ht="14.5" customHeight="1">
      <c r="A33" s="183" t="s">
        <v>117</v>
      </c>
      <c r="B33" s="195">
        <v>0</v>
      </c>
      <c r="C33" s="195">
        <v>0</v>
      </c>
      <c r="D33" s="195">
        <v>0</v>
      </c>
      <c r="E33" s="195">
        <v>4252</v>
      </c>
      <c r="G33" s="195">
        <v>0</v>
      </c>
      <c r="H33" s="195">
        <v>0</v>
      </c>
      <c r="I33" s="196" t="s">
        <v>22</v>
      </c>
      <c r="K33" s="197">
        <v>0</v>
      </c>
      <c r="L33" s="195">
        <v>0</v>
      </c>
      <c r="M33" s="195">
        <v>0</v>
      </c>
      <c r="N33" s="195">
        <v>0</v>
      </c>
      <c r="O33" s="197">
        <v>310</v>
      </c>
      <c r="P33" s="195">
        <v>1377</v>
      </c>
      <c r="Q33" s="195">
        <v>2890</v>
      </c>
      <c r="R33" s="195">
        <v>4252</v>
      </c>
      <c r="S33" s="268">
        <v>0</v>
      </c>
      <c r="T33" s="268">
        <v>0</v>
      </c>
      <c r="V33" s="195">
        <v>0</v>
      </c>
      <c r="W33" s="198">
        <v>0</v>
      </c>
      <c r="X33" s="198">
        <v>0</v>
      </c>
      <c r="Y33" s="196" t="s">
        <v>22</v>
      </c>
      <c r="Z33" s="282">
        <v>-1</v>
      </c>
      <c r="AA33" s="282">
        <f t="shared" si="0"/>
        <v>-1</v>
      </c>
    </row>
    <row r="34" spans="1:27" ht="14.5" customHeight="1">
      <c r="A34" s="183" t="s">
        <v>132</v>
      </c>
      <c r="B34" s="195">
        <v>0</v>
      </c>
      <c r="C34" s="195">
        <v>28371</v>
      </c>
      <c r="D34" s="195">
        <v>59629</v>
      </c>
      <c r="E34" s="195">
        <v>80346</v>
      </c>
      <c r="G34" s="195">
        <v>0</v>
      </c>
      <c r="H34" s="196">
        <v>1.1020000000000001</v>
      </c>
      <c r="I34" s="196">
        <v>0.34699999999999998</v>
      </c>
      <c r="K34" s="197">
        <v>46569</v>
      </c>
      <c r="L34" s="195">
        <v>46143</v>
      </c>
      <c r="M34" s="195">
        <v>48593</v>
      </c>
      <c r="N34" s="195">
        <v>59629</v>
      </c>
      <c r="O34" s="197">
        <v>74175</v>
      </c>
      <c r="P34" s="195">
        <v>76363</v>
      </c>
      <c r="Q34" s="195">
        <v>78531</v>
      </c>
      <c r="R34" s="195">
        <v>80346</v>
      </c>
      <c r="S34" s="268">
        <v>35845</v>
      </c>
      <c r="T34" s="268">
        <v>56296</v>
      </c>
      <c r="V34" s="198">
        <v>0.24399999999999999</v>
      </c>
      <c r="W34" s="198">
        <v>0.28100000000000003</v>
      </c>
      <c r="X34" s="198">
        <v>0.317</v>
      </c>
      <c r="Y34" s="198">
        <v>0.34699999999999998</v>
      </c>
      <c r="Z34" s="282">
        <v>-0.55400000000000005</v>
      </c>
      <c r="AA34" s="282">
        <f t="shared" si="0"/>
        <v>-0.29899999999999999</v>
      </c>
    </row>
    <row r="35" spans="1:27">
      <c r="A35" s="183" t="s">
        <v>133</v>
      </c>
      <c r="B35" s="195">
        <v>34423</v>
      </c>
      <c r="C35" s="195">
        <v>51754</v>
      </c>
      <c r="D35" s="195">
        <v>121634</v>
      </c>
      <c r="E35" s="195">
        <v>175530</v>
      </c>
      <c r="G35" s="196">
        <v>0.503</v>
      </c>
      <c r="H35" s="196">
        <v>1.35</v>
      </c>
      <c r="I35" s="196">
        <v>0.443</v>
      </c>
      <c r="K35" s="197">
        <v>65457</v>
      </c>
      <c r="L35" s="195">
        <v>72015</v>
      </c>
      <c r="M35" s="195">
        <v>94099</v>
      </c>
      <c r="N35" s="195">
        <v>121634</v>
      </c>
      <c r="O35" s="197">
        <v>114159</v>
      </c>
      <c r="P35" s="195">
        <v>108182</v>
      </c>
      <c r="Q35" s="195">
        <v>98837</v>
      </c>
      <c r="R35" s="195">
        <v>175530</v>
      </c>
      <c r="S35" s="268">
        <v>208325</v>
      </c>
      <c r="T35" s="268">
        <v>228644</v>
      </c>
      <c r="V35" s="198">
        <v>-6.0999999999999999E-2</v>
      </c>
      <c r="W35" s="198">
        <v>-0.111</v>
      </c>
      <c r="X35" s="198">
        <v>-0.187</v>
      </c>
      <c r="Y35" s="198">
        <v>0.443</v>
      </c>
      <c r="Z35" s="282">
        <v>0.187</v>
      </c>
      <c r="AA35" s="282">
        <f t="shared" si="0"/>
        <v>0.30299999999999999</v>
      </c>
    </row>
    <row r="36" spans="1:27">
      <c r="A36" s="183" t="s">
        <v>134</v>
      </c>
      <c r="B36" s="195">
        <v>20874</v>
      </c>
      <c r="C36" s="195">
        <v>34990</v>
      </c>
      <c r="D36" s="195">
        <v>65864</v>
      </c>
      <c r="E36" s="195">
        <v>121926</v>
      </c>
      <c r="G36" s="196">
        <v>0.67600000000000005</v>
      </c>
      <c r="H36" s="196">
        <v>0.88200000000000001</v>
      </c>
      <c r="I36" s="196">
        <v>0.85099999999999998</v>
      </c>
      <c r="K36" s="197">
        <v>54625</v>
      </c>
      <c r="L36" s="195">
        <v>72676</v>
      </c>
      <c r="M36" s="195">
        <v>73621</v>
      </c>
      <c r="N36" s="195">
        <v>65864</v>
      </c>
      <c r="O36" s="197">
        <v>148034</v>
      </c>
      <c r="P36" s="195">
        <v>136248</v>
      </c>
      <c r="Q36" s="195">
        <v>120313</v>
      </c>
      <c r="R36" s="195">
        <v>121926</v>
      </c>
      <c r="S36" s="268">
        <v>129368</v>
      </c>
      <c r="T36" s="268">
        <v>149700</v>
      </c>
      <c r="V36" s="198">
        <v>1.248</v>
      </c>
      <c r="W36" s="198">
        <v>1.069</v>
      </c>
      <c r="X36" s="198">
        <v>0.82699999999999996</v>
      </c>
      <c r="Y36" s="198">
        <v>0.85099999999999998</v>
      </c>
      <c r="Z36" s="282">
        <v>6.0999999999999999E-2</v>
      </c>
      <c r="AA36" s="282">
        <f t="shared" si="0"/>
        <v>0.22800000000000001</v>
      </c>
    </row>
    <row r="37" spans="1:27">
      <c r="A37" s="183" t="s">
        <v>135</v>
      </c>
      <c r="B37" s="195">
        <v>0</v>
      </c>
      <c r="C37" s="195">
        <v>3748</v>
      </c>
      <c r="D37" s="195">
        <v>22441</v>
      </c>
      <c r="E37" s="195">
        <v>63309</v>
      </c>
      <c r="G37" s="195">
        <v>0</v>
      </c>
      <c r="H37" s="196">
        <v>4.9870000000000001</v>
      </c>
      <c r="I37" s="196">
        <v>1.821</v>
      </c>
      <c r="K37" s="197">
        <v>2448</v>
      </c>
      <c r="L37" s="195">
        <v>1179</v>
      </c>
      <c r="M37" s="195">
        <v>1185</v>
      </c>
      <c r="N37" s="195">
        <v>22441</v>
      </c>
      <c r="O37" s="197">
        <v>28987</v>
      </c>
      <c r="P37" s="195">
        <v>77619</v>
      </c>
      <c r="Q37" s="195">
        <v>63355</v>
      </c>
      <c r="R37" s="195">
        <v>63309</v>
      </c>
      <c r="S37" s="268">
        <v>68156</v>
      </c>
      <c r="T37" s="268">
        <v>54985</v>
      </c>
      <c r="V37" s="198">
        <v>0.29199999999999998</v>
      </c>
      <c r="W37" s="198">
        <v>2.4590000000000001</v>
      </c>
      <c r="X37" s="198">
        <v>1.823</v>
      </c>
      <c r="Y37" s="198">
        <v>1.821</v>
      </c>
      <c r="Z37" s="282">
        <v>7.6999999999999999E-2</v>
      </c>
      <c r="AA37" s="282">
        <f t="shared" si="0"/>
        <v>-0.13100000000000001</v>
      </c>
    </row>
    <row r="38" spans="1:27">
      <c r="A38" s="183" t="s">
        <v>136</v>
      </c>
      <c r="B38" s="195">
        <v>12488</v>
      </c>
      <c r="C38" s="195">
        <v>21450</v>
      </c>
      <c r="D38" s="195">
        <v>49591</v>
      </c>
      <c r="E38" s="195">
        <v>27862</v>
      </c>
      <c r="G38" s="196">
        <v>0.71799999999999997</v>
      </c>
      <c r="H38" s="196">
        <v>1.3120000000000001</v>
      </c>
      <c r="I38" s="196">
        <v>-0.438</v>
      </c>
      <c r="K38" s="197">
        <v>31735</v>
      </c>
      <c r="L38" s="195">
        <v>33004</v>
      </c>
      <c r="M38" s="195">
        <v>58841</v>
      </c>
      <c r="N38" s="195">
        <v>49591</v>
      </c>
      <c r="O38" s="197">
        <v>57392</v>
      </c>
      <c r="P38" s="195">
        <v>56625</v>
      </c>
      <c r="Q38" s="195">
        <v>32018</v>
      </c>
      <c r="R38" s="195">
        <v>27862</v>
      </c>
      <c r="S38" s="268">
        <v>13979</v>
      </c>
      <c r="T38" s="268">
        <v>8155</v>
      </c>
      <c r="V38" s="198">
        <v>0.157</v>
      </c>
      <c r="W38" s="198">
        <v>0.14199999999999999</v>
      </c>
      <c r="X38" s="198">
        <v>-0.35399999999999998</v>
      </c>
      <c r="Y38" s="198">
        <v>-0.438</v>
      </c>
      <c r="Z38" s="282">
        <v>-0.498</v>
      </c>
      <c r="AA38" s="282">
        <f t="shared" si="0"/>
        <v>-0.70699999999999996</v>
      </c>
    </row>
    <row r="39" spans="1:27" ht="5.15" customHeight="1">
      <c r="K39" s="190"/>
      <c r="O39" s="190"/>
      <c r="S39" s="277"/>
      <c r="T39" s="347"/>
      <c r="Z39" s="277"/>
      <c r="AA39" s="277"/>
    </row>
    <row r="40" spans="1:27">
      <c r="A40" s="199" t="s">
        <v>137</v>
      </c>
      <c r="B40" s="200">
        <v>104447</v>
      </c>
      <c r="C40" s="200">
        <v>325448</v>
      </c>
      <c r="D40" s="200">
        <v>636516</v>
      </c>
      <c r="E40" s="200">
        <v>864818</v>
      </c>
      <c r="G40" s="201">
        <v>2.1160000000000001</v>
      </c>
      <c r="H40" s="201">
        <v>0.95599999999999996</v>
      </c>
      <c r="I40" s="201">
        <v>0.35899999999999999</v>
      </c>
      <c r="K40" s="202">
        <v>445266</v>
      </c>
      <c r="L40" s="200">
        <v>474427</v>
      </c>
      <c r="M40" s="200">
        <v>527267</v>
      </c>
      <c r="N40" s="200">
        <v>636516</v>
      </c>
      <c r="O40" s="202">
        <v>732670</v>
      </c>
      <c r="P40" s="200">
        <v>783714</v>
      </c>
      <c r="Q40" s="200">
        <v>825869</v>
      </c>
      <c r="R40" s="200">
        <v>864818</v>
      </c>
      <c r="S40" s="271">
        <v>904210</v>
      </c>
      <c r="T40" s="271">
        <f>SUM(T41:T48)</f>
        <v>869997</v>
      </c>
      <c r="V40" s="203">
        <v>0.151</v>
      </c>
      <c r="W40" s="203">
        <v>0.23100000000000001</v>
      </c>
      <c r="X40" s="203">
        <v>0.29699999999999999</v>
      </c>
      <c r="Y40" s="203">
        <v>0.35899999999999999</v>
      </c>
      <c r="Z40" s="283">
        <v>4.5999999999999999E-2</v>
      </c>
      <c r="AA40" s="283">
        <f t="shared" si="0"/>
        <v>6.0000000000000001E-3</v>
      </c>
    </row>
    <row r="41" spans="1:27">
      <c r="A41" s="183" t="s">
        <v>138</v>
      </c>
      <c r="B41" s="195">
        <v>67619</v>
      </c>
      <c r="C41" s="195">
        <v>167513</v>
      </c>
      <c r="D41" s="195">
        <v>348224</v>
      </c>
      <c r="E41" s="195">
        <v>329688</v>
      </c>
      <c r="G41" s="196">
        <v>1.4770000000000001</v>
      </c>
      <c r="H41" s="196">
        <v>1.079</v>
      </c>
      <c r="I41" s="196">
        <v>-5.2999999999999999E-2</v>
      </c>
      <c r="K41" s="197">
        <v>217028</v>
      </c>
      <c r="L41" s="195">
        <v>230811</v>
      </c>
      <c r="M41" s="195">
        <v>285163</v>
      </c>
      <c r="N41" s="195">
        <v>348224</v>
      </c>
      <c r="O41" s="197">
        <v>348853</v>
      </c>
      <c r="P41" s="195">
        <v>309710</v>
      </c>
      <c r="Q41" s="195">
        <v>272199</v>
      </c>
      <c r="R41" s="195">
        <v>329688</v>
      </c>
      <c r="S41" s="268">
        <v>349731</v>
      </c>
      <c r="T41" s="268">
        <v>318532</v>
      </c>
      <c r="V41" s="198">
        <v>2E-3</v>
      </c>
      <c r="W41" s="198">
        <v>-0.111</v>
      </c>
      <c r="X41" s="198">
        <v>-0.218</v>
      </c>
      <c r="Y41" s="198">
        <v>-5.2999999999999999E-2</v>
      </c>
      <c r="Z41" s="282">
        <v>6.0999999999999999E-2</v>
      </c>
      <c r="AA41" s="282">
        <f t="shared" si="0"/>
        <v>-3.4000000000000002E-2</v>
      </c>
    </row>
    <row r="42" spans="1:27">
      <c r="A42" s="183" t="s">
        <v>117</v>
      </c>
      <c r="B42" s="195">
        <v>0</v>
      </c>
      <c r="C42" s="195">
        <v>0</v>
      </c>
      <c r="D42" s="195">
        <v>1720</v>
      </c>
      <c r="E42" s="195">
        <v>2694</v>
      </c>
      <c r="G42" s="195">
        <v>0</v>
      </c>
      <c r="H42" s="195">
        <v>0</v>
      </c>
      <c r="I42" s="196">
        <v>0.56599999999999995</v>
      </c>
      <c r="K42" s="197">
        <v>0</v>
      </c>
      <c r="L42" s="195">
        <v>0</v>
      </c>
      <c r="M42" s="195">
        <v>0</v>
      </c>
      <c r="N42" s="195">
        <v>1720</v>
      </c>
      <c r="O42" s="197">
        <v>3723</v>
      </c>
      <c r="P42" s="195">
        <v>2893</v>
      </c>
      <c r="Q42" s="195">
        <v>3515</v>
      </c>
      <c r="R42" s="195">
        <v>2694</v>
      </c>
      <c r="S42" s="268">
        <v>0</v>
      </c>
      <c r="T42" s="268">
        <v>22967</v>
      </c>
      <c r="V42" s="198">
        <v>1.165</v>
      </c>
      <c r="W42" s="198">
        <v>0.68200000000000005</v>
      </c>
      <c r="X42" s="198">
        <v>1.044</v>
      </c>
      <c r="Y42" s="198">
        <v>0.56599999999999995</v>
      </c>
      <c r="Z42" s="282">
        <v>-1</v>
      </c>
      <c r="AA42" s="282">
        <f t="shared" si="0"/>
        <v>7.5250000000000004</v>
      </c>
    </row>
    <row r="43" spans="1:27">
      <c r="A43" s="183" t="s">
        <v>132</v>
      </c>
      <c r="B43" s="195">
        <v>0</v>
      </c>
      <c r="C43" s="195">
        <v>90898</v>
      </c>
      <c r="D43" s="195">
        <v>182392</v>
      </c>
      <c r="E43" s="195">
        <v>214786</v>
      </c>
      <c r="G43" s="195">
        <v>0</v>
      </c>
      <c r="H43" s="196">
        <v>1.0069999999999999</v>
      </c>
      <c r="I43" s="196">
        <v>0.17799999999999999</v>
      </c>
      <c r="K43" s="197">
        <v>108295</v>
      </c>
      <c r="L43" s="195">
        <v>125494</v>
      </c>
      <c r="M43" s="195">
        <v>124862</v>
      </c>
      <c r="N43" s="195">
        <v>182392</v>
      </c>
      <c r="O43" s="197">
        <v>214228</v>
      </c>
      <c r="P43" s="195">
        <v>221125</v>
      </c>
      <c r="Q43" s="195">
        <v>224641</v>
      </c>
      <c r="R43" s="195">
        <v>214786</v>
      </c>
      <c r="S43" s="268">
        <v>251180</v>
      </c>
      <c r="T43" s="268">
        <v>246714</v>
      </c>
      <c r="V43" s="198">
        <v>0.17499999999999999</v>
      </c>
      <c r="W43" s="198">
        <v>0.21199999999999999</v>
      </c>
      <c r="X43" s="198">
        <v>0.23200000000000001</v>
      </c>
      <c r="Y43" s="198">
        <v>0.17799999999999999</v>
      </c>
      <c r="Z43" s="282">
        <v>0.16900000000000001</v>
      </c>
      <c r="AA43" s="282">
        <f t="shared" si="0"/>
        <v>0.14899999999999999</v>
      </c>
    </row>
    <row r="44" spans="1:27">
      <c r="A44" s="183" t="s">
        <v>134</v>
      </c>
      <c r="B44" s="195">
        <v>53</v>
      </c>
      <c r="C44" s="195">
        <v>64</v>
      </c>
      <c r="D44" s="195">
        <v>14701</v>
      </c>
      <c r="E44" s="195">
        <v>63854</v>
      </c>
      <c r="G44" s="196">
        <v>0.20799999999999999</v>
      </c>
      <c r="H44" s="196">
        <v>228.703</v>
      </c>
      <c r="I44" s="196">
        <v>3.3439999999999999</v>
      </c>
      <c r="K44" s="197">
        <v>9296</v>
      </c>
      <c r="L44" s="195">
        <v>13084</v>
      </c>
      <c r="M44" s="195">
        <v>13024</v>
      </c>
      <c r="N44" s="195">
        <v>14701</v>
      </c>
      <c r="O44" s="197">
        <v>33483</v>
      </c>
      <c r="P44" s="195">
        <v>41573</v>
      </c>
      <c r="Q44" s="195">
        <v>66375</v>
      </c>
      <c r="R44" s="195">
        <v>63854</v>
      </c>
      <c r="S44" s="268">
        <v>65322</v>
      </c>
      <c r="T44" s="268">
        <v>50067</v>
      </c>
      <c r="V44" s="198">
        <v>1.278</v>
      </c>
      <c r="W44" s="198">
        <v>1.8280000000000001</v>
      </c>
      <c r="X44" s="198">
        <v>3.5150000000000001</v>
      </c>
      <c r="Y44" s="198">
        <v>3.3439999999999999</v>
      </c>
      <c r="Z44" s="282">
        <v>2.3E-2</v>
      </c>
      <c r="AA44" s="282">
        <f t="shared" si="0"/>
        <v>-0.216</v>
      </c>
    </row>
    <row r="45" spans="1:27">
      <c r="A45" s="183" t="s">
        <v>139</v>
      </c>
      <c r="B45" s="195">
        <v>21159</v>
      </c>
      <c r="C45" s="195">
        <v>31028</v>
      </c>
      <c r="D45" s="195">
        <v>17168</v>
      </c>
      <c r="E45" s="195">
        <v>57516</v>
      </c>
      <c r="G45" s="196">
        <v>0.46600000000000003</v>
      </c>
      <c r="H45" s="196">
        <v>-0.44700000000000001</v>
      </c>
      <c r="I45" s="196">
        <v>2.35</v>
      </c>
      <c r="K45" s="197">
        <v>33177</v>
      </c>
      <c r="L45" s="195">
        <v>32612</v>
      </c>
      <c r="M45" s="195">
        <v>31882</v>
      </c>
      <c r="N45" s="195">
        <v>17168</v>
      </c>
      <c r="O45" s="197">
        <v>23742</v>
      </c>
      <c r="P45" s="195">
        <v>57873</v>
      </c>
      <c r="Q45" s="195">
        <v>58565</v>
      </c>
      <c r="R45" s="195">
        <v>57516</v>
      </c>
      <c r="S45" s="268">
        <v>45468</v>
      </c>
      <c r="T45" s="268">
        <v>32868</v>
      </c>
      <c r="V45" s="198">
        <v>0.38300000000000001</v>
      </c>
      <c r="W45" s="198">
        <v>2.371</v>
      </c>
      <c r="X45" s="198">
        <v>2.411</v>
      </c>
      <c r="Y45" s="198">
        <v>2.35</v>
      </c>
      <c r="Z45" s="282">
        <v>-0.20899999999999999</v>
      </c>
      <c r="AA45" s="282">
        <f t="shared" si="0"/>
        <v>-0.42899999999999999</v>
      </c>
    </row>
    <row r="46" spans="1:27">
      <c r="A46" s="183" t="s">
        <v>140</v>
      </c>
      <c r="B46" s="195">
        <v>4034</v>
      </c>
      <c r="C46" s="195">
        <v>23672</v>
      </c>
      <c r="D46" s="195">
        <v>71005</v>
      </c>
      <c r="E46" s="195">
        <v>196059</v>
      </c>
      <c r="G46" s="196">
        <v>4.8680000000000003</v>
      </c>
      <c r="H46" s="196">
        <v>2</v>
      </c>
      <c r="I46" s="196">
        <v>1.7609999999999999</v>
      </c>
      <c r="K46" s="197">
        <v>63970</v>
      </c>
      <c r="L46" s="195">
        <v>58834</v>
      </c>
      <c r="M46" s="195">
        <v>58680</v>
      </c>
      <c r="N46" s="195">
        <v>71005</v>
      </c>
      <c r="O46" s="197">
        <v>106981</v>
      </c>
      <c r="P46" s="195">
        <v>148838</v>
      </c>
      <c r="Q46" s="195">
        <v>198875</v>
      </c>
      <c r="R46" s="195">
        <v>196059</v>
      </c>
      <c r="S46" s="268">
        <v>192356</v>
      </c>
      <c r="T46" s="268">
        <v>193419</v>
      </c>
      <c r="V46" s="198">
        <v>0.50700000000000001</v>
      </c>
      <c r="W46" s="198">
        <v>1.0960000000000001</v>
      </c>
      <c r="X46" s="198">
        <v>1.8009999999999999</v>
      </c>
      <c r="Y46" s="198">
        <v>1.7609999999999999</v>
      </c>
      <c r="Z46" s="282">
        <v>-1.9E-2</v>
      </c>
      <c r="AA46" s="282">
        <f t="shared" si="0"/>
        <v>-1.2999999999999999E-2</v>
      </c>
    </row>
    <row r="47" spans="1:27">
      <c r="A47" s="183" t="s">
        <v>245</v>
      </c>
      <c r="B47" s="195">
        <v>0</v>
      </c>
      <c r="C47" s="195">
        <v>0</v>
      </c>
      <c r="D47" s="195">
        <v>0</v>
      </c>
      <c r="E47" s="195">
        <v>0</v>
      </c>
      <c r="G47" s="195">
        <v>0</v>
      </c>
      <c r="H47" s="195">
        <v>0</v>
      </c>
      <c r="I47" s="195">
        <v>0</v>
      </c>
      <c r="K47" s="195">
        <v>0</v>
      </c>
      <c r="L47" s="195">
        <v>0</v>
      </c>
      <c r="M47" s="195">
        <v>0</v>
      </c>
      <c r="N47" s="195">
        <v>0</v>
      </c>
      <c r="O47" s="195">
        <v>0</v>
      </c>
      <c r="P47" s="195">
        <v>0</v>
      </c>
      <c r="Q47" s="195">
        <v>0</v>
      </c>
      <c r="R47" s="195">
        <v>0</v>
      </c>
      <c r="S47" s="195">
        <v>0</v>
      </c>
      <c r="T47" s="268">
        <v>5242</v>
      </c>
      <c r="V47" s="198"/>
      <c r="W47" s="198"/>
      <c r="X47" s="198"/>
      <c r="Y47" s="198"/>
      <c r="Z47" s="282"/>
      <c r="AA47" s="282">
        <v>0</v>
      </c>
    </row>
    <row r="48" spans="1:27">
      <c r="A48" s="183" t="s">
        <v>141</v>
      </c>
      <c r="B48" s="195">
        <v>11582</v>
      </c>
      <c r="C48" s="195">
        <v>12273</v>
      </c>
      <c r="D48" s="195">
        <v>1306</v>
      </c>
      <c r="E48" s="195">
        <v>221</v>
      </c>
      <c r="G48" s="196">
        <v>0.06</v>
      </c>
      <c r="H48" s="196">
        <v>-0.89400000000000002</v>
      </c>
      <c r="I48" s="196">
        <v>-0.83099999999999996</v>
      </c>
      <c r="K48" s="197">
        <v>13500</v>
      </c>
      <c r="L48" s="195">
        <v>13592</v>
      </c>
      <c r="M48" s="195">
        <v>13656</v>
      </c>
      <c r="N48" s="195">
        <v>1306</v>
      </c>
      <c r="O48" s="197">
        <v>1660</v>
      </c>
      <c r="P48" s="195">
        <v>1702</v>
      </c>
      <c r="Q48" s="195">
        <v>1699</v>
      </c>
      <c r="R48" s="195">
        <v>221</v>
      </c>
      <c r="S48" s="268">
        <v>153</v>
      </c>
      <c r="T48" s="268">
        <v>188</v>
      </c>
      <c r="V48" s="198">
        <v>0.27100000000000002</v>
      </c>
      <c r="W48" s="198">
        <v>0.30299999999999999</v>
      </c>
      <c r="X48" s="198">
        <v>0.30099999999999999</v>
      </c>
      <c r="Y48" s="198">
        <v>-0.83099999999999996</v>
      </c>
      <c r="Z48" s="282">
        <v>-0.308</v>
      </c>
      <c r="AA48" s="282">
        <f t="shared" si="0"/>
        <v>-0.14899999999999999</v>
      </c>
    </row>
    <row r="49" spans="1:27" ht="5.15" customHeight="1">
      <c r="K49" s="190"/>
      <c r="O49" s="190"/>
      <c r="S49" s="277"/>
      <c r="T49" s="347"/>
      <c r="Z49" s="277"/>
      <c r="AA49" s="277"/>
    </row>
    <row r="50" spans="1:27">
      <c r="A50" s="199" t="s">
        <v>142</v>
      </c>
      <c r="B50" s="200">
        <v>89700</v>
      </c>
      <c r="C50" s="200">
        <v>86344</v>
      </c>
      <c r="D50" s="200">
        <v>411325</v>
      </c>
      <c r="E50" s="200">
        <v>600831</v>
      </c>
      <c r="G50" s="201">
        <v>-3.6999999999999998E-2</v>
      </c>
      <c r="H50" s="201">
        <v>3.7639999999999998</v>
      </c>
      <c r="I50" s="201">
        <v>0.46100000000000002</v>
      </c>
      <c r="K50" s="202">
        <v>75543</v>
      </c>
      <c r="L50" s="200">
        <v>65435</v>
      </c>
      <c r="M50" s="200">
        <v>72804</v>
      </c>
      <c r="N50" s="200">
        <v>411325</v>
      </c>
      <c r="O50" s="202">
        <v>397388</v>
      </c>
      <c r="P50" s="200">
        <v>600872</v>
      </c>
      <c r="Q50" s="200">
        <v>602733</v>
      </c>
      <c r="R50" s="200">
        <v>600831</v>
      </c>
      <c r="S50" s="271">
        <v>572656</v>
      </c>
      <c r="T50" s="271">
        <f>SUM(T51:T55)</f>
        <v>548358.67841057386</v>
      </c>
      <c r="V50" s="201">
        <v>-3.4000000000000002E-2</v>
      </c>
      <c r="W50" s="201">
        <v>0.46100000000000002</v>
      </c>
      <c r="X50" s="201">
        <v>0.46500000000000002</v>
      </c>
      <c r="Y50" s="201">
        <v>0.46100000000000002</v>
      </c>
      <c r="Z50" s="265">
        <v>-4.7E-2</v>
      </c>
      <c r="AA50" s="265">
        <v>-4.7E-2</v>
      </c>
    </row>
    <row r="51" spans="1:27">
      <c r="A51" s="183" t="s">
        <v>143</v>
      </c>
      <c r="B51" s="195">
        <v>89123</v>
      </c>
      <c r="C51" s="195">
        <v>89473</v>
      </c>
      <c r="D51" s="195">
        <v>438043</v>
      </c>
      <c r="E51" s="195">
        <v>653872</v>
      </c>
      <c r="G51" s="196">
        <v>4.0000000000000001E-3</v>
      </c>
      <c r="H51" s="196">
        <v>3.8959999999999999</v>
      </c>
      <c r="I51" s="196">
        <v>0.49299999999999999</v>
      </c>
      <c r="K51" s="197">
        <v>89473</v>
      </c>
      <c r="L51" s="195">
        <v>89473</v>
      </c>
      <c r="M51" s="195">
        <v>89473</v>
      </c>
      <c r="N51" s="195">
        <v>438043</v>
      </c>
      <c r="O51" s="197">
        <v>442559</v>
      </c>
      <c r="P51" s="195">
        <v>651769</v>
      </c>
      <c r="Q51" s="195">
        <v>653872</v>
      </c>
      <c r="R51" s="195">
        <v>653872</v>
      </c>
      <c r="S51" s="268">
        <v>654590</v>
      </c>
      <c r="T51" s="268">
        <v>655618</v>
      </c>
      <c r="V51" s="196">
        <v>0.01</v>
      </c>
      <c r="W51" s="196">
        <v>0.48799999999999999</v>
      </c>
      <c r="X51" s="196">
        <v>0.49299999999999999</v>
      </c>
      <c r="Y51" s="196">
        <v>0.49299999999999999</v>
      </c>
      <c r="Z51" s="264">
        <v>1E-3</v>
      </c>
      <c r="AA51" s="264">
        <v>1E-3</v>
      </c>
    </row>
    <row r="52" spans="1:27">
      <c r="A52" s="183" t="s">
        <v>144</v>
      </c>
      <c r="B52" s="195">
        <v>0</v>
      </c>
      <c r="C52" s="195">
        <v>0</v>
      </c>
      <c r="D52" s="195">
        <v>-27881</v>
      </c>
      <c r="E52" s="195">
        <v>-24247</v>
      </c>
      <c r="G52" s="195">
        <v>0</v>
      </c>
      <c r="H52" s="195">
        <v>0</v>
      </c>
      <c r="I52" s="196">
        <v>-0.13</v>
      </c>
      <c r="K52" s="197">
        <v>0</v>
      </c>
      <c r="L52" s="195">
        <v>0</v>
      </c>
      <c r="M52" s="195">
        <v>0</v>
      </c>
      <c r="N52" s="195">
        <v>-27881</v>
      </c>
      <c r="O52" s="197">
        <v>-18403</v>
      </c>
      <c r="P52" s="195">
        <v>-24247</v>
      </c>
      <c r="Q52" s="195">
        <v>-24247</v>
      </c>
      <c r="R52" s="195">
        <v>-24247</v>
      </c>
      <c r="S52" s="268">
        <v>-24247</v>
      </c>
      <c r="T52" s="268">
        <v>-24247</v>
      </c>
      <c r="V52" s="196">
        <v>-0.34</v>
      </c>
      <c r="W52" s="196">
        <v>-0.13</v>
      </c>
      <c r="X52" s="196">
        <v>-0.13</v>
      </c>
      <c r="Y52" s="196">
        <v>-0.13</v>
      </c>
      <c r="Z52" s="264">
        <v>0</v>
      </c>
      <c r="AA52" s="264">
        <v>0</v>
      </c>
    </row>
    <row r="53" spans="1:27">
      <c r="A53" s="183" t="s">
        <v>145</v>
      </c>
      <c r="B53" s="195">
        <v>158955</v>
      </c>
      <c r="C53" s="195">
        <v>162395</v>
      </c>
      <c r="D53" s="195">
        <v>3160</v>
      </c>
      <c r="E53" s="195">
        <v>3556</v>
      </c>
      <c r="G53" s="196">
        <v>2.1999999999999999E-2</v>
      </c>
      <c r="H53" s="196">
        <v>-0.98099999999999998</v>
      </c>
      <c r="I53" s="196">
        <v>0.125</v>
      </c>
      <c r="K53" s="197">
        <v>161443</v>
      </c>
      <c r="L53" s="195">
        <v>159327</v>
      </c>
      <c r="M53" s="195">
        <v>3039</v>
      </c>
      <c r="N53" s="195">
        <v>3160</v>
      </c>
      <c r="O53" s="197">
        <v>3299</v>
      </c>
      <c r="P53" s="195">
        <v>3405</v>
      </c>
      <c r="Q53" s="195">
        <v>3485</v>
      </c>
      <c r="R53" s="195">
        <v>3556</v>
      </c>
      <c r="S53" s="268">
        <v>4460</v>
      </c>
      <c r="T53" s="268">
        <v>4903</v>
      </c>
      <c r="V53" s="196">
        <v>4.3999999999999997E-2</v>
      </c>
      <c r="W53" s="196">
        <v>7.8E-2</v>
      </c>
      <c r="X53" s="196">
        <v>0.10299999999999999</v>
      </c>
      <c r="Y53" s="196">
        <v>0.125</v>
      </c>
      <c r="Z53" s="264">
        <v>0.254</v>
      </c>
      <c r="AA53" s="264">
        <v>0.254</v>
      </c>
    </row>
    <row r="54" spans="1:27">
      <c r="A54" s="183" t="s">
        <v>210</v>
      </c>
      <c r="B54" s="195">
        <v>0</v>
      </c>
      <c r="C54" s="195">
        <v>0</v>
      </c>
      <c r="D54" s="195">
        <v>0</v>
      </c>
      <c r="E54" s="195">
        <v>9969</v>
      </c>
      <c r="G54" s="196">
        <v>0</v>
      </c>
      <c r="H54" s="196">
        <v>0</v>
      </c>
      <c r="I54" s="195">
        <v>0</v>
      </c>
      <c r="K54" s="197">
        <v>0</v>
      </c>
      <c r="L54" s="195">
        <v>0</v>
      </c>
      <c r="M54" s="195">
        <v>0</v>
      </c>
      <c r="N54" s="195">
        <v>9969</v>
      </c>
      <c r="O54" s="197">
        <v>0</v>
      </c>
      <c r="P54" s="195">
        <v>0</v>
      </c>
      <c r="Q54" s="195">
        <v>16317</v>
      </c>
      <c r="R54" s="195">
        <v>9969</v>
      </c>
      <c r="S54" s="268">
        <v>9969</v>
      </c>
      <c r="T54" s="268">
        <v>9969</v>
      </c>
      <c r="V54" s="196">
        <v>0</v>
      </c>
      <c r="W54" s="196">
        <v>0</v>
      </c>
      <c r="X54" s="196">
        <v>0.63700000000000001</v>
      </c>
      <c r="Y54" s="196">
        <v>0</v>
      </c>
      <c r="Z54" s="264">
        <v>0</v>
      </c>
      <c r="AA54" s="264">
        <v>0</v>
      </c>
    </row>
    <row r="55" spans="1:27" ht="14.25" customHeight="1">
      <c r="A55" s="183" t="s">
        <v>146</v>
      </c>
      <c r="B55" s="195">
        <v>-158378</v>
      </c>
      <c r="C55" s="195">
        <v>-165524</v>
      </c>
      <c r="D55" s="195">
        <v>-1997</v>
      </c>
      <c r="E55" s="195">
        <v>-42319</v>
      </c>
      <c r="F55" s="183"/>
      <c r="G55" s="196">
        <v>4.4999999999999998E-2</v>
      </c>
      <c r="H55" s="196">
        <v>-0.98799999999999999</v>
      </c>
      <c r="I55" s="196">
        <v>2.5369999999999999</v>
      </c>
      <c r="K55" s="197">
        <v>-175373</v>
      </c>
      <c r="L55" s="195">
        <v>-183365</v>
      </c>
      <c r="M55" s="195">
        <v>-19708</v>
      </c>
      <c r="N55" s="195">
        <v>-11966</v>
      </c>
      <c r="O55" s="197">
        <v>-30067</v>
      </c>
      <c r="P55" s="195">
        <v>-30055</v>
      </c>
      <c r="Q55" s="195">
        <v>-46694</v>
      </c>
      <c r="R55" s="195">
        <v>-42319</v>
      </c>
      <c r="S55" s="268">
        <v>-72116</v>
      </c>
      <c r="T55" s="268">
        <v>-97884.321589426123</v>
      </c>
      <c r="U55" s="183"/>
      <c r="V55" s="196">
        <v>14.055999999999999</v>
      </c>
      <c r="W55" s="196">
        <v>14.05</v>
      </c>
      <c r="X55" s="196">
        <v>2.9020000000000001</v>
      </c>
      <c r="Y55" s="198">
        <v>2.5369999999999999</v>
      </c>
      <c r="Z55" s="282">
        <v>0.70399999999999996</v>
      </c>
      <c r="AA55" s="282">
        <v>0.70399999999999996</v>
      </c>
    </row>
    <row r="56" spans="1:27">
      <c r="B56" s="195"/>
      <c r="C56" s="195"/>
      <c r="D56" s="195"/>
      <c r="E56" s="195"/>
      <c r="R56" s="195"/>
      <c r="S56" s="195"/>
      <c r="T56" s="195"/>
    </row>
    <row r="57" spans="1:27">
      <c r="B57" s="195"/>
      <c r="C57" s="195"/>
      <c r="D57" s="195"/>
      <c r="E57" s="195"/>
      <c r="F57" s="195"/>
      <c r="G57" s="195"/>
      <c r="H57" s="195"/>
      <c r="I57" s="195"/>
      <c r="J57" s="195"/>
      <c r="K57" s="195"/>
      <c r="L57" s="195"/>
      <c r="M57" s="195"/>
      <c r="N57" s="195"/>
      <c r="O57" s="195"/>
      <c r="P57" s="195"/>
      <c r="Q57" s="195"/>
      <c r="U57" s="195">
        <v>0</v>
      </c>
    </row>
    <row r="58" spans="1:27">
      <c r="R58" s="195"/>
      <c r="S58" s="195"/>
      <c r="T58" s="195"/>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5F84E-4399-4F93-A923-631682418C82}">
  <dimension ref="A1:AB66"/>
  <sheetViews>
    <sheetView showGridLines="0" zoomScaleNormal="100" workbookViewId="0">
      <pane xSplit="1" ySplit="3" topLeftCell="L64" activePane="bottomRight" state="frozen"/>
      <selection activeCell="B2" sqref="B2"/>
      <selection pane="topRight" activeCell="B2" sqref="B2"/>
      <selection pane="bottomLeft" activeCell="B2" sqref="B2"/>
      <selection pane="bottomRight" activeCell="L64" sqref="L64"/>
    </sheetView>
  </sheetViews>
  <sheetFormatPr defaultColWidth="9.1796875" defaultRowHeight="10"/>
  <cols>
    <col min="1" max="1" width="74.7265625" style="1" bestFit="1" customWidth="1"/>
    <col min="2" max="2" width="11" style="1" bestFit="1" customWidth="1"/>
    <col min="3" max="3" width="11.81640625" style="1" bestFit="1" customWidth="1"/>
    <col min="4" max="4" width="11.54296875" style="1" bestFit="1" customWidth="1"/>
    <col min="5" max="5" width="9.81640625" style="1" customWidth="1"/>
    <col min="6" max="6" width="2.54296875" style="2" customWidth="1"/>
    <col min="7" max="7" width="10.1796875" style="1" customWidth="1"/>
    <col min="8" max="8" width="12.453125" style="1" bestFit="1" customWidth="1"/>
    <col min="9" max="9" width="12.26953125" style="1" customWidth="1"/>
    <col min="10" max="10" width="9.1796875" style="2"/>
    <col min="11" max="19" width="12.54296875" style="1" customWidth="1"/>
    <col min="20" max="20" width="12.54296875" style="183" customWidth="1"/>
    <col min="21" max="21" width="2.54296875" style="2" customWidth="1"/>
    <col min="22" max="26" width="12.54296875" style="1" customWidth="1"/>
    <col min="27" max="27" width="12.54296875" style="183" customWidth="1"/>
    <col min="28" max="28" width="9.453125" style="1" bestFit="1" customWidth="1"/>
    <col min="29" max="16384" width="9.1796875" style="1"/>
  </cols>
  <sheetData>
    <row r="1" spans="1:28" ht="54.75" customHeight="1"/>
    <row r="2" spans="1:28">
      <c r="G2" s="3" t="s">
        <v>40</v>
      </c>
      <c r="H2" s="3" t="s">
        <v>40</v>
      </c>
      <c r="I2" s="3" t="s">
        <v>40</v>
      </c>
      <c r="V2" s="3" t="s">
        <v>40</v>
      </c>
      <c r="W2" s="3" t="s">
        <v>40</v>
      </c>
      <c r="X2" s="3" t="s">
        <v>40</v>
      </c>
      <c r="Y2" s="3" t="s">
        <v>40</v>
      </c>
      <c r="Z2" s="3" t="s">
        <v>40</v>
      </c>
      <c r="AA2" s="187" t="s">
        <v>242</v>
      </c>
    </row>
    <row r="3" spans="1:28">
      <c r="A3" s="4" t="s">
        <v>148</v>
      </c>
      <c r="B3" s="5">
        <v>2018</v>
      </c>
      <c r="C3" s="5">
        <v>2019</v>
      </c>
      <c r="D3" s="5">
        <v>2020</v>
      </c>
      <c r="E3" s="5">
        <v>2021</v>
      </c>
      <c r="F3" s="1"/>
      <c r="G3" s="5">
        <v>2019</v>
      </c>
      <c r="H3" s="5">
        <v>2020</v>
      </c>
      <c r="I3" s="5">
        <v>2021</v>
      </c>
      <c r="J3" s="6"/>
      <c r="K3" s="5" t="s">
        <v>30</v>
      </c>
      <c r="L3" s="5" t="s">
        <v>31</v>
      </c>
      <c r="M3" s="5" t="s">
        <v>32</v>
      </c>
      <c r="N3" s="5" t="s">
        <v>33</v>
      </c>
      <c r="O3" s="5" t="s">
        <v>34</v>
      </c>
      <c r="P3" s="5" t="s">
        <v>35</v>
      </c>
      <c r="Q3" s="5" t="s">
        <v>194</v>
      </c>
      <c r="R3" s="5" t="s">
        <v>200</v>
      </c>
      <c r="S3" s="5" t="s">
        <v>213</v>
      </c>
      <c r="T3" s="120" t="s">
        <v>241</v>
      </c>
      <c r="U3" s="1"/>
      <c r="V3" s="5" t="s">
        <v>34</v>
      </c>
      <c r="W3" s="5" t="s">
        <v>35</v>
      </c>
      <c r="X3" s="5" t="s">
        <v>194</v>
      </c>
      <c r="Y3" s="5" t="s">
        <v>200</v>
      </c>
      <c r="Z3" s="211" t="s">
        <v>213</v>
      </c>
      <c r="AA3" s="211" t="s">
        <v>241</v>
      </c>
    </row>
    <row r="4" spans="1:28">
      <c r="K4" s="7"/>
      <c r="O4" s="7"/>
      <c r="S4" s="224"/>
      <c r="Z4" s="224"/>
      <c r="AA4" s="277"/>
    </row>
    <row r="5" spans="1:28">
      <c r="A5" s="8" t="s">
        <v>149</v>
      </c>
      <c r="B5" s="9"/>
      <c r="C5" s="9"/>
      <c r="D5" s="9"/>
      <c r="E5" s="9"/>
      <c r="G5" s="10"/>
      <c r="H5" s="10"/>
      <c r="I5" s="10"/>
      <c r="K5" s="11"/>
      <c r="L5" s="9"/>
      <c r="M5" s="9"/>
      <c r="N5" s="9"/>
      <c r="O5" s="11"/>
      <c r="P5" s="9"/>
      <c r="Q5" s="9"/>
      <c r="R5" s="9"/>
      <c r="S5" s="260"/>
      <c r="T5" s="316"/>
      <c r="V5" s="10"/>
      <c r="W5" s="10"/>
      <c r="X5" s="10"/>
      <c r="Y5" s="10"/>
      <c r="Z5" s="287"/>
      <c r="AA5" s="345"/>
    </row>
    <row r="6" spans="1:28">
      <c r="A6" s="1" t="s">
        <v>150</v>
      </c>
      <c r="B6" s="12">
        <v>-551</v>
      </c>
      <c r="C6" s="12">
        <v>-12578</v>
      </c>
      <c r="D6" s="12">
        <v>-3292</v>
      </c>
      <c r="E6" s="12">
        <v>-27506</v>
      </c>
      <c r="G6" s="13">
        <v>21.827999999999999</v>
      </c>
      <c r="H6" s="13">
        <v>-0.73799999999999999</v>
      </c>
      <c r="I6" s="13">
        <v>-7.3550000000000004</v>
      </c>
      <c r="K6" s="14">
        <v>-14545</v>
      </c>
      <c r="L6" s="12">
        <v>-6866.4144499999238</v>
      </c>
      <c r="M6" s="12">
        <v>10794.503029999991</v>
      </c>
      <c r="N6" s="12">
        <v>7324.9114199999331</v>
      </c>
      <c r="O6" s="14">
        <v>-24239</v>
      </c>
      <c r="P6" s="15">
        <v>-1749</v>
      </c>
      <c r="Q6" s="15">
        <v>2508</v>
      </c>
      <c r="R6" s="12">
        <v>-4026</v>
      </c>
      <c r="S6" s="222">
        <v>-30939</v>
      </c>
      <c r="T6" s="195">
        <v>-23772</v>
      </c>
      <c r="V6" s="16">
        <v>0.66600000000000004</v>
      </c>
      <c r="W6" s="17">
        <v>-0.745</v>
      </c>
      <c r="X6" s="17">
        <v>-0.76800000000000002</v>
      </c>
      <c r="Y6" s="17" t="s">
        <v>22</v>
      </c>
      <c r="Z6" s="261">
        <v>-0.27600000000000002</v>
      </c>
      <c r="AA6" s="264">
        <f>-ROUND(T6/P6-1,3)</f>
        <v>-12.592000000000001</v>
      </c>
    </row>
    <row r="7" spans="1:28">
      <c r="A7" s="8"/>
      <c r="B7" s="9"/>
      <c r="C7" s="9"/>
      <c r="D7" s="9"/>
      <c r="E7" s="9"/>
      <c r="G7" s="10"/>
      <c r="H7" s="10"/>
      <c r="I7" s="10"/>
      <c r="K7" s="11"/>
      <c r="L7" s="9"/>
      <c r="M7" s="9"/>
      <c r="N7" s="9"/>
      <c r="O7" s="11"/>
      <c r="P7" s="9"/>
      <c r="Q7" s="9"/>
      <c r="R7" s="9"/>
      <c r="S7" s="260"/>
      <c r="T7" s="195"/>
      <c r="V7" s="10"/>
      <c r="W7" s="10"/>
      <c r="X7" s="10"/>
      <c r="Y7" s="10"/>
      <c r="Z7" s="287"/>
      <c r="AA7" s="345"/>
    </row>
    <row r="8" spans="1:28">
      <c r="A8" s="8" t="s">
        <v>151</v>
      </c>
      <c r="B8" s="9"/>
      <c r="C8" s="9"/>
      <c r="D8" s="9"/>
      <c r="E8" s="9"/>
      <c r="G8" s="10"/>
      <c r="H8" s="10"/>
      <c r="I8" s="10"/>
      <c r="K8" s="11"/>
      <c r="L8" s="9"/>
      <c r="M8" s="9"/>
      <c r="N8" s="9"/>
      <c r="O8" s="11"/>
      <c r="P8" s="9"/>
      <c r="Q8" s="9"/>
      <c r="R8" s="9"/>
      <c r="S8" s="260"/>
      <c r="T8" s="316"/>
      <c r="V8" s="10"/>
      <c r="W8" s="10"/>
      <c r="X8" s="10"/>
      <c r="Y8" s="10"/>
      <c r="Z8" s="287"/>
      <c r="AA8" s="345"/>
    </row>
    <row r="9" spans="1:28">
      <c r="A9" s="1" t="s">
        <v>152</v>
      </c>
      <c r="B9" s="12">
        <v>22367</v>
      </c>
      <c r="C9" s="12">
        <v>40426</v>
      </c>
      <c r="D9" s="12">
        <v>69796</v>
      </c>
      <c r="E9" s="12">
        <v>135084</v>
      </c>
      <c r="G9" s="17">
        <v>0.80700000000000005</v>
      </c>
      <c r="H9" s="17">
        <v>0.72699999999999998</v>
      </c>
      <c r="I9" s="17">
        <v>0.93500000000000005</v>
      </c>
      <c r="K9" s="14">
        <v>12455</v>
      </c>
      <c r="L9" s="12">
        <v>17372</v>
      </c>
      <c r="M9" s="12">
        <v>16997</v>
      </c>
      <c r="N9" s="12">
        <v>22971</v>
      </c>
      <c r="O9" s="14">
        <v>27908</v>
      </c>
      <c r="P9" s="12">
        <v>35714</v>
      </c>
      <c r="Q9" s="12">
        <v>35507</v>
      </c>
      <c r="R9" s="12">
        <v>36282</v>
      </c>
      <c r="S9" s="222">
        <v>37234</v>
      </c>
      <c r="T9" s="195">
        <v>35775</v>
      </c>
      <c r="V9" s="17">
        <v>1.2410000000000001</v>
      </c>
      <c r="W9" s="17">
        <v>1.056</v>
      </c>
      <c r="X9" s="17">
        <v>1.089</v>
      </c>
      <c r="Y9" s="17">
        <v>0.57899999999999996</v>
      </c>
      <c r="Z9" s="261">
        <v>0.33400000000000002</v>
      </c>
      <c r="AA9" s="264">
        <f t="shared" ref="AA9:AA15" si="0">ROUND(T9/P9-1,3)</f>
        <v>2E-3</v>
      </c>
    </row>
    <row r="10" spans="1:28">
      <c r="A10" s="1" t="s">
        <v>206</v>
      </c>
      <c r="B10" s="12">
        <v>0</v>
      </c>
      <c r="C10" s="12">
        <v>0</v>
      </c>
      <c r="D10" s="12">
        <v>0</v>
      </c>
      <c r="E10" s="12">
        <v>977</v>
      </c>
      <c r="G10" s="17" t="s">
        <v>22</v>
      </c>
      <c r="H10" s="17" t="s">
        <v>22</v>
      </c>
      <c r="I10" s="17" t="s">
        <v>22</v>
      </c>
      <c r="K10" s="14">
        <v>0</v>
      </c>
      <c r="L10" s="12">
        <v>0</v>
      </c>
      <c r="M10" s="12">
        <v>0</v>
      </c>
      <c r="N10" s="12">
        <v>0</v>
      </c>
      <c r="O10" s="14">
        <v>0</v>
      </c>
      <c r="P10" s="12">
        <v>0</v>
      </c>
      <c r="Q10" s="12">
        <v>0</v>
      </c>
      <c r="R10" s="12">
        <v>651</v>
      </c>
      <c r="S10" s="222">
        <v>1166</v>
      </c>
      <c r="T10" s="195">
        <v>3344</v>
      </c>
      <c r="V10" s="17" t="s">
        <v>22</v>
      </c>
      <c r="W10" s="17" t="s">
        <v>22</v>
      </c>
      <c r="X10" s="17" t="s">
        <v>22</v>
      </c>
      <c r="Y10" s="17" t="s">
        <v>22</v>
      </c>
      <c r="Z10" s="261" t="s">
        <v>22</v>
      </c>
      <c r="AA10" s="264" t="s">
        <v>22</v>
      </c>
    </row>
    <row r="11" spans="1:28">
      <c r="A11" s="1" t="s">
        <v>140</v>
      </c>
      <c r="B11" s="12">
        <v>-2352</v>
      </c>
      <c r="C11" s="12">
        <v>1776</v>
      </c>
      <c r="D11" s="12">
        <v>-3415</v>
      </c>
      <c r="E11" s="12">
        <v>-23684</v>
      </c>
      <c r="G11" s="17" t="s">
        <v>22</v>
      </c>
      <c r="H11" s="17" t="s">
        <v>22</v>
      </c>
      <c r="I11" s="17">
        <v>-5.9349999999999996</v>
      </c>
      <c r="K11" s="14">
        <v>533</v>
      </c>
      <c r="L11" s="12">
        <v>-4885</v>
      </c>
      <c r="M11" s="12">
        <v>148</v>
      </c>
      <c r="N11" s="12">
        <v>789</v>
      </c>
      <c r="O11" s="14">
        <v>-103</v>
      </c>
      <c r="P11" s="12">
        <v>-874</v>
      </c>
      <c r="Q11" s="12">
        <v>-19880</v>
      </c>
      <c r="R11" s="12">
        <v>-2827</v>
      </c>
      <c r="S11" s="222">
        <v>-2029</v>
      </c>
      <c r="T11" s="195">
        <v>2845</v>
      </c>
      <c r="V11" s="17" t="s">
        <v>22</v>
      </c>
      <c r="W11" s="17">
        <v>-0.82099999999999995</v>
      </c>
      <c r="X11" s="17" t="s">
        <v>22</v>
      </c>
      <c r="Y11" s="17" t="s">
        <v>22</v>
      </c>
      <c r="Z11" s="261">
        <v>-18.699000000000002</v>
      </c>
      <c r="AA11" s="264">
        <f>-ROUND(U11/P11-1,3)</f>
        <v>1</v>
      </c>
    </row>
    <row r="12" spans="1:28">
      <c r="A12" s="1" t="s">
        <v>153</v>
      </c>
      <c r="B12" s="12">
        <v>1632</v>
      </c>
      <c r="C12" s="12">
        <v>28</v>
      </c>
      <c r="D12" s="12">
        <v>1072</v>
      </c>
      <c r="E12" s="12">
        <v>-1053</v>
      </c>
      <c r="G12" s="17">
        <v>-0.98299999999999998</v>
      </c>
      <c r="H12" s="17">
        <v>37.286000000000001</v>
      </c>
      <c r="I12" s="17" t="s">
        <v>22</v>
      </c>
      <c r="K12" s="14">
        <v>0</v>
      </c>
      <c r="L12" s="12">
        <v>140</v>
      </c>
      <c r="M12" s="12">
        <v>0</v>
      </c>
      <c r="N12" s="12">
        <v>932</v>
      </c>
      <c r="O12" s="14">
        <v>-9</v>
      </c>
      <c r="P12" s="12">
        <v>1329</v>
      </c>
      <c r="Q12" s="12">
        <v>-1316</v>
      </c>
      <c r="R12" s="12">
        <v>-1057</v>
      </c>
      <c r="S12" s="222">
        <v>3426</v>
      </c>
      <c r="T12" s="195">
        <v>1689</v>
      </c>
      <c r="V12" s="17">
        <v>0</v>
      </c>
      <c r="W12" s="17">
        <v>8.4930000000000003</v>
      </c>
      <c r="X12" s="17">
        <v>0</v>
      </c>
      <c r="Y12" s="17" t="s">
        <v>22</v>
      </c>
      <c r="Z12" s="261" t="s">
        <v>22</v>
      </c>
      <c r="AA12" s="264" t="s">
        <v>22</v>
      </c>
      <c r="AB12" s="12"/>
    </row>
    <row r="13" spans="1:28">
      <c r="A13" s="1" t="s">
        <v>154</v>
      </c>
      <c r="B13" s="12">
        <v>14157</v>
      </c>
      <c r="C13" s="12">
        <v>31753</v>
      </c>
      <c r="D13" s="12">
        <v>39168</v>
      </c>
      <c r="E13" s="12">
        <v>68133</v>
      </c>
      <c r="G13" s="17">
        <v>1.2430000000000001</v>
      </c>
      <c r="H13" s="17">
        <v>0.23400000000000001</v>
      </c>
      <c r="I13" s="17">
        <v>0.74</v>
      </c>
      <c r="K13" s="14">
        <v>9589</v>
      </c>
      <c r="L13" s="12">
        <v>9981</v>
      </c>
      <c r="M13" s="12">
        <v>8535</v>
      </c>
      <c r="N13" s="12">
        <v>11063</v>
      </c>
      <c r="O13" s="14">
        <v>12513</v>
      </c>
      <c r="P13" s="12">
        <v>15301</v>
      </c>
      <c r="Q13" s="12">
        <v>18077</v>
      </c>
      <c r="R13" s="12">
        <v>22242</v>
      </c>
      <c r="S13" s="222">
        <v>27299</v>
      </c>
      <c r="T13" s="195">
        <v>26621</v>
      </c>
      <c r="V13" s="17">
        <v>0.30499999999999999</v>
      </c>
      <c r="W13" s="17">
        <v>0.53300000000000003</v>
      </c>
      <c r="X13" s="17">
        <v>1.1180000000000001</v>
      </c>
      <c r="Y13" s="17">
        <v>1.01</v>
      </c>
      <c r="Z13" s="261">
        <v>1.1819999999999999</v>
      </c>
      <c r="AA13" s="264">
        <f t="shared" si="0"/>
        <v>0.74</v>
      </c>
    </row>
    <row r="14" spans="1:28">
      <c r="A14" s="1" t="s">
        <v>191</v>
      </c>
      <c r="B14" s="12">
        <v>0</v>
      </c>
      <c r="C14" s="12">
        <v>-520</v>
      </c>
      <c r="D14" s="12">
        <v>67</v>
      </c>
      <c r="E14" s="12">
        <v>-60</v>
      </c>
      <c r="G14" s="17">
        <v>0</v>
      </c>
      <c r="H14" s="17" t="s">
        <v>22</v>
      </c>
      <c r="I14" s="17" t="s">
        <v>22</v>
      </c>
      <c r="K14" s="14">
        <v>0</v>
      </c>
      <c r="L14" s="12">
        <v>0</v>
      </c>
      <c r="M14" s="12">
        <v>0</v>
      </c>
      <c r="N14" s="12">
        <v>67</v>
      </c>
      <c r="O14" s="14">
        <v>0</v>
      </c>
      <c r="P14" s="12">
        <v>0</v>
      </c>
      <c r="Q14" s="12">
        <v>0</v>
      </c>
      <c r="R14" s="12">
        <v>-60</v>
      </c>
      <c r="S14" s="222">
        <v>0</v>
      </c>
      <c r="T14" s="195">
        <v>0</v>
      </c>
      <c r="V14" s="17">
        <v>0</v>
      </c>
      <c r="W14" s="17">
        <v>0</v>
      </c>
      <c r="X14" s="17">
        <v>0</v>
      </c>
      <c r="Y14" s="17" t="s">
        <v>22</v>
      </c>
      <c r="Z14" s="261">
        <v>0</v>
      </c>
      <c r="AA14" s="264">
        <v>0</v>
      </c>
    </row>
    <row r="15" spans="1:28">
      <c r="A15" s="1" t="s">
        <v>155</v>
      </c>
      <c r="B15" s="12">
        <v>0</v>
      </c>
      <c r="C15" s="12">
        <v>1059</v>
      </c>
      <c r="D15" s="12">
        <v>755</v>
      </c>
      <c r="E15" s="12">
        <v>396</v>
      </c>
      <c r="G15" s="17">
        <v>0</v>
      </c>
      <c r="H15" s="17">
        <v>-0.28699999999999998</v>
      </c>
      <c r="I15" s="17">
        <v>-0.47499999999999998</v>
      </c>
      <c r="K15" s="14">
        <v>212</v>
      </c>
      <c r="L15" s="12">
        <v>210</v>
      </c>
      <c r="M15" s="12">
        <v>212</v>
      </c>
      <c r="N15" s="12">
        <v>121</v>
      </c>
      <c r="O15" s="14">
        <v>139</v>
      </c>
      <c r="P15" s="12">
        <v>106</v>
      </c>
      <c r="Q15" s="12">
        <v>80</v>
      </c>
      <c r="R15" s="12">
        <v>71</v>
      </c>
      <c r="S15" s="222">
        <v>904</v>
      </c>
      <c r="T15" s="195">
        <v>443</v>
      </c>
      <c r="V15" s="17">
        <v>-0.34399999999999997</v>
      </c>
      <c r="W15" s="17">
        <v>-0.495</v>
      </c>
      <c r="X15" s="17">
        <v>-0.623</v>
      </c>
      <c r="Y15" s="17">
        <v>-0.41299999999999998</v>
      </c>
      <c r="Z15" s="261">
        <v>5.5039999999999996</v>
      </c>
      <c r="AA15" s="264">
        <f t="shared" si="0"/>
        <v>3.1789999999999998</v>
      </c>
    </row>
    <row r="16" spans="1:28">
      <c r="A16" s="1" t="s">
        <v>156</v>
      </c>
      <c r="B16" s="12">
        <v>1050</v>
      </c>
      <c r="C16" s="12">
        <v>1073</v>
      </c>
      <c r="D16" s="12">
        <v>149</v>
      </c>
      <c r="E16" s="12">
        <v>6269</v>
      </c>
      <c r="G16" s="17">
        <v>2.1999999999999999E-2</v>
      </c>
      <c r="H16" s="17">
        <v>-0.86099999999999999</v>
      </c>
      <c r="I16" s="17">
        <v>41.073999999999998</v>
      </c>
      <c r="K16" s="14">
        <v>374</v>
      </c>
      <c r="L16" s="12">
        <v>-380</v>
      </c>
      <c r="M16" s="12">
        <v>338</v>
      </c>
      <c r="N16" s="12">
        <v>-183</v>
      </c>
      <c r="O16" s="14">
        <v>-13</v>
      </c>
      <c r="P16" s="12">
        <v>-661</v>
      </c>
      <c r="Q16" s="12">
        <v>1874</v>
      </c>
      <c r="R16" s="12">
        <v>5069</v>
      </c>
      <c r="S16" s="222">
        <v>-5792</v>
      </c>
      <c r="T16" s="195">
        <v>2959</v>
      </c>
      <c r="V16" s="17" t="s">
        <v>22</v>
      </c>
      <c r="W16" s="17">
        <v>0.73899999999999999</v>
      </c>
      <c r="X16" s="17">
        <v>4.5439999999999996</v>
      </c>
      <c r="Y16" s="17" t="s">
        <v>22</v>
      </c>
      <c r="Z16" s="261">
        <v>-444.53800000000001</v>
      </c>
      <c r="AA16" s="264">
        <f>-ROUND(T16/P16-1,3)</f>
        <v>5.4770000000000003</v>
      </c>
      <c r="AB16" s="12"/>
    </row>
    <row r="17" spans="1:28">
      <c r="A17" s="1" t="s">
        <v>157</v>
      </c>
      <c r="B17" s="12">
        <v>0</v>
      </c>
      <c r="C17" s="12">
        <v>-331</v>
      </c>
      <c r="D17" s="12">
        <v>-185</v>
      </c>
      <c r="E17" s="12">
        <v>-1563</v>
      </c>
      <c r="G17" s="17">
        <v>0</v>
      </c>
      <c r="H17" s="17">
        <v>-0.441</v>
      </c>
      <c r="I17" s="17">
        <v>-7.4489999999999998</v>
      </c>
      <c r="K17" s="14">
        <v>-75</v>
      </c>
      <c r="L17" s="12">
        <v>-47</v>
      </c>
      <c r="M17" s="12">
        <v>-33</v>
      </c>
      <c r="N17" s="12">
        <v>-30</v>
      </c>
      <c r="O17" s="14">
        <v>-323</v>
      </c>
      <c r="P17" s="12">
        <v>-370</v>
      </c>
      <c r="Q17" s="12">
        <v>-408</v>
      </c>
      <c r="R17" s="12">
        <v>-462</v>
      </c>
      <c r="S17" s="222">
        <v>-560</v>
      </c>
      <c r="T17" s="195">
        <v>-646</v>
      </c>
      <c r="V17" s="17">
        <v>3.3069999999999999</v>
      </c>
      <c r="W17" s="17">
        <v>6.8719999999999999</v>
      </c>
      <c r="X17" s="17">
        <v>11.364000000000001</v>
      </c>
      <c r="Y17" s="17">
        <v>-14.4</v>
      </c>
      <c r="Z17" s="261">
        <v>-0.73399999999999999</v>
      </c>
      <c r="AA17" s="264">
        <f>-ROUND(T17/P17-1,3)</f>
        <v>-0.746</v>
      </c>
    </row>
    <row r="18" spans="1:28">
      <c r="A18" s="1" t="s">
        <v>158</v>
      </c>
      <c r="B18" s="12">
        <v>0</v>
      </c>
      <c r="C18" s="12">
        <v>0</v>
      </c>
      <c r="D18" s="12">
        <v>344</v>
      </c>
      <c r="E18" s="12">
        <v>6601</v>
      </c>
      <c r="G18" s="17">
        <v>0</v>
      </c>
      <c r="H18" s="17">
        <v>0</v>
      </c>
      <c r="I18" s="17">
        <v>18.189</v>
      </c>
      <c r="K18" s="14">
        <v>0</v>
      </c>
      <c r="L18" s="12">
        <v>0</v>
      </c>
      <c r="M18" s="12">
        <v>0</v>
      </c>
      <c r="N18" s="12">
        <v>344</v>
      </c>
      <c r="O18" s="14">
        <v>3689</v>
      </c>
      <c r="P18" s="12">
        <v>237</v>
      </c>
      <c r="Q18" s="12">
        <v>2135</v>
      </c>
      <c r="R18" s="12">
        <v>540</v>
      </c>
      <c r="S18" s="222">
        <v>-10643</v>
      </c>
      <c r="T18" s="195">
        <v>26665</v>
      </c>
      <c r="V18" s="17">
        <v>0</v>
      </c>
      <c r="W18" s="17">
        <v>0</v>
      </c>
      <c r="X18" s="17">
        <v>0</v>
      </c>
      <c r="Y18" s="17">
        <v>0.56999999999999995</v>
      </c>
      <c r="Z18" s="261" t="s">
        <v>22</v>
      </c>
      <c r="AA18" s="264" t="s">
        <v>22</v>
      </c>
    </row>
    <row r="19" spans="1:28">
      <c r="A19" s="1" t="s">
        <v>159</v>
      </c>
      <c r="B19" s="12">
        <v>0</v>
      </c>
      <c r="C19" s="12">
        <v>0</v>
      </c>
      <c r="D19" s="12">
        <v>0</v>
      </c>
      <c r="E19" s="12">
        <v>6533</v>
      </c>
      <c r="G19" s="17">
        <v>0</v>
      </c>
      <c r="H19" s="17">
        <v>0</v>
      </c>
      <c r="I19" s="17" t="s">
        <v>22</v>
      </c>
      <c r="K19" s="14">
        <v>0</v>
      </c>
      <c r="L19" s="12">
        <v>0</v>
      </c>
      <c r="M19" s="12">
        <v>0</v>
      </c>
      <c r="N19" s="12">
        <v>0</v>
      </c>
      <c r="O19" s="14">
        <v>6532</v>
      </c>
      <c r="P19" s="12">
        <v>0</v>
      </c>
      <c r="Q19" s="12">
        <v>0</v>
      </c>
      <c r="R19" s="12">
        <v>1</v>
      </c>
      <c r="S19" s="222">
        <v>-5941</v>
      </c>
      <c r="T19" s="195">
        <v>-1</v>
      </c>
      <c r="V19" s="17">
        <v>0</v>
      </c>
      <c r="W19" s="17">
        <v>0</v>
      </c>
      <c r="X19" s="17">
        <v>0</v>
      </c>
      <c r="Y19" s="17" t="s">
        <v>22</v>
      </c>
      <c r="Z19" s="261">
        <v>-1.91</v>
      </c>
      <c r="AA19" s="264" t="s">
        <v>22</v>
      </c>
    </row>
    <row r="20" spans="1:28">
      <c r="A20" s="1" t="s">
        <v>160</v>
      </c>
      <c r="B20" s="12">
        <v>0</v>
      </c>
      <c r="C20" s="12">
        <v>0</v>
      </c>
      <c r="D20" s="12">
        <v>0</v>
      </c>
      <c r="E20" s="12">
        <v>-10367</v>
      </c>
      <c r="G20" s="17">
        <v>0</v>
      </c>
      <c r="H20" s="17">
        <v>0</v>
      </c>
      <c r="I20" s="17" t="s">
        <v>22</v>
      </c>
      <c r="K20" s="14">
        <v>0</v>
      </c>
      <c r="L20" s="12">
        <v>0</v>
      </c>
      <c r="M20" s="12">
        <v>0</v>
      </c>
      <c r="N20" s="12">
        <v>0</v>
      </c>
      <c r="O20" s="14">
        <v>0</v>
      </c>
      <c r="P20" s="12">
        <v>-10367</v>
      </c>
      <c r="Q20" s="12">
        <v>0</v>
      </c>
      <c r="R20" s="12">
        <v>0</v>
      </c>
      <c r="S20" s="222">
        <v>0</v>
      </c>
      <c r="T20" s="195">
        <v>0</v>
      </c>
      <c r="V20" s="17">
        <v>0</v>
      </c>
      <c r="W20" s="17">
        <v>0</v>
      </c>
      <c r="X20" s="17">
        <v>0</v>
      </c>
      <c r="Y20" s="17" t="s">
        <v>22</v>
      </c>
      <c r="Z20" s="261">
        <v>0</v>
      </c>
      <c r="AA20" s="264" t="s">
        <v>22</v>
      </c>
    </row>
    <row r="21" spans="1:28">
      <c r="B21" s="12"/>
      <c r="C21" s="12"/>
      <c r="D21" s="12"/>
      <c r="E21" s="12"/>
      <c r="G21" s="17"/>
      <c r="H21" s="17"/>
      <c r="I21" s="17"/>
      <c r="K21" s="14"/>
      <c r="L21" s="12"/>
      <c r="M21" s="12"/>
      <c r="N21" s="12"/>
      <c r="O21" s="14"/>
      <c r="P21" s="12"/>
      <c r="Q21" s="12"/>
      <c r="R21" s="12"/>
      <c r="S21" s="222"/>
      <c r="T21" s="195"/>
      <c r="V21" s="17"/>
      <c r="W21" s="17"/>
      <c r="X21" s="17"/>
      <c r="Y21" s="17"/>
      <c r="Z21" s="261"/>
      <c r="AA21" s="264"/>
    </row>
    <row r="22" spans="1:28">
      <c r="A22" s="8" t="s">
        <v>161</v>
      </c>
      <c r="B22" s="12"/>
      <c r="C22" s="12"/>
      <c r="D22" s="12"/>
      <c r="E22" s="12"/>
      <c r="G22" s="17"/>
      <c r="H22" s="17"/>
      <c r="I22" s="17"/>
      <c r="K22" s="14"/>
      <c r="L22" s="12"/>
      <c r="M22" s="12"/>
      <c r="N22" s="12"/>
      <c r="O22" s="14"/>
      <c r="P22" s="12"/>
      <c r="Q22" s="12"/>
      <c r="R22" s="12"/>
      <c r="S22" s="222"/>
      <c r="T22" s="195"/>
      <c r="V22" s="17"/>
      <c r="W22" s="17"/>
      <c r="X22" s="17"/>
      <c r="Y22" s="17"/>
      <c r="Z22" s="261"/>
      <c r="AA22" s="264"/>
    </row>
    <row r="23" spans="1:28">
      <c r="A23" s="1" t="s">
        <v>162</v>
      </c>
      <c r="B23" s="12">
        <v>-23681</v>
      </c>
      <c r="C23" s="12">
        <v>-7663</v>
      </c>
      <c r="D23" s="12">
        <v>-109102</v>
      </c>
      <c r="E23" s="12">
        <v>-103163</v>
      </c>
      <c r="G23" s="17">
        <v>-0.67600000000000005</v>
      </c>
      <c r="H23" s="17">
        <v>13.238</v>
      </c>
      <c r="I23" s="17">
        <v>-5.3999999999999999E-2</v>
      </c>
      <c r="K23" s="14">
        <v>-7316</v>
      </c>
      <c r="L23" s="12">
        <v>-30574</v>
      </c>
      <c r="M23" s="12">
        <v>-69489</v>
      </c>
      <c r="N23" s="12">
        <v>-1723</v>
      </c>
      <c r="O23" s="14">
        <v>-15457</v>
      </c>
      <c r="P23" s="12">
        <v>6338</v>
      </c>
      <c r="Q23" s="12">
        <v>-18131</v>
      </c>
      <c r="R23" s="12">
        <v>-53927</v>
      </c>
      <c r="S23" s="222">
        <v>-643</v>
      </c>
      <c r="T23" s="195">
        <v>-21852</v>
      </c>
      <c r="V23" s="17">
        <v>1.113</v>
      </c>
      <c r="W23" s="17" t="s">
        <v>22</v>
      </c>
      <c r="X23" s="17">
        <v>-0.73899999999999999</v>
      </c>
      <c r="Y23" s="17">
        <v>-30.297999999999998</v>
      </c>
      <c r="Z23" s="261">
        <v>-0.95799999999999996</v>
      </c>
      <c r="AA23" s="264">
        <f t="shared" ref="AA23" si="1">ROUND(T23/P23-1,3)</f>
        <v>-4.4480000000000004</v>
      </c>
    </row>
    <row r="24" spans="1:28">
      <c r="A24" s="1" t="s">
        <v>163</v>
      </c>
      <c r="B24" s="12">
        <v>409</v>
      </c>
      <c r="C24" s="12">
        <v>-898</v>
      </c>
      <c r="D24" s="12">
        <v>-5204</v>
      </c>
      <c r="E24" s="12">
        <v>-11921</v>
      </c>
      <c r="G24" s="17" t="s">
        <v>22</v>
      </c>
      <c r="H24" s="17">
        <v>4.7949999999999999</v>
      </c>
      <c r="I24" s="17">
        <v>-1.2909999999999999</v>
      </c>
      <c r="K24" s="14">
        <v>-4400</v>
      </c>
      <c r="L24" s="12">
        <v>1505</v>
      </c>
      <c r="M24" s="12">
        <v>-776</v>
      </c>
      <c r="N24" s="12">
        <v>-1533</v>
      </c>
      <c r="O24" s="14">
        <v>-5093</v>
      </c>
      <c r="P24" s="12">
        <v>-2233</v>
      </c>
      <c r="Q24" s="12">
        <v>-8120</v>
      </c>
      <c r="R24" s="12">
        <v>3525</v>
      </c>
      <c r="S24" s="222">
        <v>12606</v>
      </c>
      <c r="T24" s="195">
        <v>-17463</v>
      </c>
      <c r="V24" s="17">
        <v>0.158</v>
      </c>
      <c r="W24" s="17" t="s">
        <v>22</v>
      </c>
      <c r="X24" s="17">
        <v>9.4640000000000004</v>
      </c>
      <c r="Y24" s="17" t="s">
        <v>22</v>
      </c>
      <c r="Z24" s="261" t="s">
        <v>22</v>
      </c>
      <c r="AA24" s="264" t="s">
        <v>22</v>
      </c>
      <c r="AB24" s="12"/>
    </row>
    <row r="25" spans="1:28">
      <c r="A25" s="1" t="s">
        <v>164</v>
      </c>
      <c r="B25" s="12">
        <v>1362</v>
      </c>
      <c r="C25" s="12">
        <v>-1146</v>
      </c>
      <c r="D25" s="12">
        <v>11877</v>
      </c>
      <c r="E25" s="12">
        <v>-11080</v>
      </c>
      <c r="G25" s="17" t="s">
        <v>22</v>
      </c>
      <c r="H25" s="17" t="s">
        <v>22</v>
      </c>
      <c r="I25" s="17" t="s">
        <v>22</v>
      </c>
      <c r="K25" s="14">
        <v>551</v>
      </c>
      <c r="L25" s="12">
        <v>455</v>
      </c>
      <c r="M25" s="12">
        <v>4352</v>
      </c>
      <c r="N25" s="12">
        <v>6519</v>
      </c>
      <c r="O25" s="14">
        <v>2497</v>
      </c>
      <c r="P25" s="12">
        <v>-8237</v>
      </c>
      <c r="Q25" s="12">
        <v>-326</v>
      </c>
      <c r="R25" s="12">
        <v>-5014</v>
      </c>
      <c r="S25" s="222">
        <v>-8017</v>
      </c>
      <c r="T25" s="195">
        <v>-10953</v>
      </c>
      <c r="V25" s="17">
        <v>3.532</v>
      </c>
      <c r="W25" s="17" t="s">
        <v>22</v>
      </c>
      <c r="X25" s="17" t="s">
        <v>22</v>
      </c>
      <c r="Y25" s="17" t="s">
        <v>22</v>
      </c>
      <c r="Z25" s="261" t="s">
        <v>22</v>
      </c>
      <c r="AA25" s="264" t="s">
        <v>22</v>
      </c>
    </row>
    <row r="26" spans="1:28">
      <c r="A26" s="1" t="s">
        <v>165</v>
      </c>
      <c r="B26" s="12">
        <v>250</v>
      </c>
      <c r="C26" s="12">
        <v>-1177</v>
      </c>
      <c r="D26" s="12">
        <v>-3039</v>
      </c>
      <c r="E26" s="12">
        <v>289</v>
      </c>
      <c r="G26" s="17" t="s">
        <v>22</v>
      </c>
      <c r="H26" s="17">
        <v>1.5820000000000001</v>
      </c>
      <c r="I26" s="17" t="s">
        <v>22</v>
      </c>
      <c r="K26" s="14">
        <v>-890</v>
      </c>
      <c r="L26" s="12">
        <v>-1724</v>
      </c>
      <c r="M26" s="12">
        <v>-706</v>
      </c>
      <c r="N26" s="12">
        <v>281</v>
      </c>
      <c r="O26" s="14">
        <v>-1917</v>
      </c>
      <c r="P26" s="12">
        <v>-616</v>
      </c>
      <c r="Q26" s="12">
        <v>540</v>
      </c>
      <c r="R26" s="12">
        <v>2282</v>
      </c>
      <c r="S26" s="222">
        <v>-2211</v>
      </c>
      <c r="T26" s="195">
        <v>153</v>
      </c>
      <c r="V26" s="17">
        <v>1.1539999999999999</v>
      </c>
      <c r="W26" s="17">
        <v>-0.64300000000000002</v>
      </c>
      <c r="X26" s="17" t="s">
        <v>22</v>
      </c>
      <c r="Y26" s="17">
        <v>7.1210000000000004</v>
      </c>
      <c r="Z26" s="261">
        <v>-0.153</v>
      </c>
      <c r="AA26" s="264">
        <f>-ROUND(T26/P26-1,3)</f>
        <v>1.248</v>
      </c>
    </row>
    <row r="27" spans="1:28">
      <c r="A27" s="1" t="s">
        <v>166</v>
      </c>
      <c r="B27" s="12">
        <v>-195</v>
      </c>
      <c r="C27" s="12">
        <v>-166</v>
      </c>
      <c r="D27" s="12">
        <v>321</v>
      </c>
      <c r="E27" s="12">
        <v>-6409</v>
      </c>
      <c r="G27" s="17">
        <v>-0.14899999999999999</v>
      </c>
      <c r="H27" s="17" t="s">
        <v>22</v>
      </c>
      <c r="I27" s="17" t="s">
        <v>22</v>
      </c>
      <c r="K27" s="14">
        <v>135</v>
      </c>
      <c r="L27" s="12">
        <v>-107</v>
      </c>
      <c r="M27" s="12">
        <v>113</v>
      </c>
      <c r="N27" s="12">
        <v>180</v>
      </c>
      <c r="O27" s="14">
        <v>-702</v>
      </c>
      <c r="P27" s="12">
        <v>-2017</v>
      </c>
      <c r="Q27" s="12">
        <v>-1424</v>
      </c>
      <c r="R27" s="12">
        <v>-2266</v>
      </c>
      <c r="S27" s="222">
        <v>-713</v>
      </c>
      <c r="T27" s="195">
        <v>-781</v>
      </c>
      <c r="V27" s="17" t="s">
        <v>22</v>
      </c>
      <c r="W27" s="17">
        <v>17.850000000000001</v>
      </c>
      <c r="X27" s="17" t="s">
        <v>22</v>
      </c>
      <c r="Y27" s="17" t="s">
        <v>22</v>
      </c>
      <c r="Z27" s="261">
        <v>-1.6E-2</v>
      </c>
      <c r="AA27" s="264">
        <f>-ROUND(T27/P27-1,3)</f>
        <v>0.61299999999999999</v>
      </c>
    </row>
    <row r="28" spans="1:28">
      <c r="A28" s="1" t="s">
        <v>167</v>
      </c>
      <c r="B28" s="12">
        <v>1329</v>
      </c>
      <c r="C28" s="12">
        <v>158</v>
      </c>
      <c r="D28" s="12">
        <v>5035</v>
      </c>
      <c r="E28" s="12">
        <v>-8584</v>
      </c>
      <c r="G28" s="17">
        <v>-0.88100000000000001</v>
      </c>
      <c r="H28" s="17">
        <v>30.867000000000001</v>
      </c>
      <c r="I28" s="17" t="s">
        <v>22</v>
      </c>
      <c r="K28" s="14">
        <v>73</v>
      </c>
      <c r="L28" s="12">
        <v>4115</v>
      </c>
      <c r="M28" s="12">
        <v>-1899</v>
      </c>
      <c r="N28" s="12">
        <v>2746</v>
      </c>
      <c r="O28" s="14">
        <v>1730</v>
      </c>
      <c r="P28" s="12">
        <v>-13742</v>
      </c>
      <c r="Q28" s="12">
        <v>5664</v>
      </c>
      <c r="R28" s="12">
        <v>-2236</v>
      </c>
      <c r="S28" s="222">
        <v>-1645</v>
      </c>
      <c r="T28" s="195">
        <v>-5089</v>
      </c>
      <c r="V28" s="17">
        <v>22.699000000000002</v>
      </c>
      <c r="W28" s="17" t="s">
        <v>22</v>
      </c>
      <c r="X28" s="17" t="s">
        <v>22</v>
      </c>
      <c r="Y28" s="17" t="s">
        <v>22</v>
      </c>
      <c r="Z28" s="261" t="s">
        <v>22</v>
      </c>
      <c r="AA28" s="264" t="s">
        <v>22</v>
      </c>
    </row>
    <row r="29" spans="1:28">
      <c r="A29" s="1" t="s">
        <v>168</v>
      </c>
      <c r="B29" s="12">
        <v>11981</v>
      </c>
      <c r="C29" s="12">
        <v>7451</v>
      </c>
      <c r="D29" s="12">
        <v>48604</v>
      </c>
      <c r="E29" s="12">
        <v>13828</v>
      </c>
      <c r="G29" s="17">
        <v>-0.378</v>
      </c>
      <c r="H29" s="17">
        <v>5.5229999999999997</v>
      </c>
      <c r="I29" s="17">
        <v>-0.71499999999999997</v>
      </c>
      <c r="K29" s="14">
        <v>-3680</v>
      </c>
      <c r="L29" s="12">
        <v>7006</v>
      </c>
      <c r="M29" s="12">
        <v>22084</v>
      </c>
      <c r="N29" s="12">
        <v>23194</v>
      </c>
      <c r="O29" s="14">
        <v>-29377</v>
      </c>
      <c r="P29" s="12">
        <v>-24144</v>
      </c>
      <c r="Q29" s="12">
        <v>-8323</v>
      </c>
      <c r="R29" s="12">
        <v>31223</v>
      </c>
      <c r="S29" s="222">
        <v>32795</v>
      </c>
      <c r="T29" s="195">
        <v>20318</v>
      </c>
      <c r="V29" s="17">
        <v>6.9829999999999997</v>
      </c>
      <c r="W29" s="17" t="s">
        <v>22</v>
      </c>
      <c r="X29" s="17" t="s">
        <v>22</v>
      </c>
      <c r="Y29" s="17">
        <v>0.34599999999999997</v>
      </c>
      <c r="Z29" s="261" t="s">
        <v>22</v>
      </c>
      <c r="AA29" s="264" t="s">
        <v>22</v>
      </c>
    </row>
    <row r="30" spans="1:28">
      <c r="A30" s="1" t="s">
        <v>169</v>
      </c>
      <c r="B30" s="12">
        <v>-4174</v>
      </c>
      <c r="C30" s="12">
        <v>-1344</v>
      </c>
      <c r="D30" s="12">
        <v>3482</v>
      </c>
      <c r="E30" s="12">
        <v>-5850</v>
      </c>
      <c r="G30" s="17">
        <v>-0.67800000000000005</v>
      </c>
      <c r="H30" s="17" t="s">
        <v>22</v>
      </c>
      <c r="I30" s="17" t="s">
        <v>22</v>
      </c>
      <c r="K30" s="14">
        <v>1793</v>
      </c>
      <c r="L30" s="12">
        <v>21888</v>
      </c>
      <c r="M30" s="12">
        <v>-345</v>
      </c>
      <c r="N30" s="12">
        <v>-19854</v>
      </c>
      <c r="O30" s="14">
        <v>-4597</v>
      </c>
      <c r="P30" s="12">
        <v>-9354</v>
      </c>
      <c r="Q30" s="12">
        <v>6739</v>
      </c>
      <c r="R30" s="12">
        <v>-1972</v>
      </c>
      <c r="S30" s="222">
        <v>6205</v>
      </c>
      <c r="T30" s="195">
        <v>-2711</v>
      </c>
      <c r="V30" s="17" t="s">
        <v>22</v>
      </c>
      <c r="W30" s="17" t="s">
        <v>22</v>
      </c>
      <c r="X30" s="17" t="s">
        <v>22</v>
      </c>
      <c r="Y30" s="17">
        <v>-0.90100000000000002</v>
      </c>
      <c r="Z30" s="261" t="s">
        <v>22</v>
      </c>
      <c r="AA30" s="264" t="s">
        <v>22</v>
      </c>
    </row>
    <row r="31" spans="1:28">
      <c r="A31" s="1" t="s">
        <v>205</v>
      </c>
      <c r="B31" s="12">
        <v>-9640</v>
      </c>
      <c r="C31" s="12">
        <v>-3483</v>
      </c>
      <c r="D31" s="12">
        <v>-5433</v>
      </c>
      <c r="E31" s="12">
        <v>-475</v>
      </c>
      <c r="F31" s="1"/>
      <c r="G31" s="17">
        <v>-0.63900000000000001</v>
      </c>
      <c r="H31" s="17" t="s">
        <v>22</v>
      </c>
      <c r="I31" s="17">
        <v>0.91300000000000003</v>
      </c>
      <c r="J31" s="1"/>
      <c r="K31" s="14">
        <v>0</v>
      </c>
      <c r="L31" s="12">
        <v>0</v>
      </c>
      <c r="M31" s="12">
        <v>0</v>
      </c>
      <c r="N31" s="12">
        <v>0</v>
      </c>
      <c r="O31" s="14">
        <v>0</v>
      </c>
      <c r="P31" s="12">
        <v>0</v>
      </c>
      <c r="Q31" s="12">
        <v>0</v>
      </c>
      <c r="R31" s="12">
        <v>-475</v>
      </c>
      <c r="S31" s="222">
        <v>0</v>
      </c>
      <c r="T31" s="195">
        <v>0</v>
      </c>
      <c r="U31" s="12"/>
      <c r="W31" s="17" t="s">
        <v>22</v>
      </c>
      <c r="X31" s="17" t="s">
        <v>22</v>
      </c>
      <c r="Y31" s="17" t="s">
        <v>22</v>
      </c>
      <c r="Z31" s="261">
        <v>0</v>
      </c>
      <c r="AA31" s="264" t="s">
        <v>22</v>
      </c>
      <c r="AB31" s="17"/>
    </row>
    <row r="32" spans="1:28">
      <c r="A32" s="1" t="s">
        <v>170</v>
      </c>
      <c r="B32" s="12"/>
      <c r="C32" s="12"/>
      <c r="D32" s="12">
        <v>8744</v>
      </c>
      <c r="E32" s="12">
        <v>-60411</v>
      </c>
      <c r="F32" s="1"/>
      <c r="G32" s="17">
        <v>0</v>
      </c>
      <c r="H32" s="17">
        <v>0</v>
      </c>
      <c r="I32" s="17" t="s">
        <v>22</v>
      </c>
      <c r="J32" s="1"/>
      <c r="K32" s="14">
        <v>7688</v>
      </c>
      <c r="L32" s="12">
        <v>170</v>
      </c>
      <c r="M32" s="12">
        <v>24900</v>
      </c>
      <c r="N32" s="12">
        <v>-29447</v>
      </c>
      <c r="O32" s="14">
        <v>-18124</v>
      </c>
      <c r="P32" s="12">
        <v>-12526</v>
      </c>
      <c r="Q32" s="12">
        <v>-24758</v>
      </c>
      <c r="R32" s="12">
        <v>17081</v>
      </c>
      <c r="S32" s="222">
        <v>-13951</v>
      </c>
      <c r="T32" s="195">
        <v>-5792</v>
      </c>
      <c r="U32" s="12">
        <v>17081</v>
      </c>
      <c r="W32" s="17">
        <v>-3.3570000000000002</v>
      </c>
      <c r="X32" s="17">
        <v>-74.682000000000002</v>
      </c>
      <c r="Y32" s="17" t="s">
        <v>22</v>
      </c>
      <c r="Z32" s="261">
        <v>0.23</v>
      </c>
      <c r="AA32" s="264">
        <f>-ROUND(T32/P32-1,3)</f>
        <v>0.53800000000000003</v>
      </c>
      <c r="AB32" s="17"/>
    </row>
    <row r="33" spans="1:28">
      <c r="A33" s="1" t="s">
        <v>171</v>
      </c>
      <c r="B33" s="12">
        <v>0</v>
      </c>
      <c r="C33" s="12">
        <v>0</v>
      </c>
      <c r="D33" s="12">
        <v>0</v>
      </c>
      <c r="E33" s="12">
        <v>-8302</v>
      </c>
      <c r="G33" s="17">
        <v>0</v>
      </c>
      <c r="H33" s="17">
        <v>0</v>
      </c>
      <c r="I33" s="17" t="s">
        <v>22</v>
      </c>
      <c r="K33" s="14">
        <v>0</v>
      </c>
      <c r="L33" s="12">
        <v>0</v>
      </c>
      <c r="M33" s="12">
        <v>0</v>
      </c>
      <c r="N33" s="12">
        <v>0</v>
      </c>
      <c r="O33" s="14">
        <v>0</v>
      </c>
      <c r="P33" s="12">
        <v>-7530</v>
      </c>
      <c r="Q33" s="12">
        <v>-196</v>
      </c>
      <c r="R33" s="12">
        <v>-576</v>
      </c>
      <c r="S33" s="222">
        <v>0</v>
      </c>
      <c r="T33" s="195">
        <v>0</v>
      </c>
      <c r="V33" s="17">
        <v>0</v>
      </c>
      <c r="W33" s="17">
        <v>0</v>
      </c>
      <c r="X33" s="17" t="s">
        <v>22</v>
      </c>
      <c r="Y33" s="17" t="s">
        <v>22</v>
      </c>
      <c r="Z33" s="261">
        <v>0</v>
      </c>
      <c r="AA33" s="264" t="s">
        <v>22</v>
      </c>
    </row>
    <row r="34" spans="1:28">
      <c r="A34" s="1" t="s">
        <v>172</v>
      </c>
      <c r="B34" s="12">
        <v>-18929</v>
      </c>
      <c r="C34" s="12">
        <v>-15926</v>
      </c>
      <c r="D34" s="12">
        <v>-20261</v>
      </c>
      <c r="E34" s="12">
        <v>-26738</v>
      </c>
      <c r="G34" s="17">
        <v>-0.159</v>
      </c>
      <c r="H34" s="17">
        <v>0.27200000000000002</v>
      </c>
      <c r="I34" s="17">
        <v>-0.32</v>
      </c>
      <c r="K34" s="14">
        <v>-5172</v>
      </c>
      <c r="L34" s="12">
        <v>-4067</v>
      </c>
      <c r="M34" s="12">
        <v>-4450</v>
      </c>
      <c r="N34" s="12">
        <v>-6572</v>
      </c>
      <c r="O34" s="14"/>
      <c r="P34" s="12"/>
      <c r="Q34" s="12">
        <v>-7180</v>
      </c>
      <c r="R34" s="12">
        <v>-9526</v>
      </c>
      <c r="S34" s="222"/>
      <c r="T34" s="268">
        <v>0</v>
      </c>
      <c r="V34" s="17">
        <v>-0.113</v>
      </c>
      <c r="W34" s="17">
        <v>0.33800000000000002</v>
      </c>
      <c r="X34" s="17">
        <v>0.61299999999999999</v>
      </c>
      <c r="Y34" s="17">
        <v>-0.44900000000000001</v>
      </c>
      <c r="Z34" s="261">
        <v>-1.698</v>
      </c>
      <c r="AA34" s="264" t="s">
        <v>22</v>
      </c>
    </row>
    <row r="35" spans="1:28">
      <c r="A35" s="1" t="s">
        <v>173</v>
      </c>
      <c r="B35" s="12">
        <v>0</v>
      </c>
      <c r="C35" s="12">
        <v>-8563</v>
      </c>
      <c r="D35" s="12">
        <v>-11133</v>
      </c>
      <c r="E35" s="12">
        <v>-18840</v>
      </c>
      <c r="G35" s="17">
        <v>0</v>
      </c>
      <c r="H35" s="17">
        <v>0.3</v>
      </c>
      <c r="I35" s="17">
        <v>-0.69199999999999995</v>
      </c>
      <c r="K35" s="14">
        <v>-2673</v>
      </c>
      <c r="L35" s="12">
        <v>-2235</v>
      </c>
      <c r="M35" s="12">
        <v>-2160</v>
      </c>
      <c r="N35" s="12">
        <v>-4065</v>
      </c>
      <c r="O35" s="14"/>
      <c r="P35" s="12"/>
      <c r="Q35" s="12">
        <v>-5796</v>
      </c>
      <c r="R35" s="12">
        <v>-5801</v>
      </c>
      <c r="S35" s="222"/>
      <c r="T35" s="268">
        <v>0</v>
      </c>
      <c r="V35" s="17">
        <v>-0.10100000000000001</v>
      </c>
      <c r="W35" s="17">
        <v>1.165</v>
      </c>
      <c r="X35" s="17">
        <v>1.6830000000000001</v>
      </c>
      <c r="Y35" s="17">
        <v>-0.42699999999999999</v>
      </c>
      <c r="Z35" s="261">
        <v>-1.47</v>
      </c>
      <c r="AA35" s="264" t="s">
        <v>22</v>
      </c>
    </row>
    <row r="36" spans="1:28">
      <c r="A36" s="18" t="s">
        <v>174</v>
      </c>
      <c r="B36" s="19">
        <v>-4985</v>
      </c>
      <c r="C36" s="19">
        <v>29929</v>
      </c>
      <c r="D36" s="19">
        <v>28350</v>
      </c>
      <c r="E36" s="19">
        <v>-87896</v>
      </c>
      <c r="G36" s="20">
        <v>-7.0039999999999996</v>
      </c>
      <c r="H36" s="20">
        <v>-5.2999999999999999E-2</v>
      </c>
      <c r="I36" s="20" t="s">
        <v>22</v>
      </c>
      <c r="K36" s="21">
        <v>-5348</v>
      </c>
      <c r="L36" s="19">
        <v>11956.585550000076</v>
      </c>
      <c r="M36" s="19">
        <v>8615.5030299999926</v>
      </c>
      <c r="N36" s="19">
        <v>13124.911419999931</v>
      </c>
      <c r="O36" s="21">
        <v>-51939</v>
      </c>
      <c r="P36" s="19">
        <v>-45677</v>
      </c>
      <c r="Q36" s="19">
        <v>-22734</v>
      </c>
      <c r="R36" s="19">
        <v>32455</v>
      </c>
      <c r="S36" s="259">
        <v>20233</v>
      </c>
      <c r="T36" s="271">
        <f>SUM(T6:T35)</f>
        <v>31752</v>
      </c>
      <c r="V36" s="22">
        <v>8.7119999999999997</v>
      </c>
      <c r="W36" s="22">
        <v>-4.82</v>
      </c>
      <c r="X36" s="22" t="s">
        <v>22</v>
      </c>
      <c r="Y36" s="22">
        <v>1.4730000000000001</v>
      </c>
      <c r="Z36" s="262" t="s">
        <v>22</v>
      </c>
      <c r="AA36" s="265" t="s">
        <v>22</v>
      </c>
    </row>
    <row r="37" spans="1:28">
      <c r="B37" s="12"/>
      <c r="C37" s="12"/>
      <c r="D37" s="12"/>
      <c r="E37" s="12"/>
      <c r="G37" s="17"/>
      <c r="H37" s="17"/>
      <c r="I37" s="17"/>
      <c r="K37" s="14"/>
      <c r="L37" s="12"/>
      <c r="M37" s="12"/>
      <c r="N37" s="12"/>
      <c r="O37" s="14"/>
      <c r="P37" s="12"/>
      <c r="Q37" s="12"/>
      <c r="R37" s="12"/>
      <c r="S37" s="222"/>
      <c r="T37" s="195"/>
      <c r="V37" s="17"/>
      <c r="W37" s="17"/>
      <c r="X37" s="17"/>
      <c r="Y37" s="17"/>
      <c r="Z37" s="261"/>
      <c r="AA37" s="264"/>
    </row>
    <row r="38" spans="1:28">
      <c r="A38" s="8" t="s">
        <v>175</v>
      </c>
      <c r="B38" s="12"/>
      <c r="C38" s="12"/>
      <c r="D38" s="12"/>
      <c r="E38" s="12"/>
      <c r="G38" s="17"/>
      <c r="H38" s="17"/>
      <c r="I38" s="17"/>
      <c r="K38" s="14"/>
      <c r="L38" s="12"/>
      <c r="M38" s="12"/>
      <c r="N38" s="12"/>
      <c r="O38" s="14"/>
      <c r="P38" s="12"/>
      <c r="Q38" s="12"/>
      <c r="R38" s="12"/>
      <c r="S38" s="222"/>
      <c r="T38" s="195"/>
      <c r="V38" s="17"/>
      <c r="W38" s="17"/>
      <c r="X38" s="17"/>
      <c r="Y38" s="17"/>
      <c r="Z38" s="261"/>
      <c r="AA38" s="264"/>
    </row>
    <row r="39" spans="1:28">
      <c r="A39" s="1" t="s">
        <v>176</v>
      </c>
      <c r="B39" s="12">
        <v>-8909</v>
      </c>
      <c r="C39" s="12">
        <v>-21559</v>
      </c>
      <c r="D39" s="12">
        <v>-35741</v>
      </c>
      <c r="E39" s="12">
        <v>-52641</v>
      </c>
      <c r="G39" s="17">
        <v>1.42</v>
      </c>
      <c r="H39" s="17">
        <v>0.65800000000000003</v>
      </c>
      <c r="I39" s="17">
        <v>-0.47299999999999998</v>
      </c>
      <c r="K39" s="14">
        <v>-5242</v>
      </c>
      <c r="L39" s="12">
        <v>-6070</v>
      </c>
      <c r="M39" s="12">
        <v>-8973</v>
      </c>
      <c r="N39" s="12">
        <v>-15456</v>
      </c>
      <c r="O39" s="14">
        <v>-9767</v>
      </c>
      <c r="P39" s="12">
        <v>-15370</v>
      </c>
      <c r="Q39" s="12">
        <v>-15615</v>
      </c>
      <c r="R39" s="12">
        <v>-11889</v>
      </c>
      <c r="S39" s="222">
        <v>-17384</v>
      </c>
      <c r="T39" s="195">
        <v>-6803</v>
      </c>
      <c r="V39" s="17">
        <v>0.86299999999999999</v>
      </c>
      <c r="W39" s="17">
        <v>1.532</v>
      </c>
      <c r="X39" s="17">
        <v>0.74</v>
      </c>
      <c r="Y39" s="17">
        <v>-0.23100000000000001</v>
      </c>
      <c r="Z39" s="261">
        <v>-0.78</v>
      </c>
      <c r="AA39" s="264">
        <f>-ROUND(T39/P39-1,3)</f>
        <v>0.55700000000000005</v>
      </c>
    </row>
    <row r="40" spans="1:28">
      <c r="A40" s="23" t="s">
        <v>189</v>
      </c>
      <c r="B40" s="12">
        <v>-1500</v>
      </c>
      <c r="C40" s="12">
        <v>0</v>
      </c>
      <c r="D40" s="12">
        <v>-700</v>
      </c>
      <c r="E40" s="12">
        <v>-37050</v>
      </c>
      <c r="G40" s="17">
        <v>-1</v>
      </c>
      <c r="H40" s="17">
        <v>0</v>
      </c>
      <c r="I40" s="17">
        <v>-51.929000000000002</v>
      </c>
      <c r="K40" s="14">
        <v>0</v>
      </c>
      <c r="L40" s="12">
        <v>0</v>
      </c>
      <c r="M40" s="12">
        <v>-700</v>
      </c>
      <c r="N40" s="12">
        <v>0</v>
      </c>
      <c r="O40" s="14">
        <v>0</v>
      </c>
      <c r="P40" s="12">
        <v>0</v>
      </c>
      <c r="Q40" s="12">
        <v>0</v>
      </c>
      <c r="R40" s="12">
        <v>-38800</v>
      </c>
      <c r="S40" s="222">
        <v>0</v>
      </c>
      <c r="T40" s="195">
        <v>2714</v>
      </c>
      <c r="V40" s="17">
        <v>0</v>
      </c>
      <c r="W40" s="17">
        <v>0</v>
      </c>
      <c r="X40" s="17">
        <v>-1</v>
      </c>
      <c r="Y40" s="17" t="s">
        <v>22</v>
      </c>
      <c r="Z40" s="261">
        <v>0</v>
      </c>
      <c r="AA40" s="264">
        <v>0</v>
      </c>
    </row>
    <row r="41" spans="1:28">
      <c r="A41" s="1" t="s">
        <v>177</v>
      </c>
      <c r="B41" s="12">
        <v>-11806</v>
      </c>
      <c r="C41" s="12">
        <v>-50091</v>
      </c>
      <c r="D41" s="12">
        <v>-64551</v>
      </c>
      <c r="E41" s="12">
        <v>-164334</v>
      </c>
      <c r="G41" s="17">
        <v>3.2429999999999999</v>
      </c>
      <c r="H41" s="17">
        <v>0.28899999999999998</v>
      </c>
      <c r="I41" s="17">
        <v>-1.546</v>
      </c>
      <c r="K41" s="14">
        <v>-20514</v>
      </c>
      <c r="L41" s="12">
        <v>21300</v>
      </c>
      <c r="M41" s="12">
        <v>0</v>
      </c>
      <c r="N41" s="12">
        <v>-65337</v>
      </c>
      <c r="O41" s="14">
        <v>-7744</v>
      </c>
      <c r="P41" s="12">
        <v>-132382</v>
      </c>
      <c r="Q41" s="12">
        <v>-20007</v>
      </c>
      <c r="R41" s="12">
        <v>-4201</v>
      </c>
      <c r="S41" s="222">
        <v>-3693</v>
      </c>
      <c r="T41" s="195">
        <v>-22408</v>
      </c>
      <c r="V41" s="17">
        <v>-0.623</v>
      </c>
      <c r="W41" s="17" t="s">
        <v>22</v>
      </c>
      <c r="X41" s="17">
        <v>0</v>
      </c>
      <c r="Y41" s="17">
        <v>-0.93600000000000005</v>
      </c>
      <c r="Z41" s="261">
        <v>0.52300000000000002</v>
      </c>
      <c r="AA41" s="264">
        <f>-ROUND(T41/P41-1,3)</f>
        <v>0.83099999999999996</v>
      </c>
      <c r="AB41" s="12"/>
    </row>
    <row r="42" spans="1:28">
      <c r="A42" s="24" t="s">
        <v>211</v>
      </c>
      <c r="B42" s="12">
        <v>0</v>
      </c>
      <c r="C42" s="12">
        <v>0</v>
      </c>
      <c r="D42" s="12">
        <v>0</v>
      </c>
      <c r="E42" s="12">
        <v>-1750</v>
      </c>
      <c r="G42" s="17">
        <v>0</v>
      </c>
      <c r="H42" s="17">
        <v>0</v>
      </c>
      <c r="I42" s="17" t="s">
        <v>22</v>
      </c>
      <c r="K42" s="14"/>
      <c r="L42" s="12"/>
      <c r="M42" s="12"/>
      <c r="N42" s="12"/>
      <c r="O42" s="14"/>
      <c r="P42" s="12"/>
      <c r="Q42" s="12"/>
      <c r="R42" s="12"/>
      <c r="S42" s="222">
        <v>0</v>
      </c>
      <c r="T42" s="195"/>
      <c r="V42" s="17"/>
      <c r="W42" s="17"/>
      <c r="X42" s="17"/>
      <c r="Y42" s="17" t="s">
        <v>22</v>
      </c>
      <c r="Z42" s="261">
        <v>0</v>
      </c>
      <c r="AA42" s="264">
        <v>0</v>
      </c>
      <c r="AB42" s="12"/>
    </row>
    <row r="43" spans="1:28">
      <c r="A43" s="24" t="s">
        <v>198</v>
      </c>
      <c r="B43" s="12">
        <v>0</v>
      </c>
      <c r="C43" s="12">
        <v>0</v>
      </c>
      <c r="D43" s="12">
        <v>0</v>
      </c>
      <c r="E43" s="12">
        <v>0</v>
      </c>
      <c r="G43" s="12">
        <v>0</v>
      </c>
      <c r="H43" s="12">
        <v>0</v>
      </c>
      <c r="I43" s="12" t="s">
        <v>22</v>
      </c>
      <c r="K43" s="14">
        <v>0</v>
      </c>
      <c r="L43" s="12">
        <v>0</v>
      </c>
      <c r="M43" s="12">
        <v>0</v>
      </c>
      <c r="N43" s="12">
        <v>0</v>
      </c>
      <c r="O43" s="14">
        <v>0</v>
      </c>
      <c r="P43" s="12">
        <v>0</v>
      </c>
      <c r="Q43" s="12">
        <v>-1750</v>
      </c>
      <c r="R43" s="12">
        <v>1750</v>
      </c>
      <c r="S43" s="222">
        <v>0</v>
      </c>
      <c r="T43" s="195"/>
      <c r="V43" s="17">
        <v>0</v>
      </c>
      <c r="W43" s="17">
        <v>0</v>
      </c>
      <c r="X43" s="17">
        <v>0</v>
      </c>
      <c r="Y43" s="17" t="s">
        <v>22</v>
      </c>
      <c r="Z43" s="261">
        <v>0</v>
      </c>
      <c r="AA43" s="264">
        <v>0</v>
      </c>
      <c r="AB43" s="12"/>
    </row>
    <row r="44" spans="1:28">
      <c r="A44" s="1" t="s">
        <v>193</v>
      </c>
      <c r="B44" s="12">
        <v>0</v>
      </c>
      <c r="C44" s="12">
        <v>0</v>
      </c>
      <c r="D44" s="12">
        <v>0</v>
      </c>
      <c r="E44" s="12">
        <v>0</v>
      </c>
      <c r="G44" s="17">
        <v>0</v>
      </c>
      <c r="H44" s="17">
        <v>0</v>
      </c>
      <c r="I44" s="17" t="s">
        <v>22</v>
      </c>
      <c r="K44" s="14">
        <v>0</v>
      </c>
      <c r="L44" s="12">
        <v>-22600</v>
      </c>
      <c r="M44" s="12">
        <v>0</v>
      </c>
      <c r="N44" s="12">
        <v>22600</v>
      </c>
      <c r="O44" s="14">
        <v>0</v>
      </c>
      <c r="P44" s="12">
        <v>0</v>
      </c>
      <c r="Q44" s="12">
        <v>0</v>
      </c>
      <c r="R44" s="12">
        <v>0</v>
      </c>
      <c r="S44" s="222">
        <v>0</v>
      </c>
      <c r="T44" s="195"/>
      <c r="V44" s="17">
        <v>0</v>
      </c>
      <c r="W44" s="17">
        <v>-1</v>
      </c>
      <c r="X44" s="17">
        <v>0</v>
      </c>
      <c r="Y44" s="17">
        <v>-1</v>
      </c>
      <c r="Z44" s="261">
        <v>0</v>
      </c>
      <c r="AA44" s="264">
        <v>0</v>
      </c>
    </row>
    <row r="45" spans="1:28">
      <c r="A45" s="25" t="s">
        <v>192</v>
      </c>
      <c r="B45" s="12">
        <v>33056</v>
      </c>
      <c r="C45" s="12">
        <v>0</v>
      </c>
      <c r="D45" s="12">
        <v>0</v>
      </c>
      <c r="E45" s="12">
        <v>0</v>
      </c>
      <c r="G45" s="17">
        <v>-1</v>
      </c>
      <c r="H45" s="17">
        <v>0</v>
      </c>
      <c r="I45" s="17" t="s">
        <v>22</v>
      </c>
      <c r="K45" s="14">
        <v>0</v>
      </c>
      <c r="L45" s="12">
        <v>0</v>
      </c>
      <c r="M45" s="12">
        <v>0</v>
      </c>
      <c r="N45" s="12">
        <v>0</v>
      </c>
      <c r="O45" s="14">
        <v>0</v>
      </c>
      <c r="P45" s="12">
        <v>0</v>
      </c>
      <c r="Q45" s="12">
        <v>0</v>
      </c>
      <c r="R45" s="12">
        <v>0</v>
      </c>
      <c r="S45" s="222">
        <v>0</v>
      </c>
      <c r="T45" s="195"/>
      <c r="V45" s="17">
        <v>0</v>
      </c>
      <c r="W45" s="17">
        <v>0</v>
      </c>
      <c r="X45" s="17">
        <v>0</v>
      </c>
      <c r="Y45" s="17" t="s">
        <v>22</v>
      </c>
      <c r="Z45" s="261">
        <v>0</v>
      </c>
      <c r="AA45" s="264">
        <v>0</v>
      </c>
    </row>
    <row r="46" spans="1:28">
      <c r="A46" s="18" t="s">
        <v>178</v>
      </c>
      <c r="B46" s="19">
        <v>10841</v>
      </c>
      <c r="C46" s="19">
        <v>-71650</v>
      </c>
      <c r="D46" s="19">
        <v>-100992</v>
      </c>
      <c r="E46" s="19">
        <v>-255775</v>
      </c>
      <c r="G46" s="20">
        <v>-7.609</v>
      </c>
      <c r="H46" s="20">
        <v>0.41</v>
      </c>
      <c r="I46" s="20">
        <v>-1.5329999999999999</v>
      </c>
      <c r="K46" s="21">
        <v>-25756</v>
      </c>
      <c r="L46" s="19">
        <v>-7370</v>
      </c>
      <c r="M46" s="19">
        <v>-9673</v>
      </c>
      <c r="N46" s="19">
        <v>-58193</v>
      </c>
      <c r="O46" s="21">
        <v>-17511</v>
      </c>
      <c r="P46" s="19">
        <v>-147752</v>
      </c>
      <c r="Q46" s="19">
        <v>-37372</v>
      </c>
      <c r="R46" s="19">
        <v>-53140</v>
      </c>
      <c r="S46" s="259">
        <v>-21077</v>
      </c>
      <c r="T46" s="271">
        <f>SUM(T39:T45)</f>
        <v>-26497</v>
      </c>
      <c r="V46" s="22">
        <v>-0.32</v>
      </c>
      <c r="W46" s="22">
        <v>19.047999999999998</v>
      </c>
      <c r="X46" s="22">
        <v>2.8639999999999999</v>
      </c>
      <c r="Y46" s="22">
        <v>8.6999999999999994E-2</v>
      </c>
      <c r="Z46" s="262">
        <v>-0.20399999999999999</v>
      </c>
      <c r="AA46" s="265">
        <f>-ROUND(T46/P46-1,3)</f>
        <v>0.82099999999999995</v>
      </c>
    </row>
    <row r="47" spans="1:28">
      <c r="B47" s="12"/>
      <c r="C47" s="12"/>
      <c r="D47" s="12"/>
      <c r="E47" s="12"/>
      <c r="G47" s="17"/>
      <c r="H47" s="17"/>
      <c r="I47" s="17"/>
      <c r="K47" s="14"/>
      <c r="L47" s="12"/>
      <c r="M47" s="12"/>
      <c r="N47" s="12"/>
      <c r="O47" s="14"/>
      <c r="P47" s="12"/>
      <c r="Q47" s="12"/>
      <c r="R47" s="12"/>
      <c r="S47" s="222"/>
      <c r="T47" s="195"/>
      <c r="V47" s="17"/>
      <c r="W47" s="17"/>
      <c r="X47" s="17"/>
      <c r="Y47" s="17"/>
      <c r="Z47" s="261"/>
      <c r="AA47" s="264"/>
    </row>
    <row r="48" spans="1:28">
      <c r="A48" s="8" t="s">
        <v>179</v>
      </c>
      <c r="B48" s="12"/>
      <c r="C48" s="12"/>
      <c r="D48" s="12"/>
      <c r="E48" s="12"/>
      <c r="G48" s="17"/>
      <c r="H48" s="17"/>
      <c r="I48" s="17"/>
      <c r="K48" s="14"/>
      <c r="L48" s="12"/>
      <c r="M48" s="12"/>
      <c r="N48" s="12"/>
      <c r="O48" s="14"/>
      <c r="P48" s="12"/>
      <c r="Q48" s="12"/>
      <c r="R48" s="12"/>
      <c r="S48" s="222"/>
      <c r="T48" s="195"/>
      <c r="V48" s="17"/>
      <c r="W48" s="17"/>
      <c r="X48" s="17"/>
      <c r="Y48" s="17"/>
      <c r="Z48" s="261"/>
      <c r="AA48" s="264"/>
    </row>
    <row r="49" spans="1:28">
      <c r="A49" s="1" t="s">
        <v>180</v>
      </c>
      <c r="B49" s="12">
        <v>42765</v>
      </c>
      <c r="C49" s="12">
        <v>242006</v>
      </c>
      <c r="D49" s="12">
        <v>278113</v>
      </c>
      <c r="E49" s="12">
        <v>170285</v>
      </c>
      <c r="G49" s="17">
        <v>4.6589999999999998</v>
      </c>
      <c r="H49" s="17">
        <v>0.14899999999999999</v>
      </c>
      <c r="I49" s="17">
        <v>-0.38800000000000001</v>
      </c>
      <c r="K49" s="14">
        <v>28221</v>
      </c>
      <c r="L49" s="12">
        <v>15000</v>
      </c>
      <c r="M49" s="12">
        <v>55002</v>
      </c>
      <c r="N49" s="12">
        <v>179890</v>
      </c>
      <c r="O49" s="14">
        <v>18958</v>
      </c>
      <c r="P49" s="12">
        <v>125</v>
      </c>
      <c r="Q49" s="12">
        <v>-1</v>
      </c>
      <c r="R49" s="12">
        <v>151203</v>
      </c>
      <c r="S49" s="222">
        <v>107462</v>
      </c>
      <c r="T49" s="195">
        <v>0</v>
      </c>
      <c r="V49" s="17">
        <v>-0.32800000000000001</v>
      </c>
      <c r="W49" s="17">
        <v>-0.99199999999999999</v>
      </c>
      <c r="X49" s="17" t="s">
        <v>22</v>
      </c>
      <c r="Y49" s="17">
        <v>-0.159</v>
      </c>
      <c r="Z49" s="261">
        <v>4.6680000000000001</v>
      </c>
      <c r="AA49" s="264">
        <f>ROUND(U49/P49-1,3)</f>
        <v>-1</v>
      </c>
    </row>
    <row r="50" spans="1:28">
      <c r="A50" s="1" t="s">
        <v>181</v>
      </c>
      <c r="B50" s="12">
        <v>-11653</v>
      </c>
      <c r="C50" s="12">
        <v>-138302</v>
      </c>
      <c r="D50" s="12">
        <v>-171871</v>
      </c>
      <c r="E50" s="12">
        <v>-199562</v>
      </c>
      <c r="G50" s="17">
        <v>10.868</v>
      </c>
      <c r="H50" s="17">
        <v>0.24299999999999999</v>
      </c>
      <c r="I50" s="17">
        <v>-0.161</v>
      </c>
      <c r="K50" s="14">
        <v>-17898</v>
      </c>
      <c r="L50" s="12">
        <v>-1834</v>
      </c>
      <c r="M50" s="12">
        <v>-3365</v>
      </c>
      <c r="N50" s="12">
        <v>-148774</v>
      </c>
      <c r="O50" s="14">
        <v>-1837</v>
      </c>
      <c r="P50" s="12">
        <v>-25345</v>
      </c>
      <c r="Q50" s="12">
        <v>-12543</v>
      </c>
      <c r="R50" s="12">
        <v>-159837</v>
      </c>
      <c r="S50" s="222">
        <v>-100357</v>
      </c>
      <c r="T50" s="195">
        <v>-339</v>
      </c>
      <c r="V50" s="17">
        <v>-0.89700000000000002</v>
      </c>
      <c r="W50" s="17">
        <v>12.82</v>
      </c>
      <c r="X50" s="17">
        <v>2.7269999999999999</v>
      </c>
      <c r="Y50" s="17">
        <v>-7.3999999999999996E-2</v>
      </c>
      <c r="Z50" s="261">
        <v>-53.631</v>
      </c>
      <c r="AA50" s="264">
        <f>-ROUND(U50/P50-1,3)</f>
        <v>1</v>
      </c>
      <c r="AB50" s="12"/>
    </row>
    <row r="51" spans="1:28">
      <c r="A51" s="1" t="s">
        <v>182</v>
      </c>
      <c r="B51" s="12">
        <v>0</v>
      </c>
      <c r="C51" s="12">
        <v>-16125</v>
      </c>
      <c r="D51" s="12">
        <v>-33214</v>
      </c>
      <c r="E51" s="12">
        <v>-49276</v>
      </c>
      <c r="G51" s="17">
        <v>0</v>
      </c>
      <c r="H51" s="17">
        <v>1.06</v>
      </c>
      <c r="I51" s="17">
        <v>-0.48399999999999999</v>
      </c>
      <c r="K51" s="14">
        <v>-5462</v>
      </c>
      <c r="L51" s="12">
        <v>-7169</v>
      </c>
      <c r="M51" s="12">
        <v>-8502</v>
      </c>
      <c r="N51" s="12">
        <v>-12081</v>
      </c>
      <c r="O51" s="14">
        <v>-12876</v>
      </c>
      <c r="P51" s="12">
        <v>-12955</v>
      </c>
      <c r="Q51" s="12">
        <v>-11727</v>
      </c>
      <c r="R51" s="12">
        <v>-11718</v>
      </c>
      <c r="S51" s="222">
        <v>-12006</v>
      </c>
      <c r="T51" s="195">
        <v>-14854</v>
      </c>
      <c r="V51" s="17">
        <v>1.357</v>
      </c>
      <c r="W51" s="17">
        <v>0.80700000000000005</v>
      </c>
      <c r="X51" s="17">
        <v>0.379</v>
      </c>
      <c r="Y51" s="17">
        <v>-0.03</v>
      </c>
      <c r="Z51" s="261">
        <v>6.8000000000000005E-2</v>
      </c>
      <c r="AA51" s="264">
        <f>-ROUND(T51/P51-1,3)</f>
        <v>-0.14699999999999999</v>
      </c>
    </row>
    <row r="52" spans="1:28">
      <c r="A52" s="1" t="s">
        <v>183</v>
      </c>
      <c r="B52" s="12">
        <v>0</v>
      </c>
      <c r="C52" s="12">
        <v>7000</v>
      </c>
      <c r="D52" s="12">
        <v>320689</v>
      </c>
      <c r="E52" s="12">
        <v>206972</v>
      </c>
      <c r="G52" s="17">
        <v>0</v>
      </c>
      <c r="H52" s="17">
        <v>44.813000000000002</v>
      </c>
      <c r="I52" s="17">
        <v>-0.35499999999999998</v>
      </c>
      <c r="K52" s="14">
        <v>0</v>
      </c>
      <c r="L52" s="12">
        <v>0</v>
      </c>
      <c r="M52" s="12">
        <v>0</v>
      </c>
      <c r="N52" s="12">
        <v>320689</v>
      </c>
      <c r="O52" s="14">
        <v>4516</v>
      </c>
      <c r="P52" s="12">
        <v>200352</v>
      </c>
      <c r="Q52" s="12">
        <v>2104</v>
      </c>
      <c r="R52" s="12">
        <v>0</v>
      </c>
      <c r="S52" s="222">
        <v>718</v>
      </c>
      <c r="T52" s="195">
        <v>1028</v>
      </c>
      <c r="V52" s="17">
        <v>0</v>
      </c>
      <c r="W52" s="17">
        <v>0</v>
      </c>
      <c r="X52" s="17" t="s">
        <v>22</v>
      </c>
      <c r="Y52" s="17">
        <v>-1</v>
      </c>
      <c r="Z52" s="261">
        <v>-0.84099999999999997</v>
      </c>
      <c r="AA52" s="264">
        <f t="shared" ref="AA52" si="2">ROUND(T52/P52-1,3)</f>
        <v>-0.995</v>
      </c>
    </row>
    <row r="53" spans="1:28">
      <c r="A53" s="1" t="s">
        <v>184</v>
      </c>
      <c r="B53" s="12">
        <v>0</v>
      </c>
      <c r="C53" s="12">
        <v>-7500</v>
      </c>
      <c r="D53" s="12">
        <v>0</v>
      </c>
      <c r="E53" s="12">
        <v>-25000</v>
      </c>
      <c r="G53" s="17">
        <v>0</v>
      </c>
      <c r="H53" s="17">
        <v>-1</v>
      </c>
      <c r="I53" s="17" t="s">
        <v>22</v>
      </c>
      <c r="K53" s="14">
        <v>0</v>
      </c>
      <c r="L53" s="12">
        <v>0</v>
      </c>
      <c r="M53" s="12">
        <v>0</v>
      </c>
      <c r="N53" s="12">
        <v>0</v>
      </c>
      <c r="O53" s="14">
        <v>-25000</v>
      </c>
      <c r="P53" s="12">
        <v>0</v>
      </c>
      <c r="Q53" s="12">
        <v>0</v>
      </c>
      <c r="R53" s="12">
        <v>0</v>
      </c>
      <c r="S53" s="222">
        <v>0</v>
      </c>
      <c r="T53" s="195"/>
      <c r="V53" s="17">
        <v>0</v>
      </c>
      <c r="W53" s="17">
        <v>0</v>
      </c>
      <c r="X53" s="17">
        <v>0</v>
      </c>
      <c r="Y53" s="17" t="s">
        <v>22</v>
      </c>
      <c r="Z53" s="261">
        <v>-1</v>
      </c>
      <c r="AA53" s="264" t="s">
        <v>22</v>
      </c>
    </row>
    <row r="54" spans="1:28">
      <c r="A54" s="1" t="s">
        <v>185</v>
      </c>
      <c r="B54" s="12">
        <v>0</v>
      </c>
      <c r="C54" s="12">
        <v>-4269</v>
      </c>
      <c r="D54" s="12">
        <v>-3491</v>
      </c>
      <c r="E54" s="12">
        <v>0</v>
      </c>
      <c r="G54" s="17">
        <v>0</v>
      </c>
      <c r="H54" s="17">
        <v>-0.182</v>
      </c>
      <c r="I54" s="17">
        <v>-1</v>
      </c>
      <c r="K54" s="14">
        <v>-1163</v>
      </c>
      <c r="L54" s="12">
        <v>-2328</v>
      </c>
      <c r="M54" s="12">
        <v>0</v>
      </c>
      <c r="N54" s="12">
        <v>0</v>
      </c>
      <c r="O54" s="14">
        <v>0</v>
      </c>
      <c r="P54" s="12">
        <v>0</v>
      </c>
      <c r="Q54" s="12">
        <v>0</v>
      </c>
      <c r="R54" s="12">
        <v>0</v>
      </c>
      <c r="S54" s="222">
        <v>0</v>
      </c>
      <c r="T54" s="195"/>
      <c r="V54" s="17">
        <v>-1</v>
      </c>
      <c r="W54" s="17">
        <v>-1</v>
      </c>
      <c r="X54" s="17">
        <v>0</v>
      </c>
      <c r="Y54" s="17" t="s">
        <v>22</v>
      </c>
      <c r="Z54" s="261">
        <v>0</v>
      </c>
      <c r="AA54" s="264">
        <v>0</v>
      </c>
    </row>
    <row r="55" spans="1:28">
      <c r="A55" s="24" t="s">
        <v>244</v>
      </c>
      <c r="B55" s="12">
        <v>-6953</v>
      </c>
      <c r="C55" s="12">
        <v>0</v>
      </c>
      <c r="D55" s="12">
        <v>0</v>
      </c>
      <c r="E55" s="12">
        <v>0</v>
      </c>
      <c r="G55" s="17">
        <v>-1</v>
      </c>
      <c r="H55" s="17">
        <v>0</v>
      </c>
      <c r="I55" s="17" t="s">
        <v>22</v>
      </c>
      <c r="K55" s="14">
        <v>0</v>
      </c>
      <c r="L55" s="12">
        <v>0</v>
      </c>
      <c r="M55" s="12">
        <v>0</v>
      </c>
      <c r="N55" s="12">
        <v>0</v>
      </c>
      <c r="O55" s="14">
        <v>0</v>
      </c>
      <c r="P55" s="12">
        <v>0</v>
      </c>
      <c r="Q55" s="12">
        <v>0</v>
      </c>
      <c r="R55" s="12">
        <v>0</v>
      </c>
      <c r="S55" s="222">
        <v>0</v>
      </c>
      <c r="T55" s="195"/>
      <c r="V55" s="17">
        <v>0</v>
      </c>
      <c r="W55" s="17">
        <v>0</v>
      </c>
      <c r="X55" s="17">
        <v>0</v>
      </c>
      <c r="Y55" s="17" t="s">
        <v>22</v>
      </c>
      <c r="Z55" s="261">
        <v>0</v>
      </c>
      <c r="AA55" s="264">
        <v>0</v>
      </c>
    </row>
    <row r="56" spans="1:28">
      <c r="A56" s="1" t="s">
        <v>172</v>
      </c>
      <c r="B56" s="12"/>
      <c r="C56" s="12"/>
      <c r="D56" s="12"/>
      <c r="E56" s="12"/>
      <c r="G56" s="17"/>
      <c r="H56" s="17"/>
      <c r="I56" s="17"/>
      <c r="K56" s="14"/>
      <c r="L56" s="12"/>
      <c r="M56" s="12"/>
      <c r="N56" s="12"/>
      <c r="O56" s="197">
        <v>-4589</v>
      </c>
      <c r="P56" s="195">
        <v>-5443</v>
      </c>
      <c r="Q56" s="12"/>
      <c r="R56" s="12"/>
      <c r="S56" s="268">
        <v>-12381</v>
      </c>
      <c r="T56" s="195">
        <v>-13470</v>
      </c>
      <c r="V56" s="17"/>
      <c r="W56" s="17"/>
      <c r="X56" s="17"/>
      <c r="Y56" s="17"/>
      <c r="Z56" s="261"/>
      <c r="AA56" s="264"/>
    </row>
    <row r="57" spans="1:28">
      <c r="A57" s="1" t="s">
        <v>173</v>
      </c>
      <c r="B57" s="12"/>
      <c r="C57" s="12"/>
      <c r="D57" s="12"/>
      <c r="E57" s="12"/>
      <c r="G57" s="17"/>
      <c r="H57" s="17"/>
      <c r="I57" s="17"/>
      <c r="K57" s="14"/>
      <c r="L57" s="12"/>
      <c r="M57" s="12"/>
      <c r="N57" s="12"/>
      <c r="O57" s="197">
        <v>-2404</v>
      </c>
      <c r="P57" s="195">
        <v>-4839</v>
      </c>
      <c r="Q57" s="12"/>
      <c r="R57" s="12"/>
      <c r="S57" s="268">
        <v>-5937</v>
      </c>
      <c r="T57" s="195">
        <v>-9123</v>
      </c>
      <c r="V57" s="17"/>
      <c r="W57" s="17"/>
      <c r="X57" s="17"/>
      <c r="Y57" s="17"/>
      <c r="Z57" s="261"/>
      <c r="AA57" s="264"/>
    </row>
    <row r="58" spans="1:28">
      <c r="A58" s="18" t="s">
        <v>186</v>
      </c>
      <c r="B58" s="19">
        <v>24159</v>
      </c>
      <c r="C58" s="19">
        <v>82810</v>
      </c>
      <c r="D58" s="19">
        <v>390226</v>
      </c>
      <c r="E58" s="19">
        <v>103419</v>
      </c>
      <c r="G58" s="20">
        <v>2.4279999999999999</v>
      </c>
      <c r="H58" s="20">
        <v>3.7120000000000002</v>
      </c>
      <c r="I58" s="20">
        <v>-0.73499999999999999</v>
      </c>
      <c r="K58" s="21">
        <v>3698</v>
      </c>
      <c r="L58" s="19">
        <v>3669</v>
      </c>
      <c r="M58" s="19">
        <v>43135</v>
      </c>
      <c r="N58" s="19">
        <v>339724</v>
      </c>
      <c r="O58" s="21">
        <v>-16239</v>
      </c>
      <c r="P58" s="19">
        <v>162177</v>
      </c>
      <c r="Q58" s="19">
        <v>-22167</v>
      </c>
      <c r="R58" s="19">
        <v>-20352</v>
      </c>
      <c r="S58" s="259">
        <v>-4183</v>
      </c>
      <c r="T58" s="271">
        <f>SUM(T49:T57)</f>
        <v>-36758</v>
      </c>
      <c r="V58" s="22">
        <v>-5.391</v>
      </c>
      <c r="W58" s="22">
        <v>43.201999999999998</v>
      </c>
      <c r="X58" s="22" t="s">
        <v>22</v>
      </c>
      <c r="Y58" s="22" t="s">
        <v>22</v>
      </c>
      <c r="Z58" s="262">
        <v>0.74199999999999999</v>
      </c>
      <c r="AA58" s="265">
        <f>-ROUND(T58/P58-1,3)</f>
        <v>1.2270000000000001</v>
      </c>
    </row>
    <row r="59" spans="1:28">
      <c r="B59" s="12"/>
      <c r="C59" s="12"/>
      <c r="D59" s="12"/>
      <c r="E59" s="12"/>
      <c r="G59" s="17"/>
      <c r="H59" s="17"/>
      <c r="I59" s="17"/>
      <c r="K59" s="14"/>
      <c r="L59" s="12"/>
      <c r="M59" s="12"/>
      <c r="N59" s="12"/>
      <c r="O59" s="14"/>
      <c r="P59" s="12"/>
      <c r="Q59" s="12"/>
      <c r="R59" s="12"/>
      <c r="S59" s="222"/>
      <c r="T59" s="195"/>
      <c r="V59" s="17"/>
      <c r="W59" s="17"/>
      <c r="X59" s="17"/>
      <c r="Y59" s="17"/>
      <c r="Z59" s="261"/>
      <c r="AA59" s="264"/>
    </row>
    <row r="60" spans="1:28" ht="14.5" customHeight="1">
      <c r="A60" s="26" t="s">
        <v>190</v>
      </c>
      <c r="B60" s="279">
        <f>SUM(B36,B46,B58)</f>
        <v>30015</v>
      </c>
      <c r="C60" s="279">
        <f>SUM(C36,C46,C58)</f>
        <v>41089</v>
      </c>
      <c r="D60" s="279">
        <f>SUM(D36,D46,D58)</f>
        <v>317584</v>
      </c>
      <c r="E60" s="279">
        <f>SUM(E36,E46,E58)</f>
        <v>-240252</v>
      </c>
      <c r="F60" s="6"/>
      <c r="G60" s="27">
        <v>0.36899999999999999</v>
      </c>
      <c r="H60" s="27">
        <v>6.7290000000000001</v>
      </c>
      <c r="I60" s="27" t="s">
        <v>22</v>
      </c>
      <c r="J60" s="6"/>
      <c r="K60" s="279">
        <f t="shared" ref="K60:T60" si="3">SUM(K36,K46,K58)</f>
        <v>-27406</v>
      </c>
      <c r="L60" s="279">
        <f t="shared" si="3"/>
        <v>8255.5855500000762</v>
      </c>
      <c r="M60" s="279">
        <f t="shared" si="3"/>
        <v>42077.503029999993</v>
      </c>
      <c r="N60" s="279">
        <f t="shared" si="3"/>
        <v>294655.9114199999</v>
      </c>
      <c r="O60" s="279">
        <f t="shared" si="3"/>
        <v>-85689</v>
      </c>
      <c r="P60" s="279">
        <f t="shared" si="3"/>
        <v>-31252</v>
      </c>
      <c r="Q60" s="279">
        <f t="shared" si="3"/>
        <v>-82273</v>
      </c>
      <c r="R60" s="279">
        <f t="shared" si="3"/>
        <v>-41037</v>
      </c>
      <c r="S60" s="279">
        <f t="shared" si="3"/>
        <v>-5027</v>
      </c>
      <c r="T60" s="279">
        <f t="shared" si="3"/>
        <v>-31503</v>
      </c>
      <c r="U60" s="6"/>
      <c r="V60" s="27">
        <v>2.1269999999999998</v>
      </c>
      <c r="W60" s="27" t="s">
        <v>22</v>
      </c>
      <c r="X60" s="27" t="s">
        <v>22</v>
      </c>
      <c r="Y60" s="27" t="s">
        <v>22</v>
      </c>
      <c r="Z60" s="288">
        <v>0.94099999999999995</v>
      </c>
      <c r="AA60" s="285">
        <f>-ROUND(T60/P60-1,3)</f>
        <v>-8.0000000000000002E-3</v>
      </c>
    </row>
    <row r="61" spans="1:28">
      <c r="B61" s="12"/>
      <c r="C61" s="12"/>
      <c r="D61" s="12"/>
      <c r="E61" s="12"/>
      <c r="G61" s="13"/>
      <c r="H61" s="13"/>
      <c r="I61" s="13"/>
      <c r="K61" s="14"/>
      <c r="L61" s="12"/>
      <c r="M61" s="12"/>
      <c r="N61" s="12"/>
      <c r="O61" s="14"/>
      <c r="P61" s="12"/>
      <c r="Q61" s="12"/>
      <c r="R61" s="12"/>
      <c r="S61" s="222"/>
      <c r="T61" s="195"/>
      <c r="V61" s="13"/>
      <c r="W61" s="13"/>
      <c r="X61" s="13"/>
      <c r="Y61" s="13"/>
      <c r="Z61" s="289"/>
      <c r="AA61" s="282"/>
    </row>
    <row r="62" spans="1:28">
      <c r="A62" s="8" t="s">
        <v>187</v>
      </c>
      <c r="B62" s="9">
        <v>20495</v>
      </c>
      <c r="C62" s="9">
        <v>50510</v>
      </c>
      <c r="D62" s="9">
        <v>91599</v>
      </c>
      <c r="E62" s="9">
        <v>409183</v>
      </c>
      <c r="F62" s="28"/>
      <c r="G62" s="10">
        <v>1.4650000000000001</v>
      </c>
      <c r="H62" s="10">
        <v>0.81299999999999994</v>
      </c>
      <c r="I62" s="10">
        <v>3.4670000000000001</v>
      </c>
      <c r="J62" s="28"/>
      <c r="K62" s="11">
        <v>91599</v>
      </c>
      <c r="L62" s="9">
        <v>64193</v>
      </c>
      <c r="M62" s="9">
        <v>72449</v>
      </c>
      <c r="N62" s="9">
        <v>114527</v>
      </c>
      <c r="O62" s="11">
        <v>409183</v>
      </c>
      <c r="P62" s="9">
        <v>323494</v>
      </c>
      <c r="Q62" s="9">
        <v>292242</v>
      </c>
      <c r="R62" s="9">
        <v>209969</v>
      </c>
      <c r="S62" s="260">
        <v>168931</v>
      </c>
      <c r="T62" s="313">
        <f>S63</f>
        <v>163904</v>
      </c>
      <c r="U62" s="28"/>
      <c r="V62" s="29">
        <v>3.4670000000000001</v>
      </c>
      <c r="W62" s="29">
        <v>4.0389999999999997</v>
      </c>
      <c r="X62" s="29">
        <v>3.0339999999999998</v>
      </c>
      <c r="Y62" s="29">
        <v>0.83299999999999996</v>
      </c>
      <c r="Z62" s="263">
        <v>-0.58699999999999997</v>
      </c>
      <c r="AA62" s="272">
        <f t="shared" ref="AA62:AA63" si="4">ROUND(T62/P62-1,3)</f>
        <v>-0.49299999999999999</v>
      </c>
    </row>
    <row r="63" spans="1:28">
      <c r="A63" s="8" t="s">
        <v>188</v>
      </c>
      <c r="B63" s="9">
        <v>50510</v>
      </c>
      <c r="C63" s="9">
        <v>91599</v>
      </c>
      <c r="D63" s="9">
        <v>409183</v>
      </c>
      <c r="E63" s="9">
        <v>168931</v>
      </c>
      <c r="F63" s="28"/>
      <c r="G63" s="10">
        <v>0.81299999999999994</v>
      </c>
      <c r="H63" s="10">
        <v>3.4670000000000001</v>
      </c>
      <c r="I63" s="10">
        <v>-0.58699999999999997</v>
      </c>
      <c r="J63" s="28"/>
      <c r="K63" s="11">
        <v>64193</v>
      </c>
      <c r="L63" s="9">
        <v>72449</v>
      </c>
      <c r="M63" s="9">
        <v>114527</v>
      </c>
      <c r="N63" s="9">
        <v>409183</v>
      </c>
      <c r="O63" s="11">
        <v>323494</v>
      </c>
      <c r="P63" s="9">
        <v>292242</v>
      </c>
      <c r="Q63" s="9">
        <v>209969</v>
      </c>
      <c r="R63" s="9">
        <v>168931</v>
      </c>
      <c r="S63" s="260">
        <v>163904</v>
      </c>
      <c r="T63" s="313">
        <f>T62+T60</f>
        <v>132401</v>
      </c>
      <c r="U63" s="28"/>
      <c r="V63" s="29">
        <v>4.0389999999999997</v>
      </c>
      <c r="W63" s="29">
        <v>3.0339999999999998</v>
      </c>
      <c r="X63" s="29">
        <v>0.83299999999999996</v>
      </c>
      <c r="Y63" s="29">
        <v>-0.58699999999999997</v>
      </c>
      <c r="Z63" s="263">
        <v>-0.49299999999999999</v>
      </c>
      <c r="AA63" s="272">
        <f t="shared" si="4"/>
        <v>-0.54700000000000004</v>
      </c>
    </row>
    <row r="64" spans="1:28">
      <c r="A64" s="30"/>
      <c r="B64" s="31">
        <v>30015</v>
      </c>
      <c r="C64" s="31">
        <v>41089</v>
      </c>
      <c r="D64" s="31">
        <v>317584</v>
      </c>
      <c r="E64" s="32">
        <v>-240252</v>
      </c>
      <c r="G64" s="33">
        <v>0.36899999999999999</v>
      </c>
      <c r="H64" s="33">
        <v>6.7290000000000001</v>
      </c>
      <c r="I64" s="34" t="s">
        <v>22</v>
      </c>
      <c r="K64" s="35">
        <v>-27406</v>
      </c>
      <c r="L64" s="31">
        <v>8256</v>
      </c>
      <c r="M64" s="31">
        <v>42078</v>
      </c>
      <c r="N64" s="31">
        <v>294656</v>
      </c>
      <c r="O64" s="35">
        <v>-85689</v>
      </c>
      <c r="P64" s="36">
        <v>-31252</v>
      </c>
      <c r="Q64" s="36">
        <v>-82273</v>
      </c>
      <c r="R64" s="32">
        <v>-41038</v>
      </c>
      <c r="S64" s="286">
        <v>-5027</v>
      </c>
      <c r="T64" s="343">
        <f>T63-T62</f>
        <v>-31503</v>
      </c>
      <c r="V64" s="37">
        <v>2.1269999999999998</v>
      </c>
      <c r="W64" s="37" t="s">
        <v>22</v>
      </c>
      <c r="X64" s="37">
        <v>0.95499999999999996</v>
      </c>
      <c r="Y64" s="37" t="s">
        <v>22</v>
      </c>
      <c r="Z64" s="290">
        <v>0.94099999999999995</v>
      </c>
      <c r="AA64" s="346">
        <f>-ROUND(T64/P64-1,3)</f>
        <v>-8.0000000000000002E-3</v>
      </c>
    </row>
    <row r="66" spans="2:20">
      <c r="B66" s="38"/>
      <c r="C66" s="38"/>
      <c r="D66" s="38"/>
      <c r="E66" s="38"/>
      <c r="F66" s="38"/>
      <c r="G66" s="38"/>
      <c r="H66" s="38"/>
      <c r="I66" s="38"/>
      <c r="J66" s="38"/>
      <c r="K66" s="38"/>
      <c r="L66" s="38"/>
      <c r="M66" s="38"/>
      <c r="N66" s="38"/>
      <c r="O66" s="38"/>
      <c r="P66" s="38"/>
      <c r="Q66" s="38"/>
      <c r="R66" s="38"/>
      <c r="S66" s="38"/>
      <c r="T66" s="344"/>
    </row>
  </sheetData>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Highlights</vt:lpstr>
      <vt:lpstr>Operational</vt:lpstr>
      <vt:lpstr>CAPEX</vt:lpstr>
      <vt:lpstr>Indebtedness</vt:lpstr>
      <vt:lpstr>P&amp;L Reconciliation</vt:lpstr>
      <vt:lpstr>Income Statement</vt:lpstr>
      <vt:lpstr>Balance Sheet</vt:lpstr>
      <vt:lpstr>Cash Flows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 Almeida Araujo</dc:creator>
  <cp:lastModifiedBy>Felipe Augusto Fogaça da Silva</cp:lastModifiedBy>
  <dcterms:created xsi:type="dcterms:W3CDTF">2015-06-05T18:19:34Z</dcterms:created>
  <dcterms:modified xsi:type="dcterms:W3CDTF">2022-08-11T21:37:55Z</dcterms:modified>
</cp:coreProperties>
</file>